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J:\FSM\FSM v24\PUCs\2022 PUC Supporting Documentation\"/>
    </mc:Choice>
  </mc:AlternateContent>
  <xr:revisionPtr revIDLastSave="0" documentId="8_{85FF4929-1325-449A-B6C8-D286BC0853EC}" xr6:coauthVersionLast="47" xr6:coauthVersionMax="47" xr10:uidLastSave="{00000000-0000-0000-0000-000000000000}"/>
  <bookViews>
    <workbookView xWindow="-120" yWindow="-120" windowWidth="51840" windowHeight="21240" tabRatio="845" xr2:uid="{85C2226C-F6D4-42AE-8EE3-91AF1567E2E6}"/>
  </bookViews>
  <sheets>
    <sheet name="PUC Calculations FY2022" sheetId="3" r:id="rId1"/>
    <sheet name="Legend" sheetId="19" r:id="rId2"/>
    <sheet name="2022 MILCON Inflation Table" sheetId="4" r:id="rId3"/>
    <sheet name="Mil Cost Premiums for PUCs" sheetId="17" r:id="rId4"/>
    <sheet name="M&amp;S Selection Business Rule" sheetId="23" r:id="rId5"/>
    <sheet name="2021 Elevator Rule" sheetId="7" r:id="rId6"/>
    <sheet name="2021 Overhead Crane Rule" sheetId="8" r:id="rId7"/>
    <sheet name="2021 Fire Sprinkler Rule" sheetId="9" r:id="rId8"/>
    <sheet name="Loading Dock Footnote" sheetId="10" r:id="rId9"/>
    <sheet name="Range Business Rules" sheetId="11" r:id="rId10"/>
  </sheets>
  <definedNames>
    <definedName name="_5_6_digit" localSheetId="4">#REF!</definedName>
    <definedName name="_5_6_digit" localSheetId="3">#REF!</definedName>
    <definedName name="_5_6_digit">#REF!</definedName>
    <definedName name="_xlnm._FilterDatabase" localSheetId="3" hidden="1">'Mil Cost Premiums for PUCs'!$A$3:$R$3</definedName>
    <definedName name="_xlnm._FilterDatabase" localSheetId="0" hidden="1">'PUC Calculations FY2022'!$N$1:$N$5229</definedName>
    <definedName name="_ftn1" localSheetId="4">'M&amp;S Selection Business Rule'!$A$15</definedName>
    <definedName name="_ftn2" localSheetId="4">'M&amp;S Selection Business Rule'!$A$16</definedName>
    <definedName name="_ftnref1" localSheetId="4">'M&amp;S Selection Business Rule'!$A$2</definedName>
    <definedName name="_ftnref2" localSheetId="4">'M&amp;S Selection Business Rule'!$F$2</definedName>
    <definedName name="Ecat" localSheetId="3">#REF!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3">#REF!</definedName>
    <definedName name="NVMC_Lkup_UICs" localSheetId="0">#REF!</definedName>
    <definedName name="NVMC_Lkup_UICs">#REF!</definedName>
    <definedName name="NVMC_lookup_UICs2" localSheetId="3">#REF!</definedName>
    <definedName name="NVMC_lookup_UICs2" localSheetId="0">#REF!</definedName>
    <definedName name="NVMC_lookup_UICs2">#REF!</definedName>
    <definedName name="_xlnm.Print_Area" localSheetId="2">'2022 MILCON Inflation Table'!$A$1:$F$31</definedName>
    <definedName name="_xlnm.Print_Area" localSheetId="3">'Mil Cost Premiums for PUCs'!$A$1:$R$299</definedName>
    <definedName name="_xlnm.Print_Area" localSheetId="0">'PUC Calculations FY2022'!$O$918:$T$945</definedName>
    <definedName name="_xlnm.Print_Titles" localSheetId="5">'2021 Elevator Rule'!$1:$2</definedName>
    <definedName name="PRV" localSheetId="3">'Mil Cost Premiums for PUCs'!$AS$4:$AS$543</definedName>
    <definedName name="PRV">#REF!</definedName>
    <definedName name="SF_FACS" localSheetId="3">#REF!</definedName>
    <definedName name="SF_FACS" localSheetId="0">#REF!</definedName>
    <definedName name="SF_FACS">#REF!</definedName>
    <definedName name="SF_FACs2" localSheetId="3">#REF!</definedName>
    <definedName name="SF_FACs2" localSheetId="0">#REF!</definedName>
    <definedName name="SF_FACs2">#REF!</definedName>
    <definedName name="Sort_Service" localSheetId="3">#REF!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32" i="3" l="1"/>
  <c r="K4508" i="3"/>
  <c r="K4507" i="3"/>
  <c r="K4506" i="3"/>
  <c r="Q167" i="17"/>
  <c r="P167" i="17"/>
  <c r="O167" i="17"/>
  <c r="N167" i="17"/>
  <c r="M167" i="17"/>
  <c r="L167" i="17"/>
  <c r="K167" i="17"/>
  <c r="G167" i="17"/>
  <c r="F167" i="17"/>
  <c r="E167" i="17"/>
  <c r="R167" i="17" s="1"/>
  <c r="J3589" i="3" s="1"/>
  <c r="K3585" i="3"/>
  <c r="K3583" i="3"/>
  <c r="K3582" i="3"/>
  <c r="K3581" i="3"/>
  <c r="K3584" i="3"/>
  <c r="K3580" i="3"/>
  <c r="K3588" i="3" l="1"/>
  <c r="K3589" i="3" s="1"/>
  <c r="K2860" i="3" l="1"/>
  <c r="K632" i="3"/>
  <c r="K633" i="3" s="1"/>
  <c r="J632" i="3"/>
  <c r="K626" i="3"/>
  <c r="K627" i="3" s="1"/>
  <c r="J626" i="3"/>
  <c r="J266" i="3"/>
  <c r="K261" i="3"/>
  <c r="K266" i="3" l="1"/>
  <c r="K100" i="3" l="1"/>
  <c r="J95" i="3"/>
  <c r="J86" i="3"/>
  <c r="J163" i="3"/>
  <c r="K145" i="3"/>
  <c r="K146" i="3" s="1"/>
  <c r="J145" i="3"/>
  <c r="K180" i="3"/>
  <c r="K181" i="3" s="1"/>
  <c r="J180" i="3"/>
  <c r="K198" i="3"/>
  <c r="K199" i="3" s="1"/>
  <c r="J198" i="3"/>
  <c r="J209" i="3"/>
  <c r="K209" i="3"/>
  <c r="K210" i="3" s="1"/>
  <c r="K126" i="3"/>
  <c r="K127" i="3" s="1"/>
  <c r="J126" i="3"/>
  <c r="K234" i="3"/>
  <c r="K235" i="3" s="1"/>
  <c r="J234" i="3"/>
  <c r="J278" i="3"/>
  <c r="K278" i="3"/>
  <c r="K279" i="3" s="1"/>
  <c r="K292" i="3"/>
  <c r="K293" i="3" s="1"/>
  <c r="J292" i="3"/>
  <c r="K297" i="3"/>
  <c r="K301" i="3"/>
  <c r="K305" i="3"/>
  <c r="J316" i="3"/>
  <c r="K316" i="3"/>
  <c r="K317" i="3" s="1"/>
  <c r="K321" i="3"/>
  <c r="K343" i="3"/>
  <c r="K344" i="3" s="1"/>
  <c r="J332" i="3"/>
  <c r="K332" i="3"/>
  <c r="K333" i="3" s="1"/>
  <c r="J343" i="3"/>
  <c r="K2599" i="3"/>
  <c r="K2600" i="3" s="1"/>
  <c r="J2599" i="3"/>
  <c r="K2587" i="3"/>
  <c r="K2588" i="3" s="1"/>
  <c r="J2587" i="3"/>
  <c r="K2573" i="3"/>
  <c r="K2574" i="3" s="1"/>
  <c r="J2573" i="3"/>
  <c r="G469" i="3"/>
  <c r="K5060" i="3"/>
  <c r="K4907" i="3"/>
  <c r="K163" i="3"/>
  <c r="K164" i="3" s="1"/>
  <c r="K4151" i="3"/>
  <c r="K4054" i="3"/>
  <c r="K4008" i="3"/>
  <c r="B3443" i="3"/>
  <c r="B3373" i="3"/>
  <c r="K2965" i="3"/>
  <c r="K2626" i="3"/>
  <c r="I2536" i="3"/>
  <c r="K1819" i="3"/>
  <c r="K114" i="3"/>
  <c r="K1746" i="3"/>
  <c r="I975" i="3"/>
  <c r="I976" i="3" s="1"/>
  <c r="I1104" i="3"/>
  <c r="I1131" i="3"/>
  <c r="I1146" i="3"/>
  <c r="I1148" i="3" s="1"/>
  <c r="I1149" i="3" s="1"/>
  <c r="I1161" i="3"/>
  <c r="I1163" i="3" s="1"/>
  <c r="I1164" i="3" s="1"/>
  <c r="I1186" i="3"/>
  <c r="I1187" i="3" s="1"/>
  <c r="I1183" i="3"/>
  <c r="I1198" i="3"/>
  <c r="I1199" i="3" s="1"/>
  <c r="I1216" i="3"/>
  <c r="I1219" i="3" s="1"/>
  <c r="I1220" i="3" s="1"/>
  <c r="I1241" i="3"/>
  <c r="I1243" i="3" s="1"/>
  <c r="I1239" i="3"/>
  <c r="I1263" i="3"/>
  <c r="I1265" i="3" s="1"/>
  <c r="I1267" i="3" s="1"/>
  <c r="I1291" i="3"/>
  <c r="I1292" i="3" s="1"/>
  <c r="I1305" i="3"/>
  <c r="I1306" i="3" s="1"/>
  <c r="I1325" i="3"/>
  <c r="I1326" i="3" s="1"/>
  <c r="I1338" i="3"/>
  <c r="I1339" i="3" s="1"/>
  <c r="I1341" i="3" s="1"/>
  <c r="I1343" i="3" s="1"/>
  <c r="I1363" i="3"/>
  <c r="I1364" i="3" s="1"/>
  <c r="I1365" i="3" s="1"/>
  <c r="I1375" i="3"/>
  <c r="I1391" i="3"/>
  <c r="I1392" i="3" s="1"/>
  <c r="I1393" i="3" s="1"/>
  <c r="I1405" i="3"/>
  <c r="I1420" i="3"/>
  <c r="I1421" i="3" s="1"/>
  <c r="I1422" i="3" s="1"/>
  <c r="I1440" i="3"/>
  <c r="I1441" i="3" s="1"/>
  <c r="I1460" i="3"/>
  <c r="I1461" i="3" s="1"/>
  <c r="I1462" i="3" s="1"/>
  <c r="I1471" i="3"/>
  <c r="I1470" i="3"/>
  <c r="I1479" i="3"/>
  <c r="I929" i="3"/>
  <c r="I930" i="3" s="1"/>
  <c r="I935" i="3" s="1"/>
  <c r="I936" i="3" s="1"/>
  <c r="I924" i="3"/>
  <c r="I918" i="3"/>
  <c r="I915" i="3"/>
  <c r="I853" i="3"/>
  <c r="I843" i="3"/>
  <c r="J829" i="3"/>
  <c r="J819" i="3"/>
  <c r="J583" i="3"/>
  <c r="J587" i="3"/>
  <c r="J591" i="3"/>
  <c r="J595" i="3"/>
  <c r="J599" i="3"/>
  <c r="J603" i="3"/>
  <c r="J667" i="3"/>
  <c r="J815" i="3"/>
  <c r="J811" i="3"/>
  <c r="J783" i="3"/>
  <c r="J773" i="3"/>
  <c r="I733" i="3"/>
  <c r="I742" i="3"/>
  <c r="I696" i="3"/>
  <c r="I697" i="3" s="1"/>
  <c r="I619" i="3"/>
  <c r="E168" i="3" l="1"/>
  <c r="K168" i="3" s="1"/>
  <c r="E151" i="3"/>
  <c r="K151" i="3" s="1"/>
  <c r="E186" i="3"/>
  <c r="K186" i="3" s="1"/>
  <c r="E215" i="3"/>
  <c r="K215" i="3" s="1"/>
  <c r="E5064" i="3"/>
  <c r="K5064" i="3" s="1"/>
  <c r="I1105" i="3"/>
  <c r="I1106" i="3" s="1"/>
  <c r="I919" i="3"/>
  <c r="I917" i="3"/>
  <c r="I916" i="3"/>
  <c r="I736" i="3"/>
  <c r="I735" i="3"/>
  <c r="I734" i="3"/>
  <c r="I698" i="3"/>
  <c r="I607" i="3"/>
  <c r="I608" i="3" s="1"/>
  <c r="I609" i="3" s="1"/>
  <c r="I610" i="3" s="1"/>
  <c r="I611" i="3" s="1"/>
  <c r="I612" i="3" s="1"/>
  <c r="I613" i="3" s="1"/>
  <c r="I614" i="3" s="1"/>
  <c r="I454" i="3" l="1"/>
  <c r="K427" i="3"/>
  <c r="K267" i="3" l="1"/>
  <c r="K4956" i="3"/>
  <c r="K4957" i="3" s="1"/>
  <c r="J425" i="3"/>
  <c r="J4564" i="3"/>
  <c r="K4564" i="3" s="1"/>
  <c r="J4563" i="3"/>
  <c r="K4563" i="3" s="1"/>
  <c r="J4562" i="3"/>
  <c r="K413" i="3"/>
  <c r="K415" i="3" s="1"/>
  <c r="J413" i="3"/>
  <c r="J4285" i="3"/>
  <c r="J2551" i="3"/>
  <c r="R109" i="17"/>
  <c r="P109" i="17"/>
  <c r="Q109" i="17"/>
  <c r="P108" i="17"/>
  <c r="Q108" i="17"/>
  <c r="L109" i="17"/>
  <c r="F109" i="17"/>
  <c r="G109" i="17"/>
  <c r="F108" i="17"/>
  <c r="E109" i="17"/>
  <c r="J2550" i="3"/>
  <c r="K2550" i="3" s="1"/>
  <c r="I4885" i="3"/>
  <c r="I4887" i="3"/>
  <c r="K2551" i="3" l="1"/>
  <c r="I657" i="3"/>
  <c r="K657" i="3" s="1"/>
  <c r="K361" i="3"/>
  <c r="I660" i="3" l="1"/>
  <c r="G660" i="3"/>
  <c r="I659" i="3"/>
  <c r="K659" i="3" s="1"/>
  <c r="I658" i="3"/>
  <c r="K658" i="3" s="1"/>
  <c r="I656" i="3"/>
  <c r="K656" i="3" s="1"/>
  <c r="K660" i="3" l="1"/>
  <c r="K661" i="3" s="1"/>
  <c r="K645" i="3"/>
  <c r="K646" i="3" s="1"/>
  <c r="Q15" i="17" l="1"/>
  <c r="P15" i="17"/>
  <c r="G15" i="17"/>
  <c r="F15" i="17"/>
  <c r="R15" i="17" s="1"/>
  <c r="J641" i="3" s="1"/>
  <c r="K637" i="3"/>
  <c r="K640" i="3" s="1"/>
  <c r="K249" i="3"/>
  <c r="K251" i="3" l="1"/>
  <c r="K641" i="3"/>
  <c r="J249" i="3" l="1"/>
  <c r="K4226" i="3" l="1"/>
  <c r="F3016" i="3"/>
  <c r="F3015" i="3"/>
  <c r="F3014" i="3"/>
  <c r="F3013" i="3"/>
  <c r="F3012" i="3"/>
  <c r="F3011" i="3"/>
  <c r="F3010" i="3"/>
  <c r="J2619" i="3"/>
  <c r="K2619" i="3" s="1"/>
  <c r="K2620" i="3"/>
  <c r="F20" i="4"/>
  <c r="E2162" i="3"/>
  <c r="K359" i="3" l="1"/>
  <c r="I475" i="3" l="1"/>
  <c r="K798" i="3" l="1"/>
  <c r="K797" i="3"/>
  <c r="K796" i="3" l="1"/>
  <c r="K799" i="3" s="1"/>
  <c r="I392" i="3"/>
  <c r="K392" i="3" s="1"/>
  <c r="I391" i="3"/>
  <c r="K391" i="3" s="1"/>
  <c r="I4260" i="3" l="1"/>
  <c r="I4259" i="3"/>
  <c r="I4258" i="3"/>
  <c r="I4257" i="3"/>
  <c r="I4256" i="3"/>
  <c r="I4255" i="3"/>
  <c r="I4254" i="3"/>
  <c r="I4253" i="3"/>
  <c r="I4252" i="3"/>
  <c r="Q217" i="17"/>
  <c r="P217" i="17"/>
  <c r="F217" i="17"/>
  <c r="R217" i="17" s="1"/>
  <c r="J4262" i="3"/>
  <c r="K3252" i="3"/>
  <c r="K3021" i="3"/>
  <c r="K4253" i="3" l="1"/>
  <c r="K4257" i="3"/>
  <c r="K4260" i="3"/>
  <c r="K3619" i="3"/>
  <c r="K3620" i="3" s="1"/>
  <c r="K4261" i="3" l="1"/>
  <c r="K4262" i="3" s="1"/>
  <c r="I1750" i="3" l="1"/>
  <c r="K1750" i="3" s="1"/>
  <c r="K3132" i="3"/>
  <c r="K3100" i="3"/>
  <c r="I1966" i="3"/>
  <c r="I1951" i="3"/>
  <c r="K1951" i="3" s="1"/>
  <c r="K1952" i="3" s="1"/>
  <c r="I1961" i="3"/>
  <c r="K1961" i="3" s="1"/>
  <c r="I1956" i="3"/>
  <c r="K1956" i="3" s="1"/>
  <c r="I1829" i="3"/>
  <c r="K1829" i="3" s="1"/>
  <c r="K2807" i="3" l="1"/>
  <c r="F4" i="4" l="1"/>
  <c r="F5" i="4"/>
  <c r="F6" i="4"/>
  <c r="F7" i="4"/>
  <c r="F8" i="4"/>
  <c r="F9" i="4"/>
  <c r="F10" i="4"/>
  <c r="F11" i="4"/>
  <c r="F12" i="4"/>
  <c r="F13" i="4"/>
  <c r="F14" i="4"/>
  <c r="F15" i="4"/>
  <c r="F16" i="4"/>
  <c r="F17" i="4"/>
  <c r="F18" i="4"/>
  <c r="F19" i="4" s="1"/>
  <c r="F21" i="4" s="1"/>
  <c r="F22" i="4" l="1"/>
  <c r="F23" i="4" s="1"/>
  <c r="F24" i="4" s="1"/>
  <c r="F25" i="4" s="1"/>
  <c r="J1478" i="3" l="1"/>
  <c r="J1477" i="3"/>
  <c r="T933" i="3"/>
  <c r="T934" i="3"/>
  <c r="T935" i="3"/>
  <c r="T936" i="3"/>
  <c r="T937" i="3"/>
  <c r="T938" i="3"/>
  <c r="T939" i="3"/>
  <c r="T932" i="3"/>
  <c r="T931" i="3"/>
  <c r="T930" i="3"/>
  <c r="T929" i="3"/>
  <c r="T928" i="3"/>
  <c r="T927" i="3"/>
  <c r="T926" i="3"/>
  <c r="T925" i="3"/>
  <c r="T924" i="3"/>
  <c r="T923" i="3"/>
  <c r="T922" i="3"/>
  <c r="T921" i="3"/>
  <c r="I553" i="3"/>
  <c r="K459" i="3" l="1"/>
  <c r="J394" i="3"/>
  <c r="J393" i="3"/>
  <c r="K379" i="3"/>
  <c r="E5210" i="3" l="1"/>
  <c r="E5181" i="3"/>
  <c r="E5174" i="3"/>
  <c r="E5173" i="3"/>
  <c r="E5178" i="3"/>
  <c r="E5177" i="3"/>
  <c r="E5176" i="3"/>
  <c r="E5175" i="3"/>
  <c r="E5171" i="3"/>
  <c r="E4333" i="3"/>
  <c r="E4898" i="3"/>
  <c r="E4039" i="3"/>
  <c r="E3043" i="3"/>
  <c r="E2998" i="3"/>
  <c r="K2903" i="3" l="1"/>
  <c r="I2901" i="3"/>
  <c r="I2900" i="3"/>
  <c r="I2899" i="3"/>
  <c r="I2890" i="3"/>
  <c r="I2889" i="3"/>
  <c r="K2892" i="3"/>
  <c r="E1477" i="3"/>
  <c r="E1478" i="3"/>
  <c r="K2815" i="3"/>
  <c r="I2790" i="3"/>
  <c r="I2789" i="3"/>
  <c r="J2770" i="3"/>
  <c r="J2763" i="3"/>
  <c r="K2772" i="3"/>
  <c r="J2764" i="3"/>
  <c r="J2765" i="3"/>
  <c r="E2765" i="3"/>
  <c r="E2764" i="3"/>
  <c r="K2731" i="3"/>
  <c r="E2726" i="3"/>
  <c r="E2725" i="3"/>
  <c r="E2724" i="3"/>
  <c r="I2724" i="3" s="1"/>
  <c r="E2723" i="3"/>
  <c r="K2700" i="3"/>
  <c r="I2697" i="3"/>
  <c r="I2698" i="3"/>
  <c r="I2696" i="3"/>
  <c r="K2227" i="3"/>
  <c r="I2223" i="3"/>
  <c r="I2224" i="3"/>
  <c r="I2225" i="3"/>
  <c r="I2222" i="3"/>
  <c r="E1708" i="3"/>
  <c r="E1715" i="3"/>
  <c r="E1714" i="3"/>
  <c r="E1713" i="3"/>
  <c r="Q144" i="17"/>
  <c r="P144" i="17"/>
  <c r="F144" i="17"/>
  <c r="R144" i="17" s="1"/>
  <c r="J3208" i="3" s="1"/>
  <c r="E3203" i="3"/>
  <c r="K3203" i="3" s="1"/>
  <c r="E3202" i="3"/>
  <c r="K3202" i="3" s="1"/>
  <c r="K3204" i="3" l="1"/>
  <c r="K3207" i="3" s="1"/>
  <c r="K3208" i="3" s="1"/>
  <c r="E3076" i="3" l="1"/>
  <c r="E3075" i="3"/>
  <c r="E1549" i="3" l="1"/>
  <c r="E1548" i="3"/>
  <c r="E1546" i="3"/>
  <c r="K4614" i="3" l="1"/>
  <c r="E708" i="3" l="1"/>
  <c r="E707" i="3"/>
  <c r="E687" i="3"/>
  <c r="E684" i="3"/>
  <c r="E673" i="3"/>
  <c r="K1544" i="3"/>
  <c r="Q937" i="3"/>
  <c r="Q936" i="3"/>
  <c r="Q935" i="3"/>
  <c r="Q933" i="3"/>
  <c r="E985" i="3" s="1"/>
  <c r="Q932" i="3"/>
  <c r="Q931" i="3"/>
  <c r="Q930" i="3"/>
  <c r="Q929" i="3"/>
  <c r="Q928" i="3"/>
  <c r="Q927" i="3"/>
  <c r="Q925" i="3"/>
  <c r="Q924" i="3" l="1"/>
  <c r="J1095" i="3"/>
  <c r="Q923" i="3"/>
  <c r="E4111" i="3" l="1"/>
  <c r="E4107" i="3"/>
  <c r="E4105" i="3"/>
  <c r="E4100" i="3"/>
  <c r="E4099" i="3"/>
  <c r="E4090" i="3"/>
  <c r="E4061" i="3"/>
  <c r="E4060" i="3"/>
  <c r="E4059" i="3"/>
  <c r="K4039" i="3"/>
  <c r="E4037" i="3"/>
  <c r="E4035" i="3"/>
  <c r="K4035" i="3" s="1"/>
  <c r="E4034" i="3"/>
  <c r="K4034" i="3" s="1"/>
  <c r="E4033" i="3"/>
  <c r="E4023" i="3"/>
  <c r="E4013" i="3"/>
  <c r="K4013" i="3" s="1"/>
  <c r="E3999" i="3" l="1"/>
  <c r="K3999" i="3" s="1"/>
  <c r="E3990" i="3"/>
  <c r="E3980" i="3"/>
  <c r="E3979" i="3"/>
  <c r="E3967" i="3"/>
  <c r="E3966" i="3"/>
  <c r="E3965" i="3"/>
  <c r="E3963" i="3"/>
  <c r="K3963" i="3" s="1"/>
  <c r="I3954" i="3" l="1"/>
  <c r="E3943" i="3"/>
  <c r="E3944" i="3"/>
  <c r="E3942" i="3"/>
  <c r="J3929" i="3"/>
  <c r="E3845" i="3"/>
  <c r="I3828" i="3"/>
  <c r="E3665" i="3"/>
  <c r="E3664" i="3"/>
  <c r="K3635" i="3"/>
  <c r="I3593" i="3"/>
  <c r="E3555" i="3"/>
  <c r="E3523" i="3"/>
  <c r="E3522" i="3"/>
  <c r="E3521" i="3"/>
  <c r="E3520" i="3"/>
  <c r="E3517" i="3"/>
  <c r="E3496" i="3"/>
  <c r="E3476" i="3"/>
  <c r="E3475" i="3"/>
  <c r="E3474" i="3"/>
  <c r="E3473" i="3"/>
  <c r="E3432" i="3"/>
  <c r="J3430" i="3"/>
  <c r="E3388" i="3"/>
  <c r="E3387" i="3"/>
  <c r="E3386" i="3"/>
  <c r="E3385" i="3"/>
  <c r="E3380" i="3"/>
  <c r="E3381" i="3"/>
  <c r="J3316" i="3"/>
  <c r="E3264" i="3"/>
  <c r="E3263" i="3"/>
  <c r="E3262" i="3"/>
  <c r="E3261" i="3"/>
  <c r="E3143" i="3"/>
  <c r="E3112" i="3"/>
  <c r="E3111" i="3"/>
  <c r="E3110" i="3"/>
  <c r="E3109" i="3"/>
  <c r="K3022" i="3"/>
  <c r="E3000" i="3" l="1"/>
  <c r="K3000" i="3" s="1"/>
  <c r="E2999" i="3"/>
  <c r="G2976" i="3"/>
  <c r="I2970" i="3"/>
  <c r="K2966" i="3" l="1"/>
  <c r="I2930" i="3"/>
  <c r="K2930" i="3" s="1"/>
  <c r="E2889" i="3"/>
  <c r="K2881" i="3" l="1"/>
  <c r="I2879" i="3"/>
  <c r="I2878" i="3"/>
  <c r="E2858" i="3"/>
  <c r="E2857" i="3"/>
  <c r="E2856" i="3"/>
  <c r="E2855" i="3"/>
  <c r="I873" i="3"/>
  <c r="I2707" i="3"/>
  <c r="K2792" i="3"/>
  <c r="E2769" i="3"/>
  <c r="E2768" i="3"/>
  <c r="E2767" i="3"/>
  <c r="E2766" i="3"/>
  <c r="E2728" i="3"/>
  <c r="E2727" i="3"/>
  <c r="I2717" i="3"/>
  <c r="I2685" i="3"/>
  <c r="I2686" i="3"/>
  <c r="I2684" i="3"/>
  <c r="I2635" i="3"/>
  <c r="G2556" i="3"/>
  <c r="I2526" i="3"/>
  <c r="E2495" i="3"/>
  <c r="E2462" i="3"/>
  <c r="E2463" i="3"/>
  <c r="E2465" i="3"/>
  <c r="E2464" i="3"/>
  <c r="E2494" i="3"/>
  <c r="E2493" i="3"/>
  <c r="E2492" i="3"/>
  <c r="E2455" i="3"/>
  <c r="G2425" i="3"/>
  <c r="G2426" i="3"/>
  <c r="E2432" i="3"/>
  <c r="E2431" i="3"/>
  <c r="E2430" i="3"/>
  <c r="E2429" i="3"/>
  <c r="E2427" i="3"/>
  <c r="E2435" i="3"/>
  <c r="E2370" i="3"/>
  <c r="E2423" i="3"/>
  <c r="E2396" i="3"/>
  <c r="E2376" i="3"/>
  <c r="E2350" i="3"/>
  <c r="G2341" i="3"/>
  <c r="G2340" i="3"/>
  <c r="E2328" i="3"/>
  <c r="E2327" i="3"/>
  <c r="E2326" i="3"/>
  <c r="E2325" i="3"/>
  <c r="E2318" i="3"/>
  <c r="E2298" i="3"/>
  <c r="E2297" i="3"/>
  <c r="E2296" i="3"/>
  <c r="E2295" i="3"/>
  <c r="G2291" i="3"/>
  <c r="K2249" i="3"/>
  <c r="E2257" i="3"/>
  <c r="K2262" i="3"/>
  <c r="E2244" i="3"/>
  <c r="K2201" i="3"/>
  <c r="K2204" i="3"/>
  <c r="E2177" i="3"/>
  <c r="E2166" i="3"/>
  <c r="E2142" i="3"/>
  <c r="E2139" i="3"/>
  <c r="E2129" i="3"/>
  <c r="E2124" i="3"/>
  <c r="E2085" i="3"/>
  <c r="E2114" i="3" l="1"/>
  <c r="K2114" i="3" s="1"/>
  <c r="E2111" i="3"/>
  <c r="E2101" i="3"/>
  <c r="K2101" i="3" s="1"/>
  <c r="E2098" i="3"/>
  <c r="E2096" i="3"/>
  <c r="E2073" i="3"/>
  <c r="E2061" i="3"/>
  <c r="G2050" i="3"/>
  <c r="E2049" i="3"/>
  <c r="E4986" i="3"/>
  <c r="K4986" i="3" s="1"/>
  <c r="G4998" i="3"/>
  <c r="K4998" i="3" s="1"/>
  <c r="G4997" i="3"/>
  <c r="K4997" i="3" s="1"/>
  <c r="G4987" i="3"/>
  <c r="K4987" i="3" s="1"/>
  <c r="K4985" i="3"/>
  <c r="Q85" i="17"/>
  <c r="P85" i="17"/>
  <c r="O85" i="17"/>
  <c r="N85" i="17"/>
  <c r="I85" i="17"/>
  <c r="H85" i="17"/>
  <c r="G85" i="17"/>
  <c r="F85" i="17"/>
  <c r="G260" i="17"/>
  <c r="F260" i="17"/>
  <c r="R260" i="17" s="1"/>
  <c r="G259" i="17"/>
  <c r="F259" i="17"/>
  <c r="R85" i="17" l="1"/>
  <c r="R259" i="17"/>
  <c r="K4999" i="3"/>
  <c r="K5002" i="3" s="1"/>
  <c r="K5003" i="3" s="1"/>
  <c r="K5004" i="3" s="1"/>
  <c r="K4988" i="3"/>
  <c r="K4991" i="3" s="1"/>
  <c r="K4992" i="3" s="1"/>
  <c r="K4993" i="3" s="1"/>
  <c r="E2018" i="3" l="1"/>
  <c r="E2017" i="3"/>
  <c r="E2016" i="3"/>
  <c r="E2015" i="3"/>
  <c r="E1999" i="3"/>
  <c r="E1897" i="3"/>
  <c r="E1893" i="3"/>
  <c r="K684" i="3" l="1"/>
  <c r="E1878" i="3" l="1"/>
  <c r="E1883" i="3"/>
  <c r="E1866" i="3"/>
  <c r="E1841" i="3"/>
  <c r="E1840" i="3"/>
  <c r="E1839" i="3"/>
  <c r="E1838" i="3"/>
  <c r="E1837" i="3"/>
  <c r="E1836" i="3"/>
  <c r="E1834" i="3"/>
  <c r="E1843" i="3"/>
  <c r="E1676" i="3"/>
  <c r="K1546" i="3"/>
  <c r="K469" i="3"/>
  <c r="G564" i="3"/>
  <c r="K564" i="3" s="1"/>
  <c r="K583" i="3"/>
  <c r="K595" i="3" l="1"/>
  <c r="K587" i="3"/>
  <c r="K591" i="3"/>
  <c r="K599" i="3"/>
  <c r="K603" i="3"/>
  <c r="K667" i="3"/>
  <c r="E685" i="3"/>
  <c r="E700" i="3"/>
  <c r="K815" i="3"/>
  <c r="K819" i="3"/>
  <c r="E1922" i="3"/>
  <c r="E1918" i="3"/>
  <c r="E1976" i="3"/>
  <c r="K1788" i="3"/>
  <c r="K1789" i="3" s="1"/>
  <c r="I1758" i="3" l="1"/>
  <c r="E1718" i="3"/>
  <c r="E1717" i="3"/>
  <c r="E1716" i="3"/>
  <c r="E1693" i="3"/>
  <c r="E1694" i="3"/>
  <c r="E1695" i="3"/>
  <c r="E1696" i="3"/>
  <c r="E1697" i="3"/>
  <c r="E1698" i="3"/>
  <c r="E1711" i="3"/>
  <c r="E1710" i="3"/>
  <c r="E1691" i="3"/>
  <c r="E1690" i="3"/>
  <c r="E1688" i="3"/>
  <c r="E1564" i="3"/>
  <c r="E1563" i="3"/>
  <c r="I1646" i="3"/>
  <c r="J2044" i="3"/>
  <c r="K2039" i="3"/>
  <c r="K2038" i="3"/>
  <c r="E1652" i="3"/>
  <c r="E1655" i="3"/>
  <c r="E1654" i="3"/>
  <c r="E1653" i="3"/>
  <c r="E1648" i="3"/>
  <c r="E1645" i="3"/>
  <c r="I1645" i="3" s="1"/>
  <c r="E1625" i="3"/>
  <c r="E1624" i="3"/>
  <c r="E1623" i="3"/>
  <c r="E1622" i="3"/>
  <c r="E1618" i="3"/>
  <c r="E1615" i="3"/>
  <c r="I1595" i="3"/>
  <c r="E1569" i="3"/>
  <c r="K4538" i="3"/>
  <c r="K4541" i="3" s="1"/>
  <c r="E1292" i="3"/>
  <c r="E976" i="3"/>
  <c r="E987" i="3"/>
  <c r="I974" i="3"/>
  <c r="E907" i="3"/>
  <c r="E903" i="3"/>
  <c r="J907" i="3"/>
  <c r="J906" i="3"/>
  <c r="J905" i="3"/>
  <c r="J903" i="3"/>
  <c r="J902" i="3"/>
  <c r="E902" i="3"/>
  <c r="G777" i="3"/>
  <c r="E777" i="3"/>
  <c r="K2040" i="3" l="1"/>
  <c r="K2043" i="3" s="1"/>
  <c r="K2044" i="3" l="1"/>
  <c r="K2045" i="3" s="1"/>
  <c r="E760" i="3" l="1"/>
  <c r="J974" i="3" l="1"/>
  <c r="I879" i="3"/>
  <c r="K868" i="3"/>
  <c r="K869" i="3" s="1"/>
  <c r="I868" i="3"/>
  <c r="G532" i="3" l="1"/>
  <c r="E531" i="3"/>
  <c r="E530" i="3"/>
  <c r="E529" i="3"/>
  <c r="E528" i="3"/>
  <c r="I4049" i="3" l="1"/>
  <c r="I558" i="3"/>
  <c r="E436" i="3"/>
  <c r="K3090" i="3" l="1"/>
  <c r="K3091" i="3" s="1"/>
  <c r="K2991" i="3"/>
  <c r="K1962" i="3"/>
  <c r="K1830" i="3"/>
  <c r="K1808" i="3"/>
  <c r="K1809" i="3" s="1"/>
  <c r="I863" i="3"/>
  <c r="K464" i="3"/>
  <c r="Q165" i="17"/>
  <c r="P165" i="17"/>
  <c r="N165" i="17"/>
  <c r="L165" i="17"/>
  <c r="F165" i="17"/>
  <c r="J2119" i="3"/>
  <c r="J3862" i="3"/>
  <c r="R165" i="17" l="1"/>
  <c r="J3548" i="3" s="1"/>
  <c r="F277" i="17"/>
  <c r="R277" i="17" s="1"/>
  <c r="J5274" i="3" s="1"/>
  <c r="Q276" i="17"/>
  <c r="P276" i="17"/>
  <c r="F276" i="17"/>
  <c r="R276" i="17" s="1"/>
  <c r="J5246" i="3" s="1"/>
  <c r="Q275" i="17"/>
  <c r="P275" i="17"/>
  <c r="F275" i="17"/>
  <c r="Q274" i="17"/>
  <c r="P274" i="17"/>
  <c r="F274" i="17"/>
  <c r="F273" i="17"/>
  <c r="R273" i="17" s="1"/>
  <c r="F272" i="17"/>
  <c r="R272" i="17" s="1"/>
  <c r="J5214" i="3" s="1"/>
  <c r="F271" i="17"/>
  <c r="R271" i="17" s="1"/>
  <c r="J5206" i="3" s="1"/>
  <c r="N270" i="17"/>
  <c r="G270" i="17"/>
  <c r="F270" i="17"/>
  <c r="N269" i="17"/>
  <c r="F269" i="17"/>
  <c r="N268" i="17"/>
  <c r="F268" i="17"/>
  <c r="F267" i="17"/>
  <c r="R267" i="17" s="1"/>
  <c r="J5147" i="3" s="1"/>
  <c r="Q266" i="17"/>
  <c r="P266" i="17"/>
  <c r="G266" i="17"/>
  <c r="F266" i="17"/>
  <c r="Q265" i="17"/>
  <c r="P265" i="17"/>
  <c r="N265" i="17"/>
  <c r="J265" i="17"/>
  <c r="H265" i="17"/>
  <c r="G265" i="17"/>
  <c r="F265" i="17"/>
  <c r="R264" i="17"/>
  <c r="J5102" i="3" s="1"/>
  <c r="Q263" i="17"/>
  <c r="P263" i="17"/>
  <c r="F263" i="17"/>
  <c r="Q262" i="17"/>
  <c r="P262" i="17"/>
  <c r="F262" i="17"/>
  <c r="Q261" i="17"/>
  <c r="P261" i="17"/>
  <c r="F261" i="17"/>
  <c r="F258" i="17"/>
  <c r="R258" i="17" s="1"/>
  <c r="J4971" i="3" s="1"/>
  <c r="F257" i="17"/>
  <c r="R257" i="17" s="1"/>
  <c r="J4939" i="3" s="1"/>
  <c r="Q256" i="17"/>
  <c r="P256" i="17"/>
  <c r="F256" i="17"/>
  <c r="Q255" i="17"/>
  <c r="P255" i="17"/>
  <c r="F255" i="17"/>
  <c r="Q254" i="17"/>
  <c r="P254" i="17"/>
  <c r="G254" i="17"/>
  <c r="F254" i="17"/>
  <c r="Q253" i="17"/>
  <c r="P253" i="17"/>
  <c r="G253" i="17"/>
  <c r="F253" i="17"/>
  <c r="Q252" i="17"/>
  <c r="P252" i="17"/>
  <c r="F252" i="17"/>
  <c r="Q251" i="17"/>
  <c r="P251" i="17"/>
  <c r="F251" i="17"/>
  <c r="Q250" i="17"/>
  <c r="P250" i="17"/>
  <c r="F250" i="17"/>
  <c r="F249" i="17"/>
  <c r="R249" i="17" s="1"/>
  <c r="J4823" i="3" s="1"/>
  <c r="Q248" i="17"/>
  <c r="P248" i="17"/>
  <c r="G248" i="17"/>
  <c r="F248" i="17"/>
  <c r="F247" i="17"/>
  <c r="R247" i="17" s="1"/>
  <c r="J4792" i="3" s="1"/>
  <c r="Q246" i="17"/>
  <c r="P246" i="17"/>
  <c r="G246" i="17"/>
  <c r="F246" i="17"/>
  <c r="Q245" i="17"/>
  <c r="P245" i="17"/>
  <c r="G245" i="17"/>
  <c r="F245" i="17"/>
  <c r="Q244" i="17"/>
  <c r="P244" i="17"/>
  <c r="G244" i="17"/>
  <c r="F244" i="17"/>
  <c r="Q243" i="17"/>
  <c r="P243" i="17"/>
  <c r="G243" i="17"/>
  <c r="F243" i="17"/>
  <c r="Q242" i="17"/>
  <c r="P242" i="17"/>
  <c r="F242" i="17"/>
  <c r="Q241" i="17"/>
  <c r="P241" i="17"/>
  <c r="F241" i="17"/>
  <c r="Q240" i="17"/>
  <c r="P240" i="17"/>
  <c r="F240" i="17"/>
  <c r="Q239" i="17"/>
  <c r="P239" i="17"/>
  <c r="F239" i="17"/>
  <c r="Q238" i="17"/>
  <c r="P238" i="17"/>
  <c r="G238" i="17"/>
  <c r="F238" i="17"/>
  <c r="F237" i="17"/>
  <c r="R237" i="17" s="1"/>
  <c r="J4609" i="3" s="1"/>
  <c r="Q236" i="17"/>
  <c r="P236" i="17"/>
  <c r="F236" i="17"/>
  <c r="Q235" i="17"/>
  <c r="P235" i="17"/>
  <c r="G235" i="17"/>
  <c r="F235" i="17"/>
  <c r="Q234" i="17"/>
  <c r="P234" i="17"/>
  <c r="G234" i="17"/>
  <c r="F234" i="17"/>
  <c r="Q233" i="17"/>
  <c r="P233" i="17"/>
  <c r="G233" i="17"/>
  <c r="F233" i="17"/>
  <c r="Q232" i="17"/>
  <c r="P232" i="17"/>
  <c r="G232" i="17"/>
  <c r="F232" i="17"/>
  <c r="G231" i="17"/>
  <c r="F231" i="17"/>
  <c r="Q230" i="17"/>
  <c r="P230" i="17"/>
  <c r="F230" i="17"/>
  <c r="Q229" i="17"/>
  <c r="P229" i="17"/>
  <c r="F229" i="17"/>
  <c r="Q228" i="17"/>
  <c r="P228" i="17"/>
  <c r="F228" i="17"/>
  <c r="Q227" i="17"/>
  <c r="P227" i="17"/>
  <c r="G227" i="17"/>
  <c r="F227" i="17"/>
  <c r="Q226" i="17"/>
  <c r="P226" i="17"/>
  <c r="G226" i="17"/>
  <c r="F226" i="17"/>
  <c r="Q225" i="17"/>
  <c r="P225" i="17"/>
  <c r="G225" i="17"/>
  <c r="F225" i="17"/>
  <c r="Q224" i="17"/>
  <c r="P224" i="17"/>
  <c r="F224" i="17"/>
  <c r="Q223" i="17"/>
  <c r="P223" i="17"/>
  <c r="F223" i="17"/>
  <c r="Q222" i="17"/>
  <c r="P222" i="17"/>
  <c r="F222" i="17"/>
  <c r="Q221" i="17"/>
  <c r="P221" i="17"/>
  <c r="F221" i="17"/>
  <c r="Q220" i="17"/>
  <c r="P220" i="17"/>
  <c r="F220" i="17"/>
  <c r="Q219" i="17"/>
  <c r="P219" i="17"/>
  <c r="F219" i="17"/>
  <c r="Q218" i="17"/>
  <c r="P218" i="17"/>
  <c r="F218" i="17"/>
  <c r="Q216" i="17"/>
  <c r="P216" i="17"/>
  <c r="F216" i="17"/>
  <c r="Q215" i="17"/>
  <c r="P215" i="17"/>
  <c r="G215" i="17"/>
  <c r="F215" i="17"/>
  <c r="Q214" i="17"/>
  <c r="P214" i="17"/>
  <c r="G214" i="17"/>
  <c r="F214" i="17"/>
  <c r="Q213" i="17"/>
  <c r="P213" i="17"/>
  <c r="G213" i="17"/>
  <c r="F213" i="17"/>
  <c r="Q212" i="17"/>
  <c r="P212" i="17"/>
  <c r="F212" i="17"/>
  <c r="Q211" i="17"/>
  <c r="P211" i="17"/>
  <c r="G211" i="17"/>
  <c r="F211" i="17"/>
  <c r="Q210" i="17"/>
  <c r="P210" i="17"/>
  <c r="O210" i="17"/>
  <c r="N210" i="17"/>
  <c r="M210" i="17"/>
  <c r="L210" i="17"/>
  <c r="K210" i="17"/>
  <c r="J210" i="17"/>
  <c r="I210" i="17"/>
  <c r="H210" i="17"/>
  <c r="G210" i="17"/>
  <c r="F210" i="17"/>
  <c r="E210" i="17"/>
  <c r="G209" i="17"/>
  <c r="F209" i="17"/>
  <c r="G208" i="17"/>
  <c r="F208" i="17"/>
  <c r="G207" i="17"/>
  <c r="F207" i="17"/>
  <c r="F206" i="17"/>
  <c r="R206" i="17" s="1"/>
  <c r="J4075" i="3" s="1"/>
  <c r="Q205" i="17"/>
  <c r="P205" i="17"/>
  <c r="G205" i="17"/>
  <c r="F205" i="17"/>
  <c r="G204" i="17"/>
  <c r="F204" i="17"/>
  <c r="F203" i="17"/>
  <c r="R203" i="17" s="1"/>
  <c r="J4045" i="3" s="1"/>
  <c r="Q202" i="17"/>
  <c r="P202" i="17"/>
  <c r="G202" i="17"/>
  <c r="F202" i="17"/>
  <c r="F201" i="17"/>
  <c r="R201" i="17" s="1"/>
  <c r="J4017" i="3" s="1"/>
  <c r="F200" i="17"/>
  <c r="R200" i="17" s="1"/>
  <c r="Q199" i="17"/>
  <c r="P199" i="17"/>
  <c r="F199" i="17"/>
  <c r="Q198" i="17"/>
  <c r="P198" i="17"/>
  <c r="G198" i="17"/>
  <c r="F198" i="17"/>
  <c r="Q197" i="17"/>
  <c r="P197" i="17"/>
  <c r="G197" i="17"/>
  <c r="F197" i="17"/>
  <c r="Q196" i="17"/>
  <c r="P196" i="17"/>
  <c r="N196" i="17"/>
  <c r="L196" i="17"/>
  <c r="G196" i="17"/>
  <c r="F196" i="17"/>
  <c r="Q195" i="17"/>
  <c r="P195" i="17"/>
  <c r="O195" i="17"/>
  <c r="N195" i="17"/>
  <c r="M195" i="17"/>
  <c r="L195" i="17"/>
  <c r="K195" i="17"/>
  <c r="J195" i="17"/>
  <c r="I195" i="17"/>
  <c r="H195" i="17"/>
  <c r="G195" i="17"/>
  <c r="F195" i="17"/>
  <c r="E195" i="17"/>
  <c r="Q194" i="17"/>
  <c r="P194" i="17"/>
  <c r="N194" i="17"/>
  <c r="L194" i="17"/>
  <c r="G194" i="17"/>
  <c r="F194" i="17"/>
  <c r="F193" i="17"/>
  <c r="R193" i="17" s="1"/>
  <c r="J3918" i="3" s="1"/>
  <c r="F192" i="17"/>
  <c r="R192" i="17" s="1"/>
  <c r="J3907" i="3" s="1"/>
  <c r="F191" i="17"/>
  <c r="R191" i="17" s="1"/>
  <c r="J3898" i="3" s="1"/>
  <c r="J190" i="17"/>
  <c r="I190" i="17"/>
  <c r="H190" i="17"/>
  <c r="F190" i="17"/>
  <c r="Q189" i="17"/>
  <c r="P189" i="17"/>
  <c r="N189" i="17"/>
  <c r="J189" i="17"/>
  <c r="G189" i="17"/>
  <c r="F189" i="17"/>
  <c r="Q187" i="17"/>
  <c r="P187" i="17"/>
  <c r="O187" i="17"/>
  <c r="N187" i="17"/>
  <c r="M187" i="17"/>
  <c r="K187" i="17"/>
  <c r="J187" i="17"/>
  <c r="I187" i="17"/>
  <c r="H187" i="17"/>
  <c r="G187" i="17"/>
  <c r="F187" i="17"/>
  <c r="E187" i="17"/>
  <c r="Q186" i="17"/>
  <c r="P186" i="17"/>
  <c r="O186" i="17"/>
  <c r="N186" i="17"/>
  <c r="L186" i="17"/>
  <c r="J186" i="17"/>
  <c r="I186" i="17"/>
  <c r="H186" i="17"/>
  <c r="G186" i="17"/>
  <c r="F186" i="17"/>
  <c r="Q185" i="17"/>
  <c r="P185" i="17"/>
  <c r="O185" i="17"/>
  <c r="N185" i="17"/>
  <c r="J185" i="17"/>
  <c r="I185" i="17"/>
  <c r="H185" i="17"/>
  <c r="G185" i="17"/>
  <c r="F185" i="17"/>
  <c r="Q184" i="17"/>
  <c r="P184" i="17"/>
  <c r="O184" i="17"/>
  <c r="N184" i="17"/>
  <c r="M184" i="17"/>
  <c r="L184" i="17"/>
  <c r="J184" i="17"/>
  <c r="I184" i="17"/>
  <c r="H184" i="17"/>
  <c r="G184" i="17"/>
  <c r="F184" i="17"/>
  <c r="E184" i="17"/>
  <c r="Q183" i="17"/>
  <c r="P183" i="17"/>
  <c r="O183" i="17"/>
  <c r="N183" i="17"/>
  <c r="M183" i="17"/>
  <c r="L183" i="17"/>
  <c r="K183" i="17"/>
  <c r="J183" i="17"/>
  <c r="I183" i="17"/>
  <c r="H183" i="17"/>
  <c r="G183" i="17"/>
  <c r="F183" i="17"/>
  <c r="E183" i="17"/>
  <c r="Q182" i="17"/>
  <c r="P182" i="17"/>
  <c r="O182" i="17"/>
  <c r="N182" i="17"/>
  <c r="M182" i="17"/>
  <c r="J182" i="17"/>
  <c r="I182" i="17"/>
  <c r="H182" i="17"/>
  <c r="G182" i="17"/>
  <c r="F182" i="17"/>
  <c r="E182" i="17"/>
  <c r="O181" i="17"/>
  <c r="N181" i="17"/>
  <c r="M181" i="17"/>
  <c r="L181" i="17"/>
  <c r="K181" i="17"/>
  <c r="J181" i="17"/>
  <c r="I181" i="17"/>
  <c r="H181" i="17"/>
  <c r="G181" i="17"/>
  <c r="F181" i="17"/>
  <c r="E181" i="17"/>
  <c r="Q180" i="17"/>
  <c r="P180" i="17"/>
  <c r="O180" i="17"/>
  <c r="N180" i="17"/>
  <c r="M180" i="17"/>
  <c r="L180" i="17"/>
  <c r="K180" i="17"/>
  <c r="J180" i="17"/>
  <c r="I180" i="17"/>
  <c r="H180" i="17"/>
  <c r="G180" i="17"/>
  <c r="F180" i="17"/>
  <c r="E180" i="17"/>
  <c r="H179" i="17"/>
  <c r="F179" i="17"/>
  <c r="F178" i="17"/>
  <c r="R178" i="17" s="1"/>
  <c r="J3736" i="3" s="1"/>
  <c r="F176" i="17"/>
  <c r="R176" i="17" s="1"/>
  <c r="J3708" i="3" s="1"/>
  <c r="Q175" i="17"/>
  <c r="P175" i="17"/>
  <c r="O175" i="17"/>
  <c r="N175" i="17"/>
  <c r="M175" i="17"/>
  <c r="L175" i="17"/>
  <c r="K175" i="17"/>
  <c r="J175" i="17"/>
  <c r="I175" i="17"/>
  <c r="H175" i="17"/>
  <c r="G175" i="17"/>
  <c r="F175" i="17"/>
  <c r="E175" i="17"/>
  <c r="N174" i="17"/>
  <c r="L174" i="17"/>
  <c r="F174" i="17"/>
  <c r="E174" i="17"/>
  <c r="F173" i="17"/>
  <c r="R173" i="17" s="1"/>
  <c r="J3671" i="3" s="1"/>
  <c r="F172" i="17"/>
  <c r="R172" i="17" s="1"/>
  <c r="J3654" i="3" s="1"/>
  <c r="F171" i="17"/>
  <c r="R171" i="17" s="1"/>
  <c r="J3643" i="3" s="1"/>
  <c r="Q170" i="17"/>
  <c r="P170" i="17"/>
  <c r="O170" i="17"/>
  <c r="N170" i="17"/>
  <c r="M170" i="17"/>
  <c r="L170" i="17"/>
  <c r="K170" i="17"/>
  <c r="J170" i="17"/>
  <c r="I170" i="17"/>
  <c r="H170" i="17"/>
  <c r="G170" i="17"/>
  <c r="F170" i="17"/>
  <c r="E170" i="17"/>
  <c r="Q169" i="17"/>
  <c r="P169" i="17"/>
  <c r="N169" i="17"/>
  <c r="M169" i="17"/>
  <c r="L169" i="17"/>
  <c r="K169" i="17"/>
  <c r="J169" i="17"/>
  <c r="I169" i="17"/>
  <c r="H169" i="17"/>
  <c r="G169" i="17"/>
  <c r="F169" i="17"/>
  <c r="E169" i="17"/>
  <c r="F168" i="17"/>
  <c r="R168" i="17" s="1"/>
  <c r="Q166" i="17"/>
  <c r="P166" i="17"/>
  <c r="O166" i="17"/>
  <c r="N166" i="17"/>
  <c r="M166" i="17"/>
  <c r="L166" i="17"/>
  <c r="K166" i="17"/>
  <c r="J166" i="17"/>
  <c r="I166" i="17"/>
  <c r="H166" i="17"/>
  <c r="G166" i="17"/>
  <c r="F166" i="17"/>
  <c r="E166" i="17"/>
  <c r="Q164" i="17"/>
  <c r="P164" i="17"/>
  <c r="O164" i="17"/>
  <c r="N164" i="17"/>
  <c r="M164" i="17"/>
  <c r="L164" i="17"/>
  <c r="J164" i="17"/>
  <c r="I164" i="17"/>
  <c r="H164" i="17"/>
  <c r="G164" i="17"/>
  <c r="F164" i="17"/>
  <c r="E164" i="17"/>
  <c r="Q163" i="17"/>
  <c r="P163" i="17"/>
  <c r="N163" i="17"/>
  <c r="L163" i="17"/>
  <c r="F163" i="17"/>
  <c r="Q162" i="17"/>
  <c r="P162" i="17"/>
  <c r="O162" i="17"/>
  <c r="N162" i="17"/>
  <c r="M162" i="17"/>
  <c r="K162" i="17"/>
  <c r="J162" i="17"/>
  <c r="I162" i="17"/>
  <c r="H162" i="17"/>
  <c r="G162" i="17"/>
  <c r="F162" i="17"/>
  <c r="E162" i="17"/>
  <c r="Q161" i="17"/>
  <c r="P161" i="17"/>
  <c r="N161" i="17"/>
  <c r="M161" i="17"/>
  <c r="L161" i="17"/>
  <c r="K161" i="17"/>
  <c r="J161" i="17"/>
  <c r="I161" i="17"/>
  <c r="H161" i="17"/>
  <c r="G161" i="17"/>
  <c r="F161" i="17"/>
  <c r="Q160" i="17"/>
  <c r="P160" i="17"/>
  <c r="N160" i="17"/>
  <c r="J160" i="17"/>
  <c r="I160" i="17"/>
  <c r="H160" i="17"/>
  <c r="G160" i="17"/>
  <c r="F160" i="17"/>
  <c r="Q159" i="17"/>
  <c r="P159" i="17"/>
  <c r="O159" i="17"/>
  <c r="N159" i="17"/>
  <c r="M159" i="17"/>
  <c r="L159" i="17"/>
  <c r="K159" i="17"/>
  <c r="J159" i="17"/>
  <c r="I159" i="17"/>
  <c r="H159" i="17"/>
  <c r="G159" i="17"/>
  <c r="F159" i="17"/>
  <c r="E159" i="17"/>
  <c r="Q158" i="17"/>
  <c r="P158" i="17"/>
  <c r="N158" i="17"/>
  <c r="M158" i="17"/>
  <c r="L158" i="17"/>
  <c r="F158" i="17"/>
  <c r="Q157" i="17"/>
  <c r="P157" i="17"/>
  <c r="N157" i="17"/>
  <c r="J157" i="17"/>
  <c r="I157" i="17"/>
  <c r="H157" i="17"/>
  <c r="F157" i="17"/>
  <c r="N156" i="17"/>
  <c r="J156" i="17"/>
  <c r="F156" i="17"/>
  <c r="Q155" i="17"/>
  <c r="P155" i="17"/>
  <c r="O155" i="17"/>
  <c r="N155" i="17"/>
  <c r="M155" i="17"/>
  <c r="L155" i="17"/>
  <c r="K155" i="17"/>
  <c r="J155" i="17"/>
  <c r="I155" i="17"/>
  <c r="H155" i="17"/>
  <c r="G155" i="17"/>
  <c r="F155" i="17"/>
  <c r="E155" i="17"/>
  <c r="Q154" i="17"/>
  <c r="P154" i="17"/>
  <c r="O154" i="17"/>
  <c r="N154" i="17"/>
  <c r="M154" i="17"/>
  <c r="L154" i="17"/>
  <c r="K154" i="17"/>
  <c r="J154" i="17"/>
  <c r="G154" i="17"/>
  <c r="F154" i="17"/>
  <c r="E154" i="17"/>
  <c r="F153" i="17"/>
  <c r="R153" i="17" s="1"/>
  <c r="J3345" i="3" s="1"/>
  <c r="Q152" i="17"/>
  <c r="P152" i="17"/>
  <c r="N152" i="17"/>
  <c r="M152" i="17"/>
  <c r="L152" i="17"/>
  <c r="J152" i="17"/>
  <c r="I152" i="17"/>
  <c r="H152" i="17"/>
  <c r="G152" i="17"/>
  <c r="F152" i="17"/>
  <c r="Q151" i="17"/>
  <c r="P151" i="17"/>
  <c r="N151" i="17"/>
  <c r="M151" i="17"/>
  <c r="L151" i="17"/>
  <c r="J151" i="17"/>
  <c r="I151" i="17"/>
  <c r="H151" i="17"/>
  <c r="G151" i="17"/>
  <c r="F151" i="17"/>
  <c r="Q150" i="17"/>
  <c r="P150" i="17"/>
  <c r="O150" i="17"/>
  <c r="N150" i="17"/>
  <c r="M150" i="17"/>
  <c r="L150" i="17"/>
  <c r="K150" i="17"/>
  <c r="J150" i="17"/>
  <c r="I150" i="17"/>
  <c r="H150" i="17"/>
  <c r="G150" i="17"/>
  <c r="F150" i="17"/>
  <c r="E150" i="17"/>
  <c r="Q149" i="17"/>
  <c r="P149" i="17"/>
  <c r="O149" i="17"/>
  <c r="N149" i="17"/>
  <c r="M149" i="17"/>
  <c r="L149" i="17"/>
  <c r="K149" i="17"/>
  <c r="J149" i="17"/>
  <c r="I149" i="17"/>
  <c r="H149" i="17"/>
  <c r="G149" i="17"/>
  <c r="F149" i="17"/>
  <c r="E149" i="17"/>
  <c r="Q148" i="17"/>
  <c r="P148" i="17"/>
  <c r="O148" i="17"/>
  <c r="N148" i="17"/>
  <c r="M148" i="17"/>
  <c r="L148" i="17"/>
  <c r="K148" i="17"/>
  <c r="J148" i="17"/>
  <c r="I148" i="17"/>
  <c r="H148" i="17"/>
  <c r="G148" i="17"/>
  <c r="F148" i="17"/>
  <c r="E148" i="17"/>
  <c r="Q147" i="17"/>
  <c r="P147" i="17"/>
  <c r="O147" i="17"/>
  <c r="N147" i="17"/>
  <c r="M147" i="17"/>
  <c r="L147" i="17"/>
  <c r="K147" i="17"/>
  <c r="J147" i="17"/>
  <c r="I147" i="17"/>
  <c r="H147" i="17"/>
  <c r="G147" i="17"/>
  <c r="F147" i="17"/>
  <c r="E147" i="17"/>
  <c r="Q146" i="17"/>
  <c r="P146" i="17"/>
  <c r="O146" i="17"/>
  <c r="N146" i="17"/>
  <c r="M146" i="17"/>
  <c r="L146" i="17"/>
  <c r="K146" i="17"/>
  <c r="J146" i="17"/>
  <c r="I146" i="17"/>
  <c r="H146" i="17"/>
  <c r="G146" i="17"/>
  <c r="F146" i="17"/>
  <c r="E146" i="17"/>
  <c r="Q145" i="17"/>
  <c r="P145" i="17"/>
  <c r="O145" i="17"/>
  <c r="N145" i="17"/>
  <c r="M145" i="17"/>
  <c r="L145" i="17"/>
  <c r="K145" i="17"/>
  <c r="J145" i="17"/>
  <c r="I145" i="17"/>
  <c r="H145" i="17"/>
  <c r="G145" i="17"/>
  <c r="F145" i="17"/>
  <c r="E145" i="17"/>
  <c r="F143" i="17"/>
  <c r="R143" i="17" s="1"/>
  <c r="J3197" i="3" s="1"/>
  <c r="Q142" i="17"/>
  <c r="P142" i="17"/>
  <c r="N142" i="17"/>
  <c r="L142" i="17"/>
  <c r="K142" i="17"/>
  <c r="G142" i="17"/>
  <c r="F142" i="17"/>
  <c r="J141" i="17"/>
  <c r="H141" i="17"/>
  <c r="G141" i="17"/>
  <c r="F141" i="17"/>
  <c r="Q140" i="17"/>
  <c r="P140" i="17"/>
  <c r="H140" i="17"/>
  <c r="F140" i="17"/>
  <c r="Q139" i="17"/>
  <c r="M139" i="17"/>
  <c r="G139" i="17"/>
  <c r="F139" i="17"/>
  <c r="E139" i="17"/>
  <c r="Q138" i="17"/>
  <c r="P138" i="17"/>
  <c r="O138" i="17"/>
  <c r="N138" i="17"/>
  <c r="M138" i="17"/>
  <c r="L138" i="17"/>
  <c r="K138" i="17"/>
  <c r="J138" i="17"/>
  <c r="I138" i="17"/>
  <c r="H138" i="17"/>
  <c r="G138" i="17"/>
  <c r="F138" i="17"/>
  <c r="E138" i="17"/>
  <c r="Q137" i="17"/>
  <c r="P137" i="17"/>
  <c r="F137" i="17"/>
  <c r="F136" i="17"/>
  <c r="R136" i="17" s="1"/>
  <c r="J3070" i="3" s="1"/>
  <c r="F135" i="17"/>
  <c r="R135" i="17" s="1"/>
  <c r="J3059" i="3" s="1"/>
  <c r="F134" i="17"/>
  <c r="R134" i="17" s="1"/>
  <c r="J3049" i="3" s="1"/>
  <c r="Q133" i="17"/>
  <c r="P133" i="17"/>
  <c r="F133" i="17"/>
  <c r="F132" i="17"/>
  <c r="R132" i="17" s="1"/>
  <c r="J3031" i="3" s="1"/>
  <c r="F131" i="17"/>
  <c r="R131" i="17" s="1"/>
  <c r="F130" i="17"/>
  <c r="R130" i="17" s="1"/>
  <c r="J3006" i="3" s="1"/>
  <c r="Q129" i="17"/>
  <c r="P129" i="17"/>
  <c r="O129" i="17"/>
  <c r="N129" i="17"/>
  <c r="M129" i="17"/>
  <c r="L129" i="17"/>
  <c r="K129" i="17"/>
  <c r="J129" i="17"/>
  <c r="I129" i="17"/>
  <c r="H129" i="17"/>
  <c r="G129" i="17"/>
  <c r="F129" i="17"/>
  <c r="E129" i="17"/>
  <c r="Q128" i="17"/>
  <c r="P128" i="17"/>
  <c r="O128" i="17"/>
  <c r="J128" i="17"/>
  <c r="I128" i="17"/>
  <c r="H128" i="17"/>
  <c r="G128" i="17"/>
  <c r="F128" i="17"/>
  <c r="Q127" i="17"/>
  <c r="P127" i="17"/>
  <c r="G127" i="17"/>
  <c r="F127" i="17"/>
  <c r="Q126" i="17"/>
  <c r="P126" i="17"/>
  <c r="O126" i="17"/>
  <c r="N126" i="17"/>
  <c r="M126" i="17"/>
  <c r="L126" i="17"/>
  <c r="J126" i="17"/>
  <c r="I126" i="17"/>
  <c r="H126" i="17"/>
  <c r="G126" i="17"/>
  <c r="F126" i="17"/>
  <c r="E126" i="17"/>
  <c r="Q125" i="17"/>
  <c r="P125" i="17"/>
  <c r="O125" i="17"/>
  <c r="N125" i="17"/>
  <c r="M125" i="17"/>
  <c r="L125" i="17"/>
  <c r="K125" i="17"/>
  <c r="J125" i="17"/>
  <c r="I125" i="17"/>
  <c r="H125" i="17"/>
  <c r="G125" i="17"/>
  <c r="F125" i="17"/>
  <c r="E125" i="17"/>
  <c r="Q124" i="17"/>
  <c r="P124" i="17"/>
  <c r="O124" i="17"/>
  <c r="N124" i="17"/>
  <c r="M124" i="17"/>
  <c r="L124" i="17"/>
  <c r="K124" i="17"/>
  <c r="J124" i="17"/>
  <c r="I124" i="17"/>
  <c r="H124" i="17"/>
  <c r="G124" i="17"/>
  <c r="F124" i="17"/>
  <c r="E124" i="17"/>
  <c r="Q123" i="17"/>
  <c r="P123" i="17"/>
  <c r="O123" i="17"/>
  <c r="N123" i="17"/>
  <c r="M123" i="17"/>
  <c r="L123" i="17"/>
  <c r="K123" i="17"/>
  <c r="J123" i="17"/>
  <c r="I123" i="17"/>
  <c r="H123" i="17"/>
  <c r="G123" i="17"/>
  <c r="F123" i="17"/>
  <c r="E123" i="17"/>
  <c r="Q122" i="17"/>
  <c r="P122" i="17"/>
  <c r="F122" i="17"/>
  <c r="Q121" i="17"/>
  <c r="P121" i="17"/>
  <c r="F121" i="17"/>
  <c r="Q120" i="17"/>
  <c r="P120" i="17"/>
  <c r="N120" i="17"/>
  <c r="M120" i="17"/>
  <c r="J120" i="17"/>
  <c r="F120" i="17"/>
  <c r="Q119" i="17"/>
  <c r="P119" i="17"/>
  <c r="F119" i="17"/>
  <c r="Q118" i="17"/>
  <c r="P118" i="17"/>
  <c r="J118" i="17"/>
  <c r="G118" i="17"/>
  <c r="F118" i="17"/>
  <c r="Q117" i="17"/>
  <c r="P117" i="17"/>
  <c r="N117" i="17"/>
  <c r="M117" i="17"/>
  <c r="J117" i="17"/>
  <c r="I117" i="17"/>
  <c r="H117" i="17"/>
  <c r="G117" i="17"/>
  <c r="F117" i="17"/>
  <c r="Q116" i="17"/>
  <c r="P116" i="17"/>
  <c r="N116" i="17"/>
  <c r="M116" i="17"/>
  <c r="J116" i="17"/>
  <c r="I116" i="17"/>
  <c r="H116" i="17"/>
  <c r="G116" i="17"/>
  <c r="F116" i="17"/>
  <c r="Q115" i="17"/>
  <c r="P115" i="17"/>
  <c r="N115" i="17"/>
  <c r="M115" i="17"/>
  <c r="J115" i="17"/>
  <c r="I115" i="17"/>
  <c r="G115" i="17"/>
  <c r="F115" i="17"/>
  <c r="Q114" i="17"/>
  <c r="P114" i="17"/>
  <c r="N114" i="17"/>
  <c r="M114" i="17"/>
  <c r="J114" i="17"/>
  <c r="I114" i="17"/>
  <c r="H114" i="17"/>
  <c r="G114" i="17"/>
  <c r="F114" i="17"/>
  <c r="Q113" i="17"/>
  <c r="P113" i="17"/>
  <c r="F113" i="17"/>
  <c r="F112" i="17"/>
  <c r="R112" i="17" s="1"/>
  <c r="J2649" i="3" s="1"/>
  <c r="Q111" i="17"/>
  <c r="P111" i="17"/>
  <c r="O111" i="17"/>
  <c r="N111" i="17"/>
  <c r="M111" i="17"/>
  <c r="J111" i="17"/>
  <c r="I111" i="17"/>
  <c r="H111" i="17"/>
  <c r="G111" i="17"/>
  <c r="F111" i="17"/>
  <c r="F110" i="17"/>
  <c r="R110" i="17" s="1"/>
  <c r="J2614" i="3" s="1"/>
  <c r="O108" i="17"/>
  <c r="N108" i="17"/>
  <c r="M108" i="17"/>
  <c r="L108" i="17"/>
  <c r="K108" i="17"/>
  <c r="J108" i="17"/>
  <c r="I108" i="17"/>
  <c r="H108" i="17"/>
  <c r="G108" i="17"/>
  <c r="E108" i="17"/>
  <c r="Q107" i="17"/>
  <c r="P107" i="17"/>
  <c r="O107" i="17"/>
  <c r="N107" i="17"/>
  <c r="M107" i="17"/>
  <c r="L107" i="17"/>
  <c r="K107" i="17"/>
  <c r="J107" i="17"/>
  <c r="I107" i="17"/>
  <c r="H107" i="17"/>
  <c r="G107" i="17"/>
  <c r="F107" i="17"/>
  <c r="E107" i="17"/>
  <c r="Q106" i="17"/>
  <c r="P106" i="17"/>
  <c r="O106" i="17"/>
  <c r="N106" i="17"/>
  <c r="M106" i="17"/>
  <c r="L106" i="17"/>
  <c r="K106" i="17"/>
  <c r="J106" i="17"/>
  <c r="I106" i="17"/>
  <c r="H106" i="17"/>
  <c r="F106" i="17"/>
  <c r="E106" i="17"/>
  <c r="Q105" i="17"/>
  <c r="P105" i="17"/>
  <c r="O105" i="17"/>
  <c r="N105" i="17"/>
  <c r="M105" i="17"/>
  <c r="L105" i="17"/>
  <c r="K105" i="17"/>
  <c r="J105" i="17"/>
  <c r="I105" i="17"/>
  <c r="H105" i="17"/>
  <c r="G105" i="17"/>
  <c r="F105" i="17"/>
  <c r="E105" i="17"/>
  <c r="Q104" i="17"/>
  <c r="P104" i="17"/>
  <c r="O104" i="17"/>
  <c r="N104" i="17"/>
  <c r="M104" i="17"/>
  <c r="L104" i="17"/>
  <c r="K104" i="17"/>
  <c r="J104" i="17"/>
  <c r="I104" i="17"/>
  <c r="H104" i="17"/>
  <c r="G104" i="17"/>
  <c r="F104" i="17"/>
  <c r="E104" i="17"/>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O101" i="17"/>
  <c r="N101" i="17"/>
  <c r="M101" i="17"/>
  <c r="L101" i="17"/>
  <c r="K101" i="17"/>
  <c r="J101" i="17"/>
  <c r="I101" i="17"/>
  <c r="H101" i="17"/>
  <c r="G101" i="17"/>
  <c r="F101" i="17"/>
  <c r="E101" i="17"/>
  <c r="Q100" i="17"/>
  <c r="P100" i="17"/>
  <c r="O100" i="17"/>
  <c r="N100" i="17"/>
  <c r="M100" i="17"/>
  <c r="L100" i="17"/>
  <c r="K100" i="17"/>
  <c r="J100" i="17"/>
  <c r="I100" i="17"/>
  <c r="H100" i="17"/>
  <c r="G100" i="17"/>
  <c r="F100" i="17"/>
  <c r="E100" i="17"/>
  <c r="Q99" i="17"/>
  <c r="P99" i="17"/>
  <c r="O99" i="17"/>
  <c r="N99" i="17"/>
  <c r="M99" i="17"/>
  <c r="L99" i="17"/>
  <c r="K99" i="17"/>
  <c r="J99" i="17"/>
  <c r="I99" i="17"/>
  <c r="H99" i="17"/>
  <c r="G99" i="17"/>
  <c r="F99" i="17"/>
  <c r="E99" i="17"/>
  <c r="Q98" i="17"/>
  <c r="P98" i="17"/>
  <c r="O98" i="17"/>
  <c r="N98" i="17"/>
  <c r="M98" i="17"/>
  <c r="L98" i="17"/>
  <c r="K98" i="17"/>
  <c r="J98" i="17"/>
  <c r="I98" i="17"/>
  <c r="H98" i="17"/>
  <c r="G98" i="17"/>
  <c r="F98" i="17"/>
  <c r="E98" i="17"/>
  <c r="Q97" i="17"/>
  <c r="P97" i="17"/>
  <c r="O97" i="17"/>
  <c r="N97" i="17"/>
  <c r="M97" i="17"/>
  <c r="L97" i="17"/>
  <c r="K97" i="17"/>
  <c r="J97" i="17"/>
  <c r="I97" i="17"/>
  <c r="H97" i="17"/>
  <c r="G97" i="17"/>
  <c r="F97" i="17"/>
  <c r="E97" i="17"/>
  <c r="Q96" i="17"/>
  <c r="P96" i="17"/>
  <c r="N96" i="17"/>
  <c r="G96" i="17"/>
  <c r="F96" i="17"/>
  <c r="Q95" i="17"/>
  <c r="P95" i="17"/>
  <c r="O95" i="17"/>
  <c r="N95" i="17"/>
  <c r="M95" i="17"/>
  <c r="J95" i="17"/>
  <c r="I95" i="17"/>
  <c r="H95" i="17"/>
  <c r="G95" i="17"/>
  <c r="F95" i="17"/>
  <c r="Q94" i="17"/>
  <c r="P94" i="17"/>
  <c r="O94" i="17"/>
  <c r="N94" i="17"/>
  <c r="M94" i="17"/>
  <c r="J94" i="17"/>
  <c r="I94" i="17"/>
  <c r="H94" i="17"/>
  <c r="G94" i="17"/>
  <c r="F94" i="17"/>
  <c r="Q93" i="17"/>
  <c r="P93" i="17"/>
  <c r="F93" i="17"/>
  <c r="Q92" i="17"/>
  <c r="P92" i="17"/>
  <c r="O92" i="17"/>
  <c r="N92" i="17"/>
  <c r="M92" i="17"/>
  <c r="J92" i="17"/>
  <c r="I92" i="17"/>
  <c r="H92" i="17"/>
  <c r="G92" i="17"/>
  <c r="F92" i="17"/>
  <c r="Q90" i="17"/>
  <c r="P90" i="17"/>
  <c r="O90" i="17"/>
  <c r="N90" i="17"/>
  <c r="M90" i="17"/>
  <c r="J90" i="17"/>
  <c r="I90" i="17"/>
  <c r="H90" i="17"/>
  <c r="G90" i="17"/>
  <c r="F90" i="17"/>
  <c r="Q89" i="17"/>
  <c r="P89" i="17"/>
  <c r="G89" i="17"/>
  <c r="F89" i="17"/>
  <c r="Q88" i="17"/>
  <c r="P88" i="17"/>
  <c r="O88" i="17"/>
  <c r="N88" i="17"/>
  <c r="M88" i="17"/>
  <c r="J88" i="17"/>
  <c r="I88" i="17"/>
  <c r="H88" i="17"/>
  <c r="G88" i="17"/>
  <c r="F88" i="17"/>
  <c r="Q87" i="17"/>
  <c r="P87" i="17"/>
  <c r="O87" i="17"/>
  <c r="N87" i="17"/>
  <c r="M87" i="17"/>
  <c r="J87" i="17"/>
  <c r="I87" i="17"/>
  <c r="H87" i="17"/>
  <c r="G87" i="17"/>
  <c r="F87" i="17"/>
  <c r="Q86" i="17"/>
  <c r="P86" i="17"/>
  <c r="O86" i="17"/>
  <c r="N86" i="17"/>
  <c r="M86" i="17"/>
  <c r="J86" i="17"/>
  <c r="I86" i="17"/>
  <c r="H86" i="17"/>
  <c r="G86" i="17"/>
  <c r="F86" i="17"/>
  <c r="Q84" i="17"/>
  <c r="P84" i="17"/>
  <c r="O84" i="17"/>
  <c r="N84" i="17"/>
  <c r="M84" i="17"/>
  <c r="J84" i="17"/>
  <c r="I84" i="17"/>
  <c r="H84" i="17"/>
  <c r="G84" i="17"/>
  <c r="F84" i="17"/>
  <c r="N83" i="17"/>
  <c r="G83" i="17"/>
  <c r="F83" i="17"/>
  <c r="Q82" i="17"/>
  <c r="P82" i="17"/>
  <c r="O82" i="17"/>
  <c r="N82" i="17"/>
  <c r="M82" i="17"/>
  <c r="J82" i="17"/>
  <c r="G82" i="17"/>
  <c r="F82" i="17"/>
  <c r="E82" i="17"/>
  <c r="G81" i="17"/>
  <c r="F81" i="17"/>
  <c r="Q80" i="17"/>
  <c r="P80" i="17"/>
  <c r="O80" i="17"/>
  <c r="N80" i="17"/>
  <c r="M80" i="17"/>
  <c r="J80" i="17"/>
  <c r="G80" i="17"/>
  <c r="F80" i="17"/>
  <c r="Q79" i="17"/>
  <c r="P79" i="17"/>
  <c r="O79" i="17"/>
  <c r="N79" i="17"/>
  <c r="M79" i="17"/>
  <c r="J79" i="17"/>
  <c r="G79" i="17"/>
  <c r="F79" i="17"/>
  <c r="Q78" i="17"/>
  <c r="P78" i="17"/>
  <c r="O78" i="17"/>
  <c r="N78" i="17"/>
  <c r="M78" i="17"/>
  <c r="J78" i="17"/>
  <c r="G78" i="17"/>
  <c r="F78" i="17"/>
  <c r="Q77" i="17"/>
  <c r="O77" i="17"/>
  <c r="N77" i="17"/>
  <c r="M77" i="17"/>
  <c r="J77" i="17"/>
  <c r="G77" i="17"/>
  <c r="F77" i="17"/>
  <c r="Q76" i="17"/>
  <c r="O76" i="17"/>
  <c r="N76" i="17"/>
  <c r="M76" i="17"/>
  <c r="J76" i="17"/>
  <c r="I76" i="17"/>
  <c r="H76" i="17"/>
  <c r="G76" i="17"/>
  <c r="F76" i="17"/>
  <c r="Q75" i="17"/>
  <c r="P75" i="17"/>
  <c r="N75" i="17"/>
  <c r="J75" i="17"/>
  <c r="G75" i="17"/>
  <c r="F75" i="17"/>
  <c r="Q74" i="17"/>
  <c r="P74" i="17"/>
  <c r="O74" i="17"/>
  <c r="N74" i="17"/>
  <c r="H74" i="17"/>
  <c r="G74" i="17"/>
  <c r="F74" i="17"/>
  <c r="Q73" i="17"/>
  <c r="P73" i="17"/>
  <c r="O73" i="17"/>
  <c r="N73" i="17"/>
  <c r="M73" i="17"/>
  <c r="J73" i="17"/>
  <c r="I73" i="17"/>
  <c r="H73" i="17"/>
  <c r="G73" i="17"/>
  <c r="F73" i="17"/>
  <c r="Q72" i="17"/>
  <c r="P72" i="17"/>
  <c r="O72" i="17"/>
  <c r="N72" i="17"/>
  <c r="M72" i="17"/>
  <c r="J72" i="17"/>
  <c r="I72" i="17"/>
  <c r="H72" i="17"/>
  <c r="G72" i="17"/>
  <c r="F72" i="17"/>
  <c r="Q71" i="17"/>
  <c r="P71" i="17"/>
  <c r="N71" i="17"/>
  <c r="G71" i="17"/>
  <c r="F71" i="17"/>
  <c r="Q70" i="17"/>
  <c r="P70" i="17"/>
  <c r="O70" i="17"/>
  <c r="N70" i="17"/>
  <c r="M70" i="17"/>
  <c r="J70" i="17"/>
  <c r="I70" i="17"/>
  <c r="H70" i="17"/>
  <c r="G70" i="17"/>
  <c r="F70" i="17"/>
  <c r="Q69" i="17"/>
  <c r="P69" i="17"/>
  <c r="O69" i="17"/>
  <c r="N69" i="17"/>
  <c r="M69" i="17"/>
  <c r="J69" i="17"/>
  <c r="I69" i="17"/>
  <c r="H69" i="17"/>
  <c r="G69" i="17"/>
  <c r="F69" i="17"/>
  <c r="Q68" i="17"/>
  <c r="P68" i="17"/>
  <c r="O68" i="17"/>
  <c r="N68" i="17"/>
  <c r="M68" i="17"/>
  <c r="J68" i="17"/>
  <c r="I68" i="17"/>
  <c r="H68" i="17"/>
  <c r="G68" i="17"/>
  <c r="F68" i="17"/>
  <c r="R67" i="17"/>
  <c r="J1554" i="3" s="1"/>
  <c r="R66" i="17"/>
  <c r="J1540" i="3" s="1"/>
  <c r="R65" i="17"/>
  <c r="J1531" i="3" s="1"/>
  <c r="P64" i="17"/>
  <c r="R64" i="17" s="1"/>
  <c r="J1511" i="3" s="1"/>
  <c r="P63" i="17"/>
  <c r="G63" i="17"/>
  <c r="F63" i="17"/>
  <c r="G62" i="17"/>
  <c r="F62" i="17"/>
  <c r="G61" i="17"/>
  <c r="F61" i="17"/>
  <c r="P60" i="17"/>
  <c r="G60" i="17"/>
  <c r="F60" i="17"/>
  <c r="G59" i="17"/>
  <c r="F59" i="17"/>
  <c r="G58" i="17"/>
  <c r="F58" i="17"/>
  <c r="G57" i="17"/>
  <c r="F57" i="17"/>
  <c r="G56" i="17"/>
  <c r="F56" i="17"/>
  <c r="G55" i="17"/>
  <c r="F55" i="17"/>
  <c r="G54" i="17"/>
  <c r="F54" i="17"/>
  <c r="P53" i="17"/>
  <c r="G53" i="17"/>
  <c r="F53" i="17"/>
  <c r="G52" i="17"/>
  <c r="F52" i="17"/>
  <c r="G51" i="17"/>
  <c r="F51" i="17"/>
  <c r="G50" i="17"/>
  <c r="F50" i="17"/>
  <c r="P49" i="17"/>
  <c r="G49" i="17"/>
  <c r="F49" i="17"/>
  <c r="P48" i="17"/>
  <c r="G48" i="17"/>
  <c r="F48" i="17"/>
  <c r="G47" i="17"/>
  <c r="F47" i="17"/>
  <c r="R47" i="17" s="1"/>
  <c r="J1222" i="3" s="1"/>
  <c r="G46" i="17"/>
  <c r="F46" i="17"/>
  <c r="G45" i="17"/>
  <c r="F45" i="17"/>
  <c r="G44" i="17"/>
  <c r="F44" i="17"/>
  <c r="G43" i="17"/>
  <c r="F43" i="17"/>
  <c r="G42" i="17"/>
  <c r="F42" i="17"/>
  <c r="G41" i="17"/>
  <c r="F41" i="17"/>
  <c r="R41" i="17" s="1"/>
  <c r="J1133" i="3" s="1"/>
  <c r="G40" i="17"/>
  <c r="F40" i="17"/>
  <c r="G39" i="17"/>
  <c r="F39" i="17"/>
  <c r="G38" i="17"/>
  <c r="F38" i="17"/>
  <c r="R38" i="17" s="1"/>
  <c r="J1091" i="3" s="1"/>
  <c r="G37" i="17"/>
  <c r="F37" i="17"/>
  <c r="G36" i="17"/>
  <c r="F36" i="17"/>
  <c r="G35" i="17"/>
  <c r="F35" i="17"/>
  <c r="G34" i="17"/>
  <c r="F34" i="17"/>
  <c r="G33" i="17"/>
  <c r="F33" i="17"/>
  <c r="G32" i="17"/>
  <c r="F32" i="17"/>
  <c r="G31" i="17"/>
  <c r="F31" i="17"/>
  <c r="G30" i="17"/>
  <c r="F30" i="17"/>
  <c r="G29" i="17"/>
  <c r="F29" i="17"/>
  <c r="F28" i="17"/>
  <c r="R28" i="17" s="1"/>
  <c r="J964" i="3" s="1"/>
  <c r="P27" i="17"/>
  <c r="G27" i="17"/>
  <c r="F27" i="17"/>
  <c r="Q26" i="17"/>
  <c r="P26" i="17"/>
  <c r="N26" i="17"/>
  <c r="L26" i="17"/>
  <c r="G26" i="17"/>
  <c r="F26" i="17"/>
  <c r="F25" i="17"/>
  <c r="R25" i="17" s="1"/>
  <c r="J828" i="3" s="1"/>
  <c r="F24" i="17"/>
  <c r="R24" i="17" s="1"/>
  <c r="J810" i="3" s="1"/>
  <c r="F23" i="17"/>
  <c r="R23" i="17" s="1"/>
  <c r="Q22" i="17"/>
  <c r="P22" i="17"/>
  <c r="O22" i="17"/>
  <c r="N22" i="17"/>
  <c r="J22" i="17"/>
  <c r="F22" i="17"/>
  <c r="Q21" i="17"/>
  <c r="P21" i="17"/>
  <c r="F21" i="17"/>
  <c r="F20" i="17"/>
  <c r="R20" i="17" s="1"/>
  <c r="J772" i="3" s="1"/>
  <c r="Q19" i="17"/>
  <c r="P19" i="17"/>
  <c r="F19" i="17"/>
  <c r="F18" i="17"/>
  <c r="R18" i="17" s="1"/>
  <c r="J714" i="3" s="1"/>
  <c r="Q17" i="17"/>
  <c r="P17" i="17"/>
  <c r="G17" i="17"/>
  <c r="F17" i="17"/>
  <c r="Q16" i="17"/>
  <c r="P16" i="17"/>
  <c r="O16" i="17"/>
  <c r="G16" i="17"/>
  <c r="F16" i="17"/>
  <c r="E16" i="17"/>
  <c r="Q14" i="17"/>
  <c r="P14" i="17"/>
  <c r="O14" i="17"/>
  <c r="N14" i="17"/>
  <c r="M14" i="17"/>
  <c r="L14" i="17"/>
  <c r="K14" i="17"/>
  <c r="J14" i="17"/>
  <c r="I14" i="17"/>
  <c r="G14" i="17"/>
  <c r="F14" i="17"/>
  <c r="E14" i="17"/>
  <c r="Q13" i="17"/>
  <c r="P13" i="17"/>
  <c r="N13" i="17"/>
  <c r="M13" i="17"/>
  <c r="J13" i="17"/>
  <c r="I13" i="17"/>
  <c r="H13" i="17"/>
  <c r="G13" i="17"/>
  <c r="F13" i="17"/>
  <c r="E13" i="17"/>
  <c r="Q12" i="17"/>
  <c r="P12" i="17"/>
  <c r="O12" i="17"/>
  <c r="N12" i="17"/>
  <c r="M12" i="17"/>
  <c r="L12" i="17"/>
  <c r="K12" i="17"/>
  <c r="J12" i="17"/>
  <c r="I12" i="17"/>
  <c r="H12" i="17"/>
  <c r="G12" i="17"/>
  <c r="F12" i="17"/>
  <c r="E12" i="17"/>
  <c r="Q11" i="17"/>
  <c r="P11" i="17"/>
  <c r="O11" i="17"/>
  <c r="N11" i="17"/>
  <c r="M11" i="17"/>
  <c r="L11" i="17"/>
  <c r="K11" i="17"/>
  <c r="J11" i="17"/>
  <c r="I11" i="17"/>
  <c r="H11" i="17"/>
  <c r="G11" i="17"/>
  <c r="F11" i="17"/>
  <c r="E11" i="17"/>
  <c r="Q10" i="17"/>
  <c r="P10" i="17"/>
  <c r="O10" i="17"/>
  <c r="N10" i="17"/>
  <c r="M10" i="17"/>
  <c r="L10" i="17"/>
  <c r="K10" i="17"/>
  <c r="J10" i="17"/>
  <c r="I10" i="17"/>
  <c r="H10" i="17"/>
  <c r="G10" i="17"/>
  <c r="F10" i="17"/>
  <c r="E10" i="17"/>
  <c r="F9" i="17"/>
  <c r="R9" i="17" s="1"/>
  <c r="J487" i="3" s="1"/>
  <c r="F8" i="17"/>
  <c r="R8" i="17" s="1"/>
  <c r="J440" i="3" s="1"/>
  <c r="F7" i="17"/>
  <c r="R7" i="17" s="1"/>
  <c r="F6" i="17"/>
  <c r="R6" i="17" s="1"/>
  <c r="J397" i="3" s="1"/>
  <c r="F5" i="17"/>
  <c r="R5" i="17" s="1"/>
  <c r="J387" i="3" s="1"/>
  <c r="F4" i="17"/>
  <c r="R4" i="17" s="1"/>
  <c r="J365" i="3" s="1"/>
  <c r="K902" i="3"/>
  <c r="R81" i="17" l="1"/>
  <c r="J1946" i="3" s="1"/>
  <c r="R61" i="17"/>
  <c r="R30" i="17"/>
  <c r="J989" i="3" s="1"/>
  <c r="R231" i="17"/>
  <c r="J4542" i="3" s="1"/>
  <c r="R221" i="17"/>
  <c r="J4399" i="3" s="1"/>
  <c r="R224" i="17"/>
  <c r="J4443" i="3" s="1"/>
  <c r="R256" i="17"/>
  <c r="J4928" i="3" s="1"/>
  <c r="R51" i="17"/>
  <c r="J1308" i="3" s="1"/>
  <c r="R62" i="17"/>
  <c r="J1473" i="3" s="1"/>
  <c r="R157" i="17"/>
  <c r="J3425" i="3" s="1"/>
  <c r="R179" i="17"/>
  <c r="J3747" i="3" s="1"/>
  <c r="R45" i="17"/>
  <c r="R56" i="17"/>
  <c r="J1398" i="3" s="1"/>
  <c r="R207" i="17"/>
  <c r="R29" i="17"/>
  <c r="J979" i="3" s="1"/>
  <c r="R33" i="17"/>
  <c r="J1027" i="3" s="1"/>
  <c r="R44" i="17"/>
  <c r="J1189" i="3" s="1"/>
  <c r="R254" i="17"/>
  <c r="R52" i="17"/>
  <c r="J1329" i="3" s="1"/>
  <c r="R119" i="17"/>
  <c r="J2803" i="3" s="1"/>
  <c r="R222" i="17"/>
  <c r="J4410" i="3" s="1"/>
  <c r="R216" i="17"/>
  <c r="J4237" i="3" s="1"/>
  <c r="R31" i="17"/>
  <c r="J1002" i="3" s="1"/>
  <c r="R35" i="17"/>
  <c r="J1052" i="3" s="1"/>
  <c r="R255" i="17"/>
  <c r="J4915" i="3" s="1"/>
  <c r="R174" i="17"/>
  <c r="J3682" i="3" s="1"/>
  <c r="R223" i="17"/>
  <c r="J4421" i="3" s="1"/>
  <c r="R261" i="17"/>
  <c r="J5019" i="3" s="1"/>
  <c r="R269" i="17"/>
  <c r="J5165" i="3" s="1"/>
  <c r="R220" i="17"/>
  <c r="J4390" i="3" s="1"/>
  <c r="R262" i="17"/>
  <c r="J5045" i="3" s="1"/>
  <c r="R37" i="17"/>
  <c r="J1083" i="3" s="1"/>
  <c r="R71" i="17"/>
  <c r="J1683" i="3" s="1"/>
  <c r="R73" i="17"/>
  <c r="J1723" i="3" s="1"/>
  <c r="R75" i="17"/>
  <c r="J1763" i="3" s="1"/>
  <c r="R147" i="17"/>
  <c r="J3239" i="3" s="1"/>
  <c r="R156" i="17"/>
  <c r="J3414" i="3" s="1"/>
  <c r="R185" i="17"/>
  <c r="J3823" i="3" s="1"/>
  <c r="R196" i="17"/>
  <c r="J3973" i="3" s="1"/>
  <c r="R250" i="17"/>
  <c r="J4842" i="3" s="1"/>
  <c r="R275" i="17"/>
  <c r="J5234" i="3" s="1"/>
  <c r="R95" i="17"/>
  <c r="J2186" i="3" s="1"/>
  <c r="R133" i="17"/>
  <c r="J3039" i="3" s="1"/>
  <c r="R186" i="17"/>
  <c r="J3839" i="3" s="1"/>
  <c r="R210" i="17"/>
  <c r="J4146" i="3" s="1"/>
  <c r="R218" i="17"/>
  <c r="J4327" i="3" s="1"/>
  <c r="R233" i="17"/>
  <c r="J4566" i="3" s="1"/>
  <c r="R243" i="17"/>
  <c r="R245" i="17"/>
  <c r="J4756" i="3" s="1"/>
  <c r="R42" i="17"/>
  <c r="J1151" i="3" s="1"/>
  <c r="R83" i="17"/>
  <c r="J2005" i="3" s="1"/>
  <c r="R146" i="17"/>
  <c r="J3228" i="3" s="1"/>
  <c r="R215" i="17"/>
  <c r="J4221" i="3" s="1"/>
  <c r="R248" i="17"/>
  <c r="J4804" i="3" s="1"/>
  <c r="R263" i="17"/>
  <c r="J5077" i="3" s="1"/>
  <c r="R268" i="17"/>
  <c r="J5155" i="3" s="1"/>
  <c r="R12" i="17"/>
  <c r="J512" i="3" s="1"/>
  <c r="R198" i="17"/>
  <c r="J3994" i="3" s="1"/>
  <c r="R213" i="17"/>
  <c r="J4200" i="3" s="1"/>
  <c r="R106" i="17"/>
  <c r="J2440" i="3" s="1"/>
  <c r="R239" i="17"/>
  <c r="J4625" i="3" s="1"/>
  <c r="R244" i="17"/>
  <c r="J4737" i="3" s="1"/>
  <c r="R274" i="17"/>
  <c r="J5224" i="3" s="1"/>
  <c r="R19" i="17"/>
  <c r="J764" i="3" s="1"/>
  <c r="R111" i="17"/>
  <c r="R152" i="17"/>
  <c r="J3334" i="3" s="1"/>
  <c r="R187" i="17"/>
  <c r="J3851" i="3" s="1"/>
  <c r="R219" i="17"/>
  <c r="J4341" i="3" s="1"/>
  <c r="R32" i="17"/>
  <c r="J1015" i="3" s="1"/>
  <c r="R36" i="17"/>
  <c r="J1064" i="3" s="1"/>
  <c r="R54" i="17"/>
  <c r="J1368" i="3" s="1"/>
  <c r="R103" i="17"/>
  <c r="J2355" i="3" s="1"/>
  <c r="R140" i="17"/>
  <c r="R161" i="17"/>
  <c r="J3481" i="3" s="1"/>
  <c r="R166" i="17"/>
  <c r="J3560" i="3" s="1"/>
  <c r="R199" i="17"/>
  <c r="J4003" i="3" s="1"/>
  <c r="R236" i="17"/>
  <c r="R252" i="17"/>
  <c r="J4894" i="3" s="1"/>
  <c r="R14" i="17"/>
  <c r="J570" i="3" s="1"/>
  <c r="R27" i="17"/>
  <c r="J910" i="3" s="1"/>
  <c r="R34" i="17"/>
  <c r="J1036" i="3" s="1"/>
  <c r="R48" i="17"/>
  <c r="J1246" i="3" s="1"/>
  <c r="R58" i="17"/>
  <c r="J1426" i="3" s="1"/>
  <c r="R70" i="17"/>
  <c r="J1660" i="3" s="1"/>
  <c r="R76" i="17"/>
  <c r="J1847" i="3" s="1"/>
  <c r="R78" i="17"/>
  <c r="J1888" i="3" s="1"/>
  <c r="R79" i="17"/>
  <c r="J1903" i="3" s="1"/>
  <c r="R80" i="17"/>
  <c r="J1927" i="3" s="1"/>
  <c r="R84" i="17"/>
  <c r="J2023" i="3" s="1"/>
  <c r="R89" i="17"/>
  <c r="J2091" i="3" s="1"/>
  <c r="R98" i="17"/>
  <c r="J2230" i="3" s="1"/>
  <c r="R107" i="17"/>
  <c r="J2470" i="3" s="1"/>
  <c r="R116" i="17"/>
  <c r="J2734" i="3" s="1"/>
  <c r="R117" i="17"/>
  <c r="J2775" i="3" s="1"/>
  <c r="R121" i="17"/>
  <c r="J2830" i="3" s="1"/>
  <c r="R125" i="17"/>
  <c r="J2895" i="3" s="1"/>
  <c r="R137" i="17"/>
  <c r="J3081" i="3" s="1"/>
  <c r="R141" i="17"/>
  <c r="J3176" i="3" s="1"/>
  <c r="R160" i="17"/>
  <c r="J3464" i="3" s="1"/>
  <c r="R181" i="17"/>
  <c r="J3769" i="3" s="1"/>
  <c r="R189" i="17"/>
  <c r="J3880" i="3" s="1"/>
  <c r="R197" i="17"/>
  <c r="J3985" i="3" s="1"/>
  <c r="R209" i="17"/>
  <c r="J4125" i="3" s="1"/>
  <c r="R226" i="17"/>
  <c r="J4470" i="3" s="1"/>
  <c r="R228" i="17"/>
  <c r="J4490" i="3" s="1"/>
  <c r="R235" i="17"/>
  <c r="J4582" i="3" s="1"/>
  <c r="R242" i="17"/>
  <c r="J4688" i="3" s="1"/>
  <c r="R100" i="17"/>
  <c r="J2265" i="3" s="1"/>
  <c r="R118" i="17"/>
  <c r="J2795" i="3" s="1"/>
  <c r="R120" i="17"/>
  <c r="J2818" i="3" s="1"/>
  <c r="R127" i="17"/>
  <c r="J2916" i="3" s="1"/>
  <c r="R149" i="17"/>
  <c r="J3290" i="3" s="1"/>
  <c r="R154" i="17"/>
  <c r="J3358" i="3" s="1"/>
  <c r="R202" i="17"/>
  <c r="J4027" i="3" s="1"/>
  <c r="R240" i="17"/>
  <c r="J4664" i="3" s="1"/>
  <c r="R253" i="17"/>
  <c r="J4903" i="3" s="1"/>
  <c r="R77" i="17"/>
  <c r="J1873" i="3" s="1"/>
  <c r="R17" i="17"/>
  <c r="J692" i="3" s="1"/>
  <c r="R21" i="17"/>
  <c r="J782" i="3" s="1"/>
  <c r="R39" i="17"/>
  <c r="J1100" i="3" s="1"/>
  <c r="R46" i="17"/>
  <c r="J1201" i="3" s="1"/>
  <c r="R49" i="17"/>
  <c r="J1271" i="3" s="1"/>
  <c r="R59" i="17"/>
  <c r="J1443" i="3" s="1"/>
  <c r="R68" i="17"/>
  <c r="J1575" i="3" s="1"/>
  <c r="R82" i="17"/>
  <c r="J1984" i="3" s="1"/>
  <c r="R86" i="17"/>
  <c r="J2056" i="3" s="1"/>
  <c r="R87" i="17"/>
  <c r="J2068" i="3" s="1"/>
  <c r="R90" i="17"/>
  <c r="J2106" i="3" s="1"/>
  <c r="R97" i="17"/>
  <c r="J2207" i="3" s="1"/>
  <c r="R105" i="17"/>
  <c r="J2408" i="3" s="1"/>
  <c r="R108" i="17"/>
  <c r="J2500" i="3" s="1"/>
  <c r="R113" i="17"/>
  <c r="J2669" i="3" s="1"/>
  <c r="R122" i="17"/>
  <c r="J2842" i="3" s="1"/>
  <c r="R124" i="17"/>
  <c r="J2884" i="3" s="1"/>
  <c r="R138" i="17"/>
  <c r="J3117" i="3" s="1"/>
  <c r="R159" i="17"/>
  <c r="J3453" i="3" s="1"/>
  <c r="R162" i="17"/>
  <c r="J3502" i="3" s="1"/>
  <c r="R170" i="17"/>
  <c r="J3630" i="3" s="1"/>
  <c r="R175" i="17"/>
  <c r="J3693" i="3" s="1"/>
  <c r="R180" i="17"/>
  <c r="J3758" i="3" s="1"/>
  <c r="R182" i="17"/>
  <c r="J3780" i="3" s="1"/>
  <c r="R211" i="17"/>
  <c r="J4163" i="3" s="1"/>
  <c r="R229" i="17"/>
  <c r="J4501" i="3" s="1"/>
  <c r="R241" i="17"/>
  <c r="R266" i="17"/>
  <c r="J5138" i="3" s="1"/>
  <c r="R26" i="17"/>
  <c r="J897" i="3" s="1"/>
  <c r="R55" i="17"/>
  <c r="J1377" i="3" s="1"/>
  <c r="R11" i="17"/>
  <c r="J502" i="3" s="1"/>
  <c r="R16" i="17"/>
  <c r="J679" i="3" s="1"/>
  <c r="R43" i="17"/>
  <c r="J1166" i="3" s="1"/>
  <c r="R53" i="17"/>
  <c r="J1346" i="3" s="1"/>
  <c r="R63" i="17"/>
  <c r="J1482" i="3" s="1"/>
  <c r="R74" i="17"/>
  <c r="J1739" i="3" s="1"/>
  <c r="R94" i="17"/>
  <c r="J2172" i="3" s="1"/>
  <c r="R102" i="17"/>
  <c r="J2333" i="3" s="1"/>
  <c r="R151" i="17"/>
  <c r="J3322" i="3" s="1"/>
  <c r="R164" i="17"/>
  <c r="J3529" i="3" s="1"/>
  <c r="R195" i="17"/>
  <c r="J3949" i="3" s="1"/>
  <c r="R204" i="17"/>
  <c r="R212" i="17"/>
  <c r="J4179" i="3" s="1"/>
  <c r="R214" i="17"/>
  <c r="J4209" i="3" s="1"/>
  <c r="R227" i="17"/>
  <c r="J4478" i="3" s="1"/>
  <c r="R232" i="17"/>
  <c r="J4557" i="3" s="1"/>
  <c r="R238" i="17"/>
  <c r="R251" i="17"/>
  <c r="J4864" i="3" s="1"/>
  <c r="R265" i="17"/>
  <c r="J5115" i="3" s="1"/>
  <c r="R270" i="17"/>
  <c r="J5186" i="3" s="1"/>
  <c r="R88" i="17"/>
  <c r="J2080" i="3" s="1"/>
  <c r="R145" i="17"/>
  <c r="R155" i="17"/>
  <c r="J3393" i="3" s="1"/>
  <c r="J4094" i="3"/>
  <c r="J4085" i="3"/>
  <c r="R246" i="17"/>
  <c r="J4770" i="3" s="1"/>
  <c r="R69" i="17"/>
  <c r="J1630" i="3" s="1"/>
  <c r="R99" i="17"/>
  <c r="J2252" i="3" s="1"/>
  <c r="R128" i="17"/>
  <c r="J2956" i="3" s="1"/>
  <c r="R129" i="17"/>
  <c r="J2982" i="3" s="1"/>
  <c r="R158" i="17"/>
  <c r="J3438" i="3" s="1"/>
  <c r="R184" i="17"/>
  <c r="J3802" i="3" s="1"/>
  <c r="R13" i="17"/>
  <c r="J538" i="3" s="1"/>
  <c r="R22" i="17"/>
  <c r="J792" i="3" s="1"/>
  <c r="R40" i="17"/>
  <c r="R50" i="17"/>
  <c r="J1294" i="3" s="1"/>
  <c r="R57" i="17"/>
  <c r="J1407" i="3" s="1"/>
  <c r="R60" i="17"/>
  <c r="J1465" i="3" s="1"/>
  <c r="R72" i="17"/>
  <c r="J1703" i="3" s="1"/>
  <c r="R92" i="17"/>
  <c r="J2134" i="3" s="1"/>
  <c r="R96" i="17"/>
  <c r="J2196" i="3" s="1"/>
  <c r="R104" i="17"/>
  <c r="J2381" i="3" s="1"/>
  <c r="R114" i="17"/>
  <c r="J2691" i="3" s="1"/>
  <c r="R123" i="17"/>
  <c r="J2863" i="3" s="1"/>
  <c r="R150" i="17"/>
  <c r="J3311" i="3" s="1"/>
  <c r="R183" i="17"/>
  <c r="J3791" i="3" s="1"/>
  <c r="R190" i="17"/>
  <c r="J3889" i="3" s="1"/>
  <c r="R205" i="17"/>
  <c r="J4066" i="3" s="1"/>
  <c r="R208" i="17"/>
  <c r="R230" i="17"/>
  <c r="J4523" i="3" s="1"/>
  <c r="R10" i="17"/>
  <c r="R93" i="17"/>
  <c r="J2147" i="3" s="1"/>
  <c r="R101" i="17"/>
  <c r="J2303" i="3" s="1"/>
  <c r="R115" i="17"/>
  <c r="J2703" i="3" s="1"/>
  <c r="R126" i="17"/>
  <c r="J2906" i="3" s="1"/>
  <c r="R139" i="17"/>
  <c r="J3150" i="3" s="1"/>
  <c r="R142" i="17"/>
  <c r="J3187" i="3" s="1"/>
  <c r="R148" i="17"/>
  <c r="J3269" i="3" s="1"/>
  <c r="R163" i="17"/>
  <c r="J3511" i="3" s="1"/>
  <c r="R169" i="17"/>
  <c r="J3604" i="3" s="1"/>
  <c r="R194" i="17"/>
  <c r="J3935" i="3" s="1"/>
  <c r="R225" i="17"/>
  <c r="J4452" i="3" s="1"/>
  <c r="R234" i="17"/>
  <c r="K4285" i="3"/>
  <c r="K4286" i="3" s="1"/>
  <c r="K4303" i="3"/>
  <c r="K4304" i="3" s="1"/>
  <c r="J65" i="3" l="1"/>
  <c r="J45" i="3"/>
  <c r="J24" i="3"/>
  <c r="K23" i="3"/>
  <c r="K22" i="3"/>
  <c r="K21" i="3"/>
  <c r="K20" i="3"/>
  <c r="K19" i="3"/>
  <c r="K18" i="3"/>
  <c r="K17" i="3"/>
  <c r="K16" i="3"/>
  <c r="K15" i="3"/>
  <c r="K14" i="3"/>
  <c r="K13" i="3"/>
  <c r="K12" i="3"/>
  <c r="K11" i="3"/>
  <c r="K10" i="3"/>
  <c r="K9" i="3"/>
  <c r="K65" i="3" l="1"/>
  <c r="K66" i="3" s="1"/>
  <c r="K67" i="3" s="1"/>
  <c r="K24" i="3"/>
  <c r="K25" i="3" s="1"/>
  <c r="K69" i="3" s="1"/>
  <c r="K45" i="3"/>
  <c r="K46" i="3" s="1"/>
  <c r="K68" i="3" s="1"/>
  <c r="K70" i="3" l="1"/>
  <c r="K72" i="3" s="1"/>
  <c r="G4038" i="3" l="1"/>
  <c r="K3713" i="3"/>
  <c r="G907" i="3" l="1"/>
  <c r="G906" i="3"/>
  <c r="G905" i="3"/>
  <c r="G904" i="3"/>
  <c r="G903" i="3"/>
  <c r="G902" i="3"/>
  <c r="G1479" i="3"/>
  <c r="G1477" i="3"/>
  <c r="K907" i="3" l="1"/>
  <c r="K903" i="3"/>
  <c r="K906" i="3"/>
  <c r="K905" i="3"/>
  <c r="K470" i="3"/>
  <c r="E805" i="3"/>
  <c r="E804" i="3"/>
  <c r="E803" i="3"/>
  <c r="E824" i="3"/>
  <c r="E823" i="3"/>
  <c r="K5228" i="3" l="1"/>
  <c r="K5229" i="3"/>
  <c r="E5132" i="3"/>
  <c r="E3519" i="3"/>
  <c r="E3518" i="3"/>
  <c r="E3472" i="3"/>
  <c r="E3471" i="3"/>
  <c r="E3384" i="3"/>
  <c r="E3383" i="3"/>
  <c r="E3341" i="3"/>
  <c r="E3340" i="3"/>
  <c r="E5072" i="3"/>
  <c r="E5071" i="3"/>
  <c r="E5070" i="3"/>
  <c r="E5069" i="3"/>
  <c r="E5068" i="3"/>
  <c r="K5034" i="3"/>
  <c r="E5038" i="3"/>
  <c r="K5010" i="3"/>
  <c r="E5012" i="3"/>
  <c r="E5011" i="3"/>
  <c r="E4964" i="3"/>
  <c r="E4963" i="3"/>
  <c r="E4961" i="3"/>
  <c r="E4921" i="3"/>
  <c r="E4920" i="3"/>
  <c r="K4898" i="3"/>
  <c r="K4899" i="3" s="1"/>
  <c r="E4838" i="3" l="1"/>
  <c r="K4838" i="3" s="1"/>
  <c r="E4819" i="3"/>
  <c r="K4819" i="3" s="1"/>
  <c r="E4733" i="3" l="1"/>
  <c r="E4681" i="3"/>
  <c r="K4681" i="3" s="1"/>
  <c r="E4682" i="3"/>
  <c r="K4682" i="3" s="1"/>
  <c r="G4603" i="3"/>
  <c r="G4604" i="3"/>
  <c r="K4604" i="3" s="1"/>
  <c r="E4603" i="3"/>
  <c r="E4578" i="3"/>
  <c r="E4552" i="3"/>
  <c r="E4551" i="3"/>
  <c r="E4550" i="3"/>
  <c r="G4548" i="3"/>
  <c r="E4548" i="3"/>
  <c r="E4547" i="3"/>
  <c r="E4496" i="3"/>
  <c r="E4495" i="3"/>
  <c r="E4485" i="3"/>
  <c r="E4483" i="3"/>
  <c r="E4438" i="3"/>
  <c r="K4438" i="3" s="1"/>
  <c r="E4437" i="3"/>
  <c r="E4436" i="3"/>
  <c r="E4385" i="3"/>
  <c r="E4384" i="3"/>
  <c r="E4382" i="3"/>
  <c r="G4335" i="3"/>
  <c r="K4335" i="3" s="1"/>
  <c r="G4334" i="3"/>
  <c r="K4216" i="3"/>
  <c r="K4215" i="3"/>
  <c r="K4214" i="3"/>
  <c r="K4213" i="3"/>
  <c r="I4168" i="3" l="1"/>
  <c r="E4104" i="3"/>
  <c r="G4037" i="3"/>
  <c r="K4037" i="3" s="1"/>
  <c r="K3846" i="3"/>
  <c r="K3719" i="3"/>
  <c r="K3720" i="3"/>
  <c r="K3718" i="3"/>
  <c r="G3665" i="3"/>
  <c r="K3665" i="3" s="1"/>
  <c r="K3554" i="3"/>
  <c r="K3721" i="3" l="1"/>
  <c r="K3724" i="3" s="1"/>
  <c r="K3725" i="3" s="1"/>
  <c r="K3726" i="3" s="1"/>
  <c r="E3260" i="3"/>
  <c r="E3259" i="3"/>
  <c r="E2854" i="3" l="1"/>
  <c r="E2853" i="3"/>
  <c r="E3108" i="3"/>
  <c r="K3108" i="3" s="1"/>
  <c r="E3107" i="3"/>
  <c r="K3107" i="3" s="1"/>
  <c r="G3026" i="3"/>
  <c r="K3026" i="3" s="1"/>
  <c r="K2975" i="3"/>
  <c r="K2935" i="3"/>
  <c r="K2925" i="3"/>
  <c r="K2976" i="3" l="1"/>
  <c r="E2609" i="3"/>
  <c r="E2491" i="3"/>
  <c r="E2490" i="3"/>
  <c r="E2489" i="3"/>
  <c r="E2488" i="3"/>
  <c r="E2459" i="3"/>
  <c r="E2458" i="3"/>
  <c r="G2458" i="3" s="1"/>
  <c r="E2461" i="3"/>
  <c r="E2460" i="3"/>
  <c r="E2426" i="3"/>
  <c r="E2425" i="3"/>
  <c r="E2428" i="3"/>
  <c r="E2403" i="3"/>
  <c r="E2402" i="3"/>
  <c r="E2401" i="3"/>
  <c r="E2400" i="3"/>
  <c r="E2399" i="3"/>
  <c r="E2398" i="3"/>
  <c r="E2373" i="3"/>
  <c r="E2372" i="3"/>
  <c r="E2347" i="3"/>
  <c r="E2346" i="3"/>
  <c r="E2345" i="3"/>
  <c r="E2344" i="3"/>
  <c r="E2343" i="3"/>
  <c r="E2342" i="3"/>
  <c r="E2341" i="3"/>
  <c r="E2340" i="3"/>
  <c r="E2349" i="3"/>
  <c r="E2324" i="3"/>
  <c r="E2323" i="3"/>
  <c r="E2322" i="3"/>
  <c r="E2321" i="3"/>
  <c r="E2292" i="3"/>
  <c r="E2291" i="3"/>
  <c r="E2294" i="3"/>
  <c r="E2293" i="3"/>
  <c r="E2179" i="3"/>
  <c r="E2180" i="3"/>
  <c r="K2180" i="3" s="1"/>
  <c r="E2126" i="3"/>
  <c r="K873" i="3"/>
  <c r="I885" i="3"/>
  <c r="I858" i="3"/>
  <c r="I848" i="3"/>
  <c r="E2014" i="3"/>
  <c r="E2013" i="3"/>
  <c r="E1979" i="3"/>
  <c r="E1978" i="3"/>
  <c r="G1712" i="3" l="1"/>
  <c r="I1712" i="3"/>
  <c r="E1649" i="3" l="1"/>
  <c r="E1621" i="3"/>
  <c r="E1651" i="3" s="1"/>
  <c r="E1620" i="3"/>
  <c r="E1650" i="3" s="1"/>
  <c r="K1590" i="3"/>
  <c r="G1478" i="3"/>
  <c r="K1477" i="3"/>
  <c r="K1478" i="3" l="1"/>
  <c r="E768" i="3" l="1"/>
  <c r="K768" i="3" s="1"/>
  <c r="K673" i="3" l="1"/>
  <c r="E527" i="3"/>
  <c r="E526" i="3"/>
  <c r="E476" i="3"/>
  <c r="I469" i="3"/>
  <c r="I474" i="3" s="1"/>
  <c r="I470" i="3"/>
  <c r="J470" i="3"/>
  <c r="K491" i="3"/>
  <c r="I491" i="3"/>
  <c r="K2112" i="3" l="1"/>
  <c r="K460" i="3" l="1"/>
  <c r="K449" i="3" l="1"/>
  <c r="K450" i="3" s="1"/>
  <c r="K444" i="3"/>
  <c r="K431" i="3"/>
  <c r="K432" i="3" s="1"/>
  <c r="K349" i="3" l="1"/>
  <c r="K348" i="3"/>
  <c r="I2535" i="3" l="1"/>
  <c r="K1823" i="3"/>
  <c r="K1824" i="3"/>
  <c r="K1813" i="3"/>
  <c r="I904" i="3"/>
  <c r="K904" i="3" s="1"/>
  <c r="K908" i="3" s="1"/>
  <c r="K909" i="3" s="1"/>
  <c r="K910" i="3" s="1"/>
  <c r="K911" i="3" s="1"/>
  <c r="I3867" i="3"/>
  <c r="I2753" i="3"/>
  <c r="I2712" i="3"/>
  <c r="I2640" i="3"/>
  <c r="K2640" i="3" s="1"/>
  <c r="K1971" i="3"/>
  <c r="K2970" i="3"/>
  <c r="K2971" i="3" s="1"/>
  <c r="K4038" i="3"/>
  <c r="K4040" i="3" s="1"/>
  <c r="I4977" i="3"/>
  <c r="I4978" i="3"/>
  <c r="I4979" i="3"/>
  <c r="I4976" i="3"/>
  <c r="K4976" i="3" s="1"/>
  <c r="K4671" i="3"/>
  <c r="K4642" i="3"/>
  <c r="K4700" i="3"/>
  <c r="K4672" i="3"/>
  <c r="K4640" i="3"/>
  <c r="K4670" i="3"/>
  <c r="K4701" i="3"/>
  <c r="K4367" i="3"/>
  <c r="K4699" i="3"/>
  <c r="K4361" i="3"/>
  <c r="K4596" i="3"/>
  <c r="K4597" i="3"/>
  <c r="K4641" i="3"/>
  <c r="K4184" i="3"/>
  <c r="K4190" i="3"/>
  <c r="I878" i="3"/>
  <c r="K2280" i="3"/>
  <c r="K2271" i="3"/>
  <c r="S940" i="3"/>
  <c r="S945" i="3"/>
  <c r="S942" i="3"/>
  <c r="K1479" i="3"/>
  <c r="S941" i="3"/>
  <c r="S943" i="3"/>
  <c r="S944" i="3"/>
  <c r="K475" i="3"/>
  <c r="K2641" i="3" l="1"/>
  <c r="K1825" i="3"/>
  <c r="I2986" i="3"/>
  <c r="I2992" i="3"/>
  <c r="K2992" i="3" s="1"/>
  <c r="K2993" i="3" s="1"/>
  <c r="K2994" i="3" s="1"/>
  <c r="I2270" i="3"/>
  <c r="K2270" i="3" s="1"/>
  <c r="J5107" i="3"/>
  <c r="K5107" i="3" s="1"/>
  <c r="K4578" i="3"/>
  <c r="J2191" i="3"/>
  <c r="J4196" i="3"/>
  <c r="K3929" i="3"/>
  <c r="K3430" i="3"/>
  <c r="K2604" i="3" l="1"/>
  <c r="K2605" i="3"/>
  <c r="G2607" i="3"/>
  <c r="K2607" i="3" s="1"/>
  <c r="G2608" i="3"/>
  <c r="K2608" i="3" s="1"/>
  <c r="G2609" i="3"/>
  <c r="K4752" i="3"/>
  <c r="K3544" i="3"/>
  <c r="K3547" i="3" s="1"/>
  <c r="K2606" i="3" l="1"/>
  <c r="K2609" i="3"/>
  <c r="K2610" i="3" l="1"/>
  <c r="K2613" i="3" s="1"/>
  <c r="I1079" i="3"/>
  <c r="I1049" i="3"/>
  <c r="K4618" i="3" l="1"/>
  <c r="G4474" i="3"/>
  <c r="K4111" i="3"/>
  <c r="K4090" i="3"/>
  <c r="K3979" i="3"/>
  <c r="K3968" i="3"/>
  <c r="G3943" i="3"/>
  <c r="K3943" i="3" s="1"/>
  <c r="G3944" i="3"/>
  <c r="K3944" i="3" s="1"/>
  <c r="J38" i="7"/>
  <c r="G38" i="7"/>
  <c r="H38" i="7" s="1"/>
  <c r="G3352" i="3"/>
  <c r="K38" i="7" l="1"/>
  <c r="L38" i="7" s="1"/>
  <c r="J30" i="7"/>
  <c r="G30" i="7"/>
  <c r="H30" i="7" s="1"/>
  <c r="K2823" i="3"/>
  <c r="K2822" i="3"/>
  <c r="H2764" i="3"/>
  <c r="K2661" i="3"/>
  <c r="G2645" i="3"/>
  <c r="K2645" i="3" s="1"/>
  <c r="K30" i="7" l="1"/>
  <c r="L30" i="7" s="1"/>
  <c r="G2321" i="3"/>
  <c r="G2012" i="3"/>
  <c r="I2012" i="3"/>
  <c r="K2012" i="3" s="1"/>
  <c r="I2290" i="3"/>
  <c r="G2290" i="3"/>
  <c r="G2160" i="3" l="1"/>
  <c r="E2100" i="3"/>
  <c r="K2100" i="3" s="1"/>
  <c r="K1712" i="3"/>
  <c r="G2158" i="3" l="1"/>
  <c r="G5262" i="3" l="1"/>
  <c r="K5268" i="3" l="1"/>
  <c r="G3845" i="3"/>
  <c r="K3845" i="3" s="1"/>
  <c r="J998" i="3" l="1"/>
  <c r="J1056" i="3"/>
  <c r="J1071" i="3"/>
  <c r="J1072" i="3"/>
  <c r="J1079" i="3"/>
  <c r="J994" i="3"/>
  <c r="J1073" i="3"/>
  <c r="J1020" i="3"/>
  <c r="J1076" i="3"/>
  <c r="J996" i="3"/>
  <c r="J997" i="3"/>
  <c r="J1033" i="3"/>
  <c r="J1074" i="3"/>
  <c r="J1075" i="3"/>
  <c r="J984" i="3"/>
  <c r="J985" i="3" l="1"/>
  <c r="J1022" i="3"/>
  <c r="J1060" i="3"/>
  <c r="J1057" i="3"/>
  <c r="J1032" i="3"/>
  <c r="J969" i="3"/>
  <c r="J970" i="3"/>
  <c r="J993" i="3"/>
  <c r="J1069" i="3"/>
  <c r="J1021" i="3"/>
  <c r="J1059" i="3"/>
  <c r="J1010" i="3"/>
  <c r="J1043" i="3"/>
  <c r="J1006" i="3"/>
  <c r="J1044" i="3"/>
  <c r="J1007" i="3"/>
  <c r="J1045" i="3"/>
  <c r="J1009" i="3"/>
  <c r="J1047" i="3"/>
  <c r="J983" i="3"/>
  <c r="J1023" i="3"/>
  <c r="J1031" i="3"/>
  <c r="J971" i="3"/>
  <c r="J1077" i="3"/>
  <c r="J1058" i="3"/>
  <c r="J972" i="3"/>
  <c r="J1011" i="3"/>
  <c r="J1048" i="3"/>
  <c r="J1070" i="3"/>
  <c r="J1078" i="3"/>
  <c r="J995" i="3"/>
  <c r="J973" i="3"/>
  <c r="J1019" i="3"/>
  <c r="J1041" i="3"/>
  <c r="J1049" i="3"/>
  <c r="J1008" i="3"/>
  <c r="J1046" i="3"/>
  <c r="J1042" i="3"/>
  <c r="J19" i="7" l="1"/>
  <c r="G19" i="7"/>
  <c r="H19" i="7" s="1"/>
  <c r="K19" i="7" l="1"/>
  <c r="L19" i="7" s="1"/>
  <c r="J11" i="7"/>
  <c r="G11" i="7"/>
  <c r="H11" i="7" s="1"/>
  <c r="J10" i="7"/>
  <c r="G10" i="7"/>
  <c r="H10" i="7" s="1"/>
  <c r="K10" i="7" l="1"/>
  <c r="L10" i="7" s="1"/>
  <c r="K11" i="7"/>
  <c r="L11" i="7" s="1"/>
  <c r="K5098" i="3" l="1"/>
  <c r="K5101" i="3" s="1"/>
  <c r="K5102" i="3" l="1"/>
  <c r="K5103" i="3" s="1"/>
  <c r="I2152" i="3" l="1"/>
  <c r="K2152" i="3" s="1"/>
  <c r="I1778" i="3"/>
  <c r="K1778" i="3" s="1"/>
  <c r="I2920" i="3" l="1"/>
  <c r="K2920" i="3" s="1"/>
  <c r="K2707" i="3"/>
  <c r="I4891" i="3"/>
  <c r="I4890" i="3"/>
  <c r="J650" i="3"/>
  <c r="K936" i="3"/>
  <c r="K4310" i="3"/>
  <c r="K2712" i="3"/>
  <c r="K2630" i="3"/>
  <c r="K736" i="3"/>
  <c r="K532" i="3"/>
  <c r="K394" i="3" l="1"/>
  <c r="K393" i="3"/>
  <c r="E1505" i="3" l="1"/>
  <c r="E1498" i="3"/>
  <c r="I1498" i="3"/>
  <c r="I1497" i="3"/>
  <c r="E1496" i="3"/>
  <c r="I1496" i="3"/>
  <c r="K777" i="3"/>
  <c r="E1095" i="3" l="1"/>
  <c r="K760" i="3" l="1"/>
  <c r="K683" i="3"/>
  <c r="G531" i="3" l="1"/>
  <c r="G530" i="3"/>
  <c r="G529" i="3"/>
  <c r="G528" i="3"/>
  <c r="K528" i="3" s="1"/>
  <c r="E3017" i="3" l="1"/>
  <c r="G4385" i="3"/>
  <c r="K4385" i="3" s="1"/>
  <c r="G4384" i="3"/>
  <c r="K4384" i="3" s="1"/>
  <c r="K4159" i="3"/>
  <c r="G1159" i="3"/>
  <c r="K2977" i="3" l="1"/>
  <c r="G805" i="3"/>
  <c r="K805" i="3" s="1"/>
  <c r="K804" i="3"/>
  <c r="K803" i="3"/>
  <c r="J43" i="7"/>
  <c r="G43" i="7"/>
  <c r="H43" i="7" s="1"/>
  <c r="J42" i="7"/>
  <c r="G42" i="7"/>
  <c r="H42" i="7" s="1"/>
  <c r="J41" i="7"/>
  <c r="G41" i="7"/>
  <c r="H41" i="7" s="1"/>
  <c r="J40" i="7"/>
  <c r="G40" i="7"/>
  <c r="H40" i="7" s="1"/>
  <c r="J39" i="7"/>
  <c r="G39" i="7"/>
  <c r="H39" i="7" s="1"/>
  <c r="J37" i="7"/>
  <c r="G37" i="7"/>
  <c r="H37" i="7" s="1"/>
  <c r="J36" i="7"/>
  <c r="G36" i="7"/>
  <c r="H36" i="7" s="1"/>
  <c r="J35" i="7"/>
  <c r="G35" i="7"/>
  <c r="H35" i="7" s="1"/>
  <c r="J34" i="7"/>
  <c r="G34" i="7"/>
  <c r="H34" i="7" s="1"/>
  <c r="J33" i="7"/>
  <c r="G33" i="7"/>
  <c r="H33" i="7" s="1"/>
  <c r="J32" i="7"/>
  <c r="G32" i="7"/>
  <c r="H32" i="7" s="1"/>
  <c r="J31" i="7"/>
  <c r="G31" i="7"/>
  <c r="H31" i="7" s="1"/>
  <c r="J29" i="7"/>
  <c r="G29" i="7"/>
  <c r="H29" i="7" s="1"/>
  <c r="J28" i="7"/>
  <c r="G28" i="7"/>
  <c r="H28" i="7" s="1"/>
  <c r="J27" i="7"/>
  <c r="G27" i="7"/>
  <c r="H27" i="7" s="1"/>
  <c r="J26" i="7"/>
  <c r="G26" i="7"/>
  <c r="H26" i="7" s="1"/>
  <c r="J25" i="7"/>
  <c r="G25" i="7"/>
  <c r="H25" i="7" s="1"/>
  <c r="J24" i="7"/>
  <c r="G24" i="7"/>
  <c r="H24" i="7" s="1"/>
  <c r="J23" i="7"/>
  <c r="G23" i="7"/>
  <c r="H23" i="7" s="1"/>
  <c r="J22" i="7"/>
  <c r="G22" i="7"/>
  <c r="H22" i="7" s="1"/>
  <c r="J21" i="7"/>
  <c r="G21" i="7"/>
  <c r="H21" i="7" s="1"/>
  <c r="J20" i="7"/>
  <c r="G20" i="7"/>
  <c r="H20" i="7" s="1"/>
  <c r="J18" i="7"/>
  <c r="G18" i="7"/>
  <c r="H18" i="7" s="1"/>
  <c r="J17" i="7"/>
  <c r="G17" i="7"/>
  <c r="H17" i="7" s="1"/>
  <c r="J16" i="7"/>
  <c r="G16" i="7"/>
  <c r="H16" i="7" s="1"/>
  <c r="J15" i="7"/>
  <c r="G15" i="7"/>
  <c r="H15" i="7" s="1"/>
  <c r="J14" i="7"/>
  <c r="G14" i="7"/>
  <c r="H14" i="7" s="1"/>
  <c r="J13" i="7"/>
  <c r="G13" i="7"/>
  <c r="H13" i="7" s="1"/>
  <c r="J12" i="7"/>
  <c r="G12" i="7"/>
  <c r="H12" i="7" s="1"/>
  <c r="J9" i="7"/>
  <c r="G9" i="7"/>
  <c r="H9" i="7" s="1"/>
  <c r="J8" i="7"/>
  <c r="G8" i="7"/>
  <c r="H8" i="7" s="1"/>
  <c r="J7" i="7"/>
  <c r="G7" i="7"/>
  <c r="H7" i="7" s="1"/>
  <c r="J6" i="7"/>
  <c r="G6" i="7"/>
  <c r="H6" i="7" s="1"/>
  <c r="J5" i="7"/>
  <c r="G5" i="7"/>
  <c r="H5" i="7" s="1"/>
  <c r="J4" i="7"/>
  <c r="G4" i="7"/>
  <c r="H4" i="7" s="1"/>
  <c r="J3" i="7"/>
  <c r="G3" i="7"/>
  <c r="H3" i="7" s="1"/>
  <c r="K2614" i="3"/>
  <c r="K2615" i="3" s="1"/>
  <c r="K3924" i="3"/>
  <c r="K2536" i="3"/>
  <c r="I3955" i="3"/>
  <c r="K3955" i="3" s="1"/>
  <c r="K4886" i="3"/>
  <c r="K2717" i="3"/>
  <c r="K2718" i="3" s="1"/>
  <c r="J4168" i="3"/>
  <c r="K4168" i="3" s="1"/>
  <c r="K4169" i="3" s="1"/>
  <c r="K4170" i="3" s="1"/>
  <c r="G5269" i="3"/>
  <c r="G5267" i="3"/>
  <c r="G5266" i="3"/>
  <c r="K5266" i="3" s="1"/>
  <c r="G5264" i="3"/>
  <c r="G5265" i="3"/>
  <c r="G5263" i="3"/>
  <c r="G5261" i="3"/>
  <c r="K5241" i="3"/>
  <c r="K5240" i="3"/>
  <c r="K5239" i="3"/>
  <c r="K5219" i="3"/>
  <c r="K5218" i="3"/>
  <c r="K5210" i="3"/>
  <c r="K5213" i="3" s="1"/>
  <c r="K5200" i="3"/>
  <c r="K5202" i="3" s="1"/>
  <c r="K5205" i="3" s="1"/>
  <c r="K5181" i="3"/>
  <c r="K5180" i="3"/>
  <c r="K5178" i="3"/>
  <c r="K5177" i="3"/>
  <c r="K5176" i="3"/>
  <c r="K5175" i="3"/>
  <c r="K5174" i="3"/>
  <c r="K5173" i="3"/>
  <c r="K5172" i="3"/>
  <c r="K5171" i="3"/>
  <c r="K5170" i="3"/>
  <c r="K5160" i="3"/>
  <c r="K5159" i="3"/>
  <c r="K5151" i="3"/>
  <c r="K5154" i="3" s="1"/>
  <c r="K5143" i="3"/>
  <c r="K5146" i="3" s="1"/>
  <c r="K5133" i="3"/>
  <c r="K5132" i="3"/>
  <c r="K5131" i="3"/>
  <c r="K5130" i="3"/>
  <c r="E5110" i="3"/>
  <c r="K5110" i="3" s="1"/>
  <c r="E5109" i="3"/>
  <c r="K5109" i="3" s="1"/>
  <c r="K5108" i="3"/>
  <c r="K5072" i="3"/>
  <c r="K5071" i="3"/>
  <c r="K5070" i="3"/>
  <c r="K5069" i="3"/>
  <c r="K5068" i="3"/>
  <c r="K5039" i="3"/>
  <c r="K5038" i="3"/>
  <c r="K5037" i="3"/>
  <c r="K5036" i="3"/>
  <c r="K5035" i="3"/>
  <c r="K5012" i="3"/>
  <c r="K5011" i="3"/>
  <c r="K5009" i="3"/>
  <c r="K5008" i="3"/>
  <c r="K4977" i="3"/>
  <c r="K4966" i="3"/>
  <c r="K4965" i="3"/>
  <c r="K4964" i="3"/>
  <c r="K4963" i="3"/>
  <c r="K4962" i="3"/>
  <c r="K4961" i="3"/>
  <c r="K4933" i="3"/>
  <c r="K4934" i="3" s="1"/>
  <c r="K4938" i="3" s="1"/>
  <c r="K4923" i="3"/>
  <c r="K4921" i="3"/>
  <c r="K4920" i="3"/>
  <c r="K4911" i="3"/>
  <c r="K4914" i="3" s="1"/>
  <c r="K4902" i="3"/>
  <c r="K4892" i="3"/>
  <c r="K4891" i="3"/>
  <c r="K4890" i="3"/>
  <c r="K4889" i="3"/>
  <c r="K4887" i="3"/>
  <c r="K4879" i="3"/>
  <c r="K4880" i="3" s="1"/>
  <c r="K4859" i="3"/>
  <c r="K4858" i="3"/>
  <c r="K4857" i="3"/>
  <c r="K4841" i="3"/>
  <c r="K4822" i="3"/>
  <c r="K4799" i="3"/>
  <c r="K4798" i="3"/>
  <c r="K4797" i="3"/>
  <c r="K4787" i="3"/>
  <c r="K4786" i="3"/>
  <c r="K4785" i="3"/>
  <c r="K4765" i="3"/>
  <c r="K4764" i="3"/>
  <c r="K4763" i="3"/>
  <c r="K4762" i="3"/>
  <c r="K4761" i="3"/>
  <c r="K4755" i="3"/>
  <c r="K4733" i="3"/>
  <c r="K4728" i="3"/>
  <c r="K4683" i="3"/>
  <c r="K4659" i="3"/>
  <c r="K4657" i="3"/>
  <c r="K4656" i="3"/>
  <c r="K4620" i="3"/>
  <c r="K4619" i="3"/>
  <c r="K4581" i="3"/>
  <c r="K4562" i="3"/>
  <c r="K4565" i="3" s="1"/>
  <c r="G4552" i="3"/>
  <c r="G4551" i="3"/>
  <c r="G4550" i="3"/>
  <c r="G4549" i="3"/>
  <c r="K4549" i="3" s="1"/>
  <c r="G4547" i="3"/>
  <c r="K4546" i="3"/>
  <c r="G4518" i="3"/>
  <c r="K4518" i="3" s="1"/>
  <c r="G4517" i="3"/>
  <c r="K4517" i="3" s="1"/>
  <c r="K4515" i="3"/>
  <c r="K4514" i="3"/>
  <c r="G4496" i="3"/>
  <c r="K4495" i="3"/>
  <c r="K4485" i="3"/>
  <c r="E4484" i="3"/>
  <c r="K4484" i="3" s="1"/>
  <c r="K4474" i="3"/>
  <c r="K4477" i="3" s="1"/>
  <c r="E4466" i="3"/>
  <c r="K4466" i="3" s="1"/>
  <c r="E4448" i="3"/>
  <c r="K4416" i="3"/>
  <c r="K4415" i="3"/>
  <c r="K4405" i="3"/>
  <c r="K4404" i="3"/>
  <c r="K4395" i="3"/>
  <c r="K4398" i="3" s="1"/>
  <c r="G4383" i="3"/>
  <c r="K4383" i="3" s="1"/>
  <c r="G4340" i="3"/>
  <c r="K4334" i="3"/>
  <c r="G4332" i="3"/>
  <c r="K4322" i="3"/>
  <c r="K4321" i="3"/>
  <c r="K4320" i="3"/>
  <c r="K4319" i="3"/>
  <c r="K4318" i="3"/>
  <c r="K4233" i="3"/>
  <c r="K4236" i="3" s="1"/>
  <c r="E4205" i="3"/>
  <c r="E4196" i="3"/>
  <c r="K4196" i="3" s="1"/>
  <c r="K4175" i="3"/>
  <c r="K4178" i="3" s="1"/>
  <c r="K4162" i="3"/>
  <c r="K4141" i="3"/>
  <c r="K4140" i="3"/>
  <c r="K4118" i="3"/>
  <c r="K4117" i="3"/>
  <c r="K4116" i="3"/>
  <c r="K4114" i="3"/>
  <c r="K4110" i="3"/>
  <c r="K4112" i="3" s="1"/>
  <c r="K4107" i="3"/>
  <c r="K4106" i="3"/>
  <c r="K4105" i="3"/>
  <c r="K4104" i="3"/>
  <c r="G4103" i="3"/>
  <c r="K4103" i="3" s="1"/>
  <c r="G4102" i="3"/>
  <c r="K4102" i="3" s="1"/>
  <c r="K4100" i="3"/>
  <c r="K4099" i="3"/>
  <c r="K4093" i="3"/>
  <c r="K4080" i="3"/>
  <c r="K4084" i="3" s="1"/>
  <c r="K4071" i="3"/>
  <c r="K4074" i="3" s="1"/>
  <c r="K4061" i="3"/>
  <c r="K4060" i="3"/>
  <c r="K4059" i="3"/>
  <c r="K4033" i="3"/>
  <c r="K4023" i="3"/>
  <c r="K4026" i="3" s="1"/>
  <c r="K4016" i="3"/>
  <c r="K4002" i="3"/>
  <c r="K3980" i="3"/>
  <c r="K3967" i="3"/>
  <c r="K3966" i="3"/>
  <c r="K3965" i="3"/>
  <c r="K3964" i="3"/>
  <c r="I3957" i="3"/>
  <c r="K3957" i="3" s="1"/>
  <c r="I3956" i="3"/>
  <c r="K3956" i="3" s="1"/>
  <c r="G3942" i="3"/>
  <c r="K3942" i="3" s="1"/>
  <c r="K3941" i="3"/>
  <c r="K3940" i="3"/>
  <c r="K3930" i="3"/>
  <c r="K3913" i="3"/>
  <c r="K3912" i="3"/>
  <c r="K3903" i="3"/>
  <c r="K3906" i="3" s="1"/>
  <c r="K3894" i="3"/>
  <c r="K3897" i="3" s="1"/>
  <c r="K3885" i="3"/>
  <c r="K3888" i="3" s="1"/>
  <c r="K3875" i="3"/>
  <c r="K3874" i="3"/>
  <c r="I3868" i="3"/>
  <c r="K3868" i="3" s="1"/>
  <c r="K3857" i="3"/>
  <c r="K3856" i="3"/>
  <c r="K3844" i="3"/>
  <c r="K3834" i="3"/>
  <c r="K3833" i="3"/>
  <c r="K3818" i="3"/>
  <c r="K3817" i="3"/>
  <c r="K3797" i="3"/>
  <c r="K3796" i="3"/>
  <c r="K3786" i="3"/>
  <c r="K3785" i="3"/>
  <c r="K3775" i="3"/>
  <c r="K3774" i="3"/>
  <c r="K3764" i="3"/>
  <c r="K3763" i="3"/>
  <c r="K3753" i="3"/>
  <c r="K3752" i="3"/>
  <c r="K3742" i="3"/>
  <c r="K3741" i="3"/>
  <c r="K3731" i="3"/>
  <c r="K3730" i="3"/>
  <c r="K3703" i="3"/>
  <c r="K3701" i="3"/>
  <c r="K3700" i="3"/>
  <c r="K3699" i="3"/>
  <c r="K3698" i="3"/>
  <c r="K3688" i="3"/>
  <c r="K3687" i="3"/>
  <c r="K3677" i="3"/>
  <c r="K3676" i="3"/>
  <c r="K3666" i="3"/>
  <c r="K3664" i="3"/>
  <c r="I3659" i="3"/>
  <c r="K3659" i="3" s="1"/>
  <c r="K3660" i="3" s="1"/>
  <c r="K3649" i="3"/>
  <c r="K3648" i="3"/>
  <c r="K3639" i="3"/>
  <c r="K3642" i="3" s="1"/>
  <c r="K3625" i="3"/>
  <c r="K3624" i="3"/>
  <c r="K3599" i="3"/>
  <c r="K3598" i="3"/>
  <c r="K3576" i="3"/>
  <c r="G3555" i="3"/>
  <c r="K3555" i="3" s="1"/>
  <c r="K3553" i="3"/>
  <c r="G3524" i="3"/>
  <c r="K3524" i="3" s="1"/>
  <c r="G3523" i="3"/>
  <c r="K3523" i="3" s="1"/>
  <c r="G3522" i="3"/>
  <c r="K3522" i="3" s="1"/>
  <c r="G3521" i="3"/>
  <c r="K3521" i="3" s="1"/>
  <c r="G3520" i="3"/>
  <c r="K3520" i="3" s="1"/>
  <c r="G3519" i="3"/>
  <c r="K3519" i="3" s="1"/>
  <c r="G3518" i="3"/>
  <c r="K3518" i="3" s="1"/>
  <c r="G3517" i="3"/>
  <c r="K3517" i="3" s="1"/>
  <c r="G3516" i="3"/>
  <c r="K3516" i="3" s="1"/>
  <c r="K3507" i="3"/>
  <c r="K3510" i="3" s="1"/>
  <c r="K3497" i="3"/>
  <c r="K3496" i="3"/>
  <c r="G3476" i="3"/>
  <c r="K3476" i="3" s="1"/>
  <c r="G3475" i="3"/>
  <c r="K3475" i="3" s="1"/>
  <c r="G3474" i="3"/>
  <c r="K3474" i="3" s="1"/>
  <c r="G3473" i="3"/>
  <c r="K3473" i="3" s="1"/>
  <c r="G3472" i="3"/>
  <c r="K3472" i="3" s="1"/>
  <c r="G3471" i="3"/>
  <c r="K3471" i="3" s="1"/>
  <c r="K3470" i="3"/>
  <c r="K3469" i="3"/>
  <c r="K3459" i="3"/>
  <c r="K3458" i="3"/>
  <c r="K3448" i="3"/>
  <c r="K3447" i="3"/>
  <c r="K3433" i="3"/>
  <c r="K3432" i="3"/>
  <c r="K3431" i="3"/>
  <c r="K3420" i="3"/>
  <c r="K3419" i="3"/>
  <c r="K3409" i="3"/>
  <c r="K3408" i="3"/>
  <c r="G3388" i="3"/>
  <c r="K3388" i="3" s="1"/>
  <c r="G3387" i="3"/>
  <c r="K3387" i="3" s="1"/>
  <c r="G3386" i="3"/>
  <c r="K3386" i="3" s="1"/>
  <c r="G3385" i="3"/>
  <c r="K3385" i="3" s="1"/>
  <c r="G3384" i="3"/>
  <c r="K3384" i="3" s="1"/>
  <c r="G3383" i="3"/>
  <c r="K3383" i="3" s="1"/>
  <c r="K3382" i="3"/>
  <c r="G3381" i="3"/>
  <c r="K3381" i="3" s="1"/>
  <c r="G3380" i="3"/>
  <c r="K3380" i="3" s="1"/>
  <c r="G3379" i="3"/>
  <c r="K3379" i="3" s="1"/>
  <c r="G3378" i="3"/>
  <c r="K3378" i="3" s="1"/>
  <c r="K3377" i="3"/>
  <c r="K3353" i="3"/>
  <c r="K3352" i="3"/>
  <c r="G3351" i="3"/>
  <c r="K3351" i="3" s="1"/>
  <c r="K3350" i="3"/>
  <c r="G3341" i="3"/>
  <c r="K3341" i="3" s="1"/>
  <c r="G3340" i="3"/>
  <c r="K3340" i="3" s="1"/>
  <c r="K3339" i="3"/>
  <c r="K3329" i="3"/>
  <c r="K3328" i="3"/>
  <c r="K3327" i="3"/>
  <c r="K3317" i="3"/>
  <c r="E3316" i="3"/>
  <c r="K3316" i="3" s="1"/>
  <c r="K3306" i="3"/>
  <c r="K3305" i="3"/>
  <c r="K3285" i="3"/>
  <c r="K3284" i="3"/>
  <c r="G3264" i="3"/>
  <c r="K3264" i="3" s="1"/>
  <c r="G3263" i="3"/>
  <c r="K3263" i="3" s="1"/>
  <c r="G3262" i="3"/>
  <c r="K3262" i="3" s="1"/>
  <c r="G3261" i="3"/>
  <c r="K3261" i="3" s="1"/>
  <c r="G3260" i="3"/>
  <c r="K3260" i="3" s="1"/>
  <c r="G3259" i="3"/>
  <c r="K3259" i="3" s="1"/>
  <c r="K3258" i="3"/>
  <c r="K3257" i="3"/>
  <c r="K3234" i="3"/>
  <c r="K3233" i="3"/>
  <c r="K3223" i="3"/>
  <c r="K3222" i="3"/>
  <c r="I3217" i="3"/>
  <c r="K3217" i="3" s="1"/>
  <c r="K3218" i="3" s="1"/>
  <c r="I3212" i="3"/>
  <c r="K3212" i="3" s="1"/>
  <c r="K3213" i="3" s="1"/>
  <c r="K3192" i="3"/>
  <c r="K3196" i="3" s="1"/>
  <c r="K3182" i="3"/>
  <c r="K3181" i="3"/>
  <c r="K3171" i="3"/>
  <c r="K3170" i="3"/>
  <c r="K3165" i="3"/>
  <c r="K3166" i="3" s="1"/>
  <c r="K3145" i="3"/>
  <c r="K3143" i="3"/>
  <c r="K3142" i="3"/>
  <c r="K3137" i="3"/>
  <c r="K3138" i="3" s="1"/>
  <c r="K3133" i="3"/>
  <c r="K3112" i="3"/>
  <c r="K3111" i="3"/>
  <c r="K3110" i="3"/>
  <c r="K3109" i="3"/>
  <c r="K3106" i="3"/>
  <c r="K3105" i="3"/>
  <c r="K3101" i="3"/>
  <c r="K3095" i="3"/>
  <c r="K3096" i="3" s="1"/>
  <c r="K3085" i="3"/>
  <c r="K3086" i="3" s="1"/>
  <c r="K3076" i="3"/>
  <c r="K3075" i="3"/>
  <c r="K3065" i="3"/>
  <c r="K3064" i="3"/>
  <c r="K3054" i="3"/>
  <c r="K3053" i="3"/>
  <c r="K3044" i="3"/>
  <c r="K3043" i="3"/>
  <c r="K3035" i="3"/>
  <c r="K3038" i="3" s="1"/>
  <c r="K3030" i="3"/>
  <c r="K2999" i="3"/>
  <c r="K3001" i="3" s="1"/>
  <c r="K2998" i="3"/>
  <c r="K2986" i="3"/>
  <c r="K2987" i="3" s="1"/>
  <c r="I2960" i="3"/>
  <c r="K2960" i="3" s="1"/>
  <c r="K2961" i="3" s="1"/>
  <c r="K2951" i="3"/>
  <c r="K2950" i="3"/>
  <c r="K2945" i="3"/>
  <c r="K2946" i="3" s="1"/>
  <c r="K2940" i="3"/>
  <c r="K2941" i="3" s="1"/>
  <c r="K2936" i="3"/>
  <c r="K2931" i="3"/>
  <c r="K2926" i="3"/>
  <c r="K2921" i="3"/>
  <c r="K2911" i="3"/>
  <c r="K2910" i="3"/>
  <c r="K2901" i="3"/>
  <c r="K2900" i="3"/>
  <c r="K2899" i="3"/>
  <c r="K2890" i="3"/>
  <c r="K2889" i="3"/>
  <c r="K2879" i="3"/>
  <c r="K2878" i="3"/>
  <c r="G2858" i="3"/>
  <c r="K2858" i="3" s="1"/>
  <c r="G2857" i="3"/>
  <c r="K2857" i="3" s="1"/>
  <c r="G2856" i="3"/>
  <c r="K2856" i="3" s="1"/>
  <c r="G2855" i="3"/>
  <c r="K2855" i="3" s="1"/>
  <c r="G2854" i="3"/>
  <c r="K2854" i="3" s="1"/>
  <c r="G2853" i="3"/>
  <c r="K2853" i="3" s="1"/>
  <c r="K2852" i="3"/>
  <c r="K2851" i="3"/>
  <c r="K2846" i="3"/>
  <c r="K2847" i="3" s="1"/>
  <c r="K2836" i="3"/>
  <c r="K2835" i="3"/>
  <c r="K2834" i="3"/>
  <c r="K2824" i="3"/>
  <c r="K2813" i="3"/>
  <c r="K2812" i="3"/>
  <c r="K2808" i="3"/>
  <c r="K2799" i="3"/>
  <c r="K2802" i="3" s="1"/>
  <c r="K2790" i="3"/>
  <c r="K2789" i="3"/>
  <c r="K2770" i="3"/>
  <c r="G2769" i="3"/>
  <c r="I2769" i="3" s="1"/>
  <c r="K2769" i="3" s="1"/>
  <c r="G2768" i="3"/>
  <c r="I2768" i="3" s="1"/>
  <c r="K2768" i="3" s="1"/>
  <c r="G2767" i="3"/>
  <c r="I2767" i="3" s="1"/>
  <c r="K2767" i="3" s="1"/>
  <c r="G2766" i="3"/>
  <c r="I2766" i="3" s="1"/>
  <c r="K2766" i="3" s="1"/>
  <c r="G2765" i="3"/>
  <c r="I2765" i="3" s="1"/>
  <c r="K2765" i="3" s="1"/>
  <c r="G2764" i="3"/>
  <c r="I2764" i="3" s="1"/>
  <c r="K2763" i="3"/>
  <c r="K2753" i="3"/>
  <c r="K2748" i="3"/>
  <c r="K2749" i="3" s="1"/>
  <c r="K2729" i="3"/>
  <c r="I2728" i="3"/>
  <c r="K2728" i="3" s="1"/>
  <c r="I2727" i="3"/>
  <c r="K2727" i="3" s="1"/>
  <c r="I2726" i="3"/>
  <c r="K2726" i="3" s="1"/>
  <c r="G2725" i="3"/>
  <c r="K2724" i="3"/>
  <c r="G2723" i="3"/>
  <c r="K2722" i="3"/>
  <c r="K2708" i="3"/>
  <c r="K2698" i="3"/>
  <c r="K2697" i="3"/>
  <c r="K2696" i="3"/>
  <c r="K2686" i="3"/>
  <c r="K2685" i="3"/>
  <c r="K2684" i="3"/>
  <c r="K2663" i="3"/>
  <c r="K2662" i="3"/>
  <c r="K2655" i="3"/>
  <c r="K2654" i="3"/>
  <c r="K2648" i="3"/>
  <c r="I2621" i="3"/>
  <c r="K2621" i="3" s="1"/>
  <c r="J2557" i="3"/>
  <c r="K2557" i="3" s="1"/>
  <c r="J2556" i="3"/>
  <c r="I2534" i="3"/>
  <c r="K2534" i="3" s="1"/>
  <c r="I2533" i="3"/>
  <c r="K2533" i="3" s="1"/>
  <c r="I2525" i="3"/>
  <c r="K2525" i="3" s="1"/>
  <c r="K2520" i="3"/>
  <c r="I2495" i="3"/>
  <c r="K2495" i="3" s="1"/>
  <c r="I2494" i="3"/>
  <c r="K2494" i="3" s="1"/>
  <c r="I2493" i="3"/>
  <c r="K2493" i="3" s="1"/>
  <c r="I2492" i="3"/>
  <c r="K2492" i="3" s="1"/>
  <c r="G2491" i="3"/>
  <c r="I2491" i="3" s="1"/>
  <c r="K2491" i="3" s="1"/>
  <c r="G2490" i="3"/>
  <c r="I2490" i="3" s="1"/>
  <c r="K2490" i="3" s="1"/>
  <c r="G2489" i="3"/>
  <c r="I2489" i="3" s="1"/>
  <c r="K2489" i="3" s="1"/>
  <c r="G2488" i="3"/>
  <c r="I2488" i="3" s="1"/>
  <c r="K2488" i="3" s="1"/>
  <c r="G2487" i="3"/>
  <c r="I2487" i="3" s="1"/>
  <c r="K2487" i="3" s="1"/>
  <c r="I2486" i="3"/>
  <c r="K2486" i="3" s="1"/>
  <c r="I2485" i="3"/>
  <c r="K2485" i="3" s="1"/>
  <c r="I2465" i="3"/>
  <c r="K2465" i="3" s="1"/>
  <c r="I2464" i="3"/>
  <c r="K2464" i="3" s="1"/>
  <c r="I2463" i="3"/>
  <c r="K2463" i="3" s="1"/>
  <c r="I2462" i="3"/>
  <c r="K2462" i="3" s="1"/>
  <c r="G2461" i="3"/>
  <c r="I2461" i="3" s="1"/>
  <c r="K2461" i="3" s="1"/>
  <c r="G2460" i="3"/>
  <c r="I2460" i="3" s="1"/>
  <c r="K2460" i="3" s="1"/>
  <c r="G2459" i="3"/>
  <c r="I2459" i="3" s="1"/>
  <c r="K2459" i="3" s="1"/>
  <c r="I2458" i="3"/>
  <c r="K2458" i="3" s="1"/>
  <c r="G2457" i="3"/>
  <c r="I2457" i="3" s="1"/>
  <c r="K2457" i="3" s="1"/>
  <c r="I2456" i="3"/>
  <c r="K2456" i="3" s="1"/>
  <c r="I2455" i="3"/>
  <c r="K2455" i="3" s="1"/>
  <c r="K2435" i="3"/>
  <c r="E2434" i="3"/>
  <c r="K2434" i="3" s="1"/>
  <c r="K2433" i="3"/>
  <c r="I2432" i="3"/>
  <c r="K2432" i="3" s="1"/>
  <c r="I2431" i="3"/>
  <c r="K2431" i="3" s="1"/>
  <c r="I2430" i="3"/>
  <c r="K2430" i="3" s="1"/>
  <c r="I2429" i="3"/>
  <c r="K2429" i="3" s="1"/>
  <c r="I2428" i="3"/>
  <c r="K2428" i="3" s="1"/>
  <c r="I2427" i="3"/>
  <c r="K2427" i="3" s="1"/>
  <c r="G2424" i="3"/>
  <c r="K2424" i="3" s="1"/>
  <c r="K2423" i="3"/>
  <c r="I2403" i="3"/>
  <c r="K2403" i="3" s="1"/>
  <c r="I2402" i="3"/>
  <c r="K2402" i="3" s="1"/>
  <c r="I2401" i="3"/>
  <c r="K2401" i="3" s="1"/>
  <c r="I2400" i="3"/>
  <c r="K2400" i="3" s="1"/>
  <c r="G2399" i="3"/>
  <c r="I2399" i="3" s="1"/>
  <c r="K2399" i="3" s="1"/>
  <c r="G2398" i="3"/>
  <c r="I2398" i="3" s="1"/>
  <c r="K2398" i="3" s="1"/>
  <c r="I2397" i="3"/>
  <c r="K2397" i="3" s="1"/>
  <c r="I2396" i="3"/>
  <c r="K2396" i="3" s="1"/>
  <c r="K2376" i="3"/>
  <c r="E2375" i="3"/>
  <c r="K2375" i="3" s="1"/>
  <c r="K2374" i="3"/>
  <c r="G2373" i="3"/>
  <c r="G2372" i="3"/>
  <c r="K2371" i="3"/>
  <c r="G2371" i="3"/>
  <c r="K2370" i="3"/>
  <c r="K2350" i="3"/>
  <c r="K2349" i="3"/>
  <c r="K2348" i="3"/>
  <c r="I2347" i="3"/>
  <c r="K2347" i="3" s="1"/>
  <c r="I2346" i="3"/>
  <c r="K2346" i="3" s="1"/>
  <c r="I2345" i="3"/>
  <c r="K2345" i="3" s="1"/>
  <c r="I2344" i="3"/>
  <c r="K2344" i="3" s="1"/>
  <c r="I2343" i="3"/>
  <c r="K2343" i="3" s="1"/>
  <c r="I2342" i="3"/>
  <c r="K2342" i="3" s="1"/>
  <c r="G2339" i="3"/>
  <c r="K2339" i="3" s="1"/>
  <c r="K2338" i="3"/>
  <c r="I2328" i="3"/>
  <c r="K2328" i="3" s="1"/>
  <c r="I2327" i="3"/>
  <c r="K2327" i="3" s="1"/>
  <c r="I2326" i="3"/>
  <c r="K2326" i="3" s="1"/>
  <c r="I2325" i="3"/>
  <c r="K2325" i="3" s="1"/>
  <c r="G2324" i="3"/>
  <c r="I2324" i="3" s="1"/>
  <c r="K2324" i="3" s="1"/>
  <c r="G2323" i="3"/>
  <c r="I2323" i="3" s="1"/>
  <c r="K2323" i="3" s="1"/>
  <c r="G2322" i="3"/>
  <c r="I2320" i="3"/>
  <c r="K2320" i="3" s="1"/>
  <c r="G2320" i="3"/>
  <c r="I2319" i="3"/>
  <c r="K2319" i="3" s="1"/>
  <c r="I2318" i="3"/>
  <c r="K2318" i="3" s="1"/>
  <c r="I2298" i="3"/>
  <c r="K2298" i="3" s="1"/>
  <c r="I2297" i="3"/>
  <c r="K2297" i="3" s="1"/>
  <c r="I2296" i="3"/>
  <c r="K2296" i="3" s="1"/>
  <c r="I2295" i="3"/>
  <c r="K2295" i="3" s="1"/>
  <c r="G2294" i="3"/>
  <c r="I2294" i="3" s="1"/>
  <c r="K2294" i="3" s="1"/>
  <c r="G2293" i="3"/>
  <c r="I2293" i="3" s="1"/>
  <c r="K2293" i="3" s="1"/>
  <c r="G2292" i="3"/>
  <c r="K2290" i="3"/>
  <c r="I2289" i="3"/>
  <c r="K2289" i="3" s="1"/>
  <c r="I2288" i="3"/>
  <c r="K2288" i="3" s="1"/>
  <c r="I2282" i="3"/>
  <c r="K2282" i="3" s="1"/>
  <c r="I2281" i="3"/>
  <c r="K2281" i="3" s="1"/>
  <c r="I2279" i="3"/>
  <c r="K2279" i="3" s="1"/>
  <c r="I2273" i="3"/>
  <c r="K2273" i="3" s="1"/>
  <c r="I2272" i="3"/>
  <c r="K2272" i="3" s="1"/>
  <c r="K2260" i="3"/>
  <c r="G2259" i="3"/>
  <c r="K2259" i="3" s="1"/>
  <c r="K2258" i="3"/>
  <c r="K2257" i="3"/>
  <c r="K2247" i="3"/>
  <c r="G2246" i="3"/>
  <c r="K2246" i="3" s="1"/>
  <c r="K2245" i="3"/>
  <c r="K2244" i="3"/>
  <c r="K2225" i="3"/>
  <c r="K2224" i="3"/>
  <c r="K2223" i="3"/>
  <c r="K2222" i="3"/>
  <c r="K2202" i="3"/>
  <c r="K2200" i="3"/>
  <c r="E2191" i="3"/>
  <c r="K2181" i="3"/>
  <c r="K2179" i="3"/>
  <c r="G2178" i="3"/>
  <c r="K2178" i="3" s="1"/>
  <c r="K2177" i="3"/>
  <c r="K2167" i="3"/>
  <c r="K2166" i="3"/>
  <c r="G2159" i="3"/>
  <c r="G2157" i="3"/>
  <c r="K2153" i="3"/>
  <c r="H2142" i="3"/>
  <c r="K2142" i="3" s="1"/>
  <c r="E2141" i="3"/>
  <c r="H2141" i="3" s="1"/>
  <c r="K2141" i="3" s="1"/>
  <c r="K2140" i="3"/>
  <c r="K2139" i="3"/>
  <c r="K2129" i="3"/>
  <c r="E2128" i="3"/>
  <c r="K2128" i="3" s="1"/>
  <c r="K2127" i="3"/>
  <c r="G2125" i="3"/>
  <c r="K2125" i="3" s="1"/>
  <c r="K2124" i="3"/>
  <c r="E2113" i="3"/>
  <c r="K2113" i="3" s="1"/>
  <c r="K2111" i="3"/>
  <c r="K2099" i="3"/>
  <c r="G2097" i="3"/>
  <c r="K2097" i="3" s="1"/>
  <c r="K2096" i="3"/>
  <c r="K2086" i="3"/>
  <c r="K2085" i="3"/>
  <c r="K2075" i="3"/>
  <c r="G2074" i="3"/>
  <c r="K2074" i="3" s="1"/>
  <c r="K2073" i="3"/>
  <c r="K2063" i="3"/>
  <c r="G2062" i="3"/>
  <c r="K2062" i="3" s="1"/>
  <c r="K2061" i="3"/>
  <c r="K2051" i="3"/>
  <c r="K2050" i="3"/>
  <c r="K2049" i="3"/>
  <c r="I2018" i="3"/>
  <c r="K2018" i="3" s="1"/>
  <c r="I2017" i="3"/>
  <c r="K2017" i="3" s="1"/>
  <c r="I2016" i="3"/>
  <c r="K2016" i="3" s="1"/>
  <c r="G2015" i="3"/>
  <c r="I2014" i="3"/>
  <c r="K2014" i="3" s="1"/>
  <c r="I2013" i="3"/>
  <c r="K2013" i="3" s="1"/>
  <c r="I2011" i="3"/>
  <c r="K2011" i="3" s="1"/>
  <c r="I2010" i="3"/>
  <c r="K2010" i="3" s="1"/>
  <c r="K2000" i="3"/>
  <c r="G1979" i="3"/>
  <c r="K1979" i="3" s="1"/>
  <c r="G1978" i="3"/>
  <c r="K1978" i="3" s="1"/>
  <c r="G1977" i="3"/>
  <c r="K1977" i="3" s="1"/>
  <c r="K1976" i="3"/>
  <c r="K1957" i="3"/>
  <c r="K1942" i="3"/>
  <c r="K1945" i="3" s="1"/>
  <c r="I1937" i="3"/>
  <c r="K1937" i="3" s="1"/>
  <c r="K1938" i="3" s="1"/>
  <c r="I1932" i="3"/>
  <c r="K1932" i="3" s="1"/>
  <c r="K1933" i="3" s="1"/>
  <c r="K1922" i="3"/>
  <c r="E1921" i="3"/>
  <c r="K1921" i="3" s="1"/>
  <c r="K1920" i="3"/>
  <c r="G1919" i="3"/>
  <c r="K1919" i="3" s="1"/>
  <c r="K1918" i="3"/>
  <c r="K1897" i="3"/>
  <c r="E1896" i="3"/>
  <c r="K1896" i="3" s="1"/>
  <c r="K1895" i="3"/>
  <c r="G1894" i="3"/>
  <c r="K1894" i="3" s="1"/>
  <c r="K1898" i="3"/>
  <c r="G1898" i="3"/>
  <c r="K1893" i="3"/>
  <c r="K1883" i="3"/>
  <c r="E1882" i="3"/>
  <c r="K1882" i="3" s="1"/>
  <c r="K1881" i="3"/>
  <c r="G1880" i="3"/>
  <c r="K1880" i="3" s="1"/>
  <c r="K1879" i="3"/>
  <c r="G1879" i="3"/>
  <c r="K1878" i="3"/>
  <c r="K1868" i="3"/>
  <c r="G1867" i="3"/>
  <c r="K1867" i="3" s="1"/>
  <c r="K1866" i="3"/>
  <c r="H1843" i="3"/>
  <c r="K1843" i="3" s="1"/>
  <c r="H1842" i="3"/>
  <c r="K1842" i="3" s="1"/>
  <c r="H1841" i="3"/>
  <c r="K1841" i="3" s="1"/>
  <c r="H1840" i="3"/>
  <c r="K1840" i="3" s="1"/>
  <c r="H1839" i="3"/>
  <c r="K1839" i="3" s="1"/>
  <c r="H1838" i="3"/>
  <c r="K1838" i="3" s="1"/>
  <c r="H1837" i="3"/>
  <c r="K1837" i="3" s="1"/>
  <c r="H1836" i="3"/>
  <c r="K1836" i="3" s="1"/>
  <c r="H1835" i="3"/>
  <c r="K1835" i="3" s="1"/>
  <c r="H1834" i="3"/>
  <c r="I1814" i="3"/>
  <c r="K1814" i="3" s="1"/>
  <c r="K1803" i="3"/>
  <c r="K1804" i="3" s="1"/>
  <c r="K1798" i="3"/>
  <c r="K1799" i="3" s="1"/>
  <c r="K1793" i="3"/>
  <c r="K1794" i="3" s="1"/>
  <c r="K1779" i="3"/>
  <c r="K1758" i="3"/>
  <c r="G1757" i="3"/>
  <c r="I1757" i="3" s="1"/>
  <c r="K1757" i="3" s="1"/>
  <c r="I1756" i="3"/>
  <c r="K1756" i="3" s="1"/>
  <c r="I1755" i="3"/>
  <c r="K1755" i="3" s="1"/>
  <c r="K1751" i="3"/>
  <c r="I1737" i="3"/>
  <c r="K1737" i="3" s="1"/>
  <c r="K1738" i="3" s="1"/>
  <c r="I1718" i="3"/>
  <c r="K1718" i="3" s="1"/>
  <c r="I1717" i="3"/>
  <c r="K1717" i="3" s="1"/>
  <c r="I1716" i="3"/>
  <c r="K1716" i="3" s="1"/>
  <c r="G1715" i="3"/>
  <c r="I1714" i="3"/>
  <c r="K1714" i="3" s="1"/>
  <c r="G1713" i="3"/>
  <c r="I1711" i="3"/>
  <c r="K1711" i="3" s="1"/>
  <c r="I1710" i="3"/>
  <c r="K1710" i="3" s="1"/>
  <c r="I1709" i="3"/>
  <c r="K1709" i="3" s="1"/>
  <c r="I1708" i="3"/>
  <c r="K1708" i="3" s="1"/>
  <c r="I1698" i="3"/>
  <c r="K1698" i="3" s="1"/>
  <c r="I1697" i="3"/>
  <c r="K1697" i="3" s="1"/>
  <c r="I1696" i="3"/>
  <c r="K1696" i="3" s="1"/>
  <c r="G1695" i="3"/>
  <c r="I1694" i="3"/>
  <c r="K1694" i="3" s="1"/>
  <c r="G1693" i="3"/>
  <c r="I1692" i="3"/>
  <c r="K1692" i="3" s="1"/>
  <c r="I1691" i="3"/>
  <c r="K1691" i="3" s="1"/>
  <c r="I1690" i="3"/>
  <c r="K1690" i="3" s="1"/>
  <c r="I1689" i="3"/>
  <c r="K1689" i="3" s="1"/>
  <c r="I1688" i="3"/>
  <c r="K1688" i="3" s="1"/>
  <c r="K1678" i="3"/>
  <c r="K1677" i="3"/>
  <c r="G1676" i="3"/>
  <c r="K1675" i="3"/>
  <c r="I1655" i="3"/>
  <c r="K1655" i="3" s="1"/>
  <c r="I1654" i="3"/>
  <c r="K1654" i="3" s="1"/>
  <c r="I1653" i="3"/>
  <c r="K1653" i="3" s="1"/>
  <c r="G1652" i="3"/>
  <c r="I1651" i="3"/>
  <c r="K1651" i="3" s="1"/>
  <c r="G1650" i="3"/>
  <c r="I1649" i="3"/>
  <c r="K1649" i="3" s="1"/>
  <c r="I1648" i="3"/>
  <c r="K1648" i="3" s="1"/>
  <c r="E1647" i="3"/>
  <c r="I1647" i="3" s="1"/>
  <c r="K1647" i="3" s="1"/>
  <c r="K1646" i="3"/>
  <c r="K1645" i="3"/>
  <c r="I1625" i="3"/>
  <c r="K1625" i="3" s="1"/>
  <c r="I1624" i="3"/>
  <c r="K1624" i="3" s="1"/>
  <c r="I1623" i="3"/>
  <c r="K1623" i="3" s="1"/>
  <c r="I1622" i="3"/>
  <c r="K1622" i="3" s="1"/>
  <c r="I1621" i="3"/>
  <c r="K1621" i="3" s="1"/>
  <c r="I1620" i="3"/>
  <c r="K1620" i="3" s="1"/>
  <c r="I1619" i="3"/>
  <c r="K1619" i="3" s="1"/>
  <c r="I1618" i="3"/>
  <c r="K1618" i="3" s="1"/>
  <c r="E1617" i="3"/>
  <c r="I1617" i="3" s="1"/>
  <c r="K1617" i="3" s="1"/>
  <c r="I1616" i="3"/>
  <c r="K1616" i="3" s="1"/>
  <c r="I1615" i="3"/>
  <c r="K1615" i="3" s="1"/>
  <c r="I1610" i="3"/>
  <c r="K1610" i="3" s="1"/>
  <c r="K1611" i="3" s="1"/>
  <c r="I1605" i="3"/>
  <c r="K1605" i="3" s="1"/>
  <c r="K1606" i="3" s="1"/>
  <c r="K1600" i="3"/>
  <c r="K1601" i="3" s="1"/>
  <c r="K1595" i="3"/>
  <c r="K1596" i="3" s="1"/>
  <c r="K1591" i="3"/>
  <c r="K1570" i="3"/>
  <c r="K1569" i="3"/>
  <c r="G1568" i="3"/>
  <c r="K1568" i="3" s="1"/>
  <c r="G1567" i="3"/>
  <c r="K1567" i="3" s="1"/>
  <c r="K1565" i="3"/>
  <c r="K1564" i="3"/>
  <c r="K1563" i="3"/>
  <c r="K1558" i="3"/>
  <c r="K1559" i="3" s="1"/>
  <c r="G1549" i="3"/>
  <c r="K1549" i="3" s="1"/>
  <c r="G1548" i="3"/>
  <c r="K1548" i="3" s="1"/>
  <c r="G1547" i="3"/>
  <c r="K1547" i="3" s="1"/>
  <c r="G1545" i="3"/>
  <c r="K1545" i="3" s="1"/>
  <c r="E1538" i="3"/>
  <c r="E1537" i="3"/>
  <c r="I1536" i="3"/>
  <c r="G1536" i="3"/>
  <c r="I1535" i="3"/>
  <c r="G1535" i="3"/>
  <c r="E1529" i="3"/>
  <c r="E1528" i="3"/>
  <c r="G1527" i="3"/>
  <c r="E1527" i="3"/>
  <c r="I1526" i="3"/>
  <c r="G1526" i="3"/>
  <c r="I1525" i="3"/>
  <c r="E1508" i="3"/>
  <c r="E1507" i="3"/>
  <c r="I1506" i="3"/>
  <c r="I1505" i="3"/>
  <c r="E1504" i="3"/>
  <c r="E1503" i="3"/>
  <c r="I1502" i="3"/>
  <c r="G1502" i="3"/>
  <c r="I1501" i="3"/>
  <c r="I1500" i="3"/>
  <c r="E1471" i="3"/>
  <c r="E1470" i="3"/>
  <c r="I1469" i="3"/>
  <c r="I1463" i="3"/>
  <c r="G1463" i="3"/>
  <c r="E1463" i="3"/>
  <c r="E1462" i="3"/>
  <c r="E1461" i="3"/>
  <c r="E1460" i="3"/>
  <c r="I1459" i="3"/>
  <c r="I1458" i="3"/>
  <c r="G1458" i="3"/>
  <c r="I1457" i="3"/>
  <c r="I1456" i="3"/>
  <c r="I1455" i="3"/>
  <c r="G1455" i="3"/>
  <c r="I1454" i="3"/>
  <c r="I1453" i="3"/>
  <c r="G1453" i="3"/>
  <c r="E1453" i="3"/>
  <c r="I1452" i="3"/>
  <c r="G1452" i="3"/>
  <c r="E1452" i="3"/>
  <c r="I1451" i="3"/>
  <c r="G1451" i="3"/>
  <c r="I1450" i="3"/>
  <c r="I1449" i="3"/>
  <c r="I1448" i="3"/>
  <c r="G1448" i="3"/>
  <c r="G1441" i="3"/>
  <c r="E1441" i="3"/>
  <c r="E1440" i="3"/>
  <c r="I1439" i="3"/>
  <c r="I1438" i="3"/>
  <c r="I1437" i="3"/>
  <c r="I1436" i="3"/>
  <c r="I1435" i="3"/>
  <c r="G1435" i="3"/>
  <c r="I1434" i="3"/>
  <c r="I1433" i="3"/>
  <c r="I1432" i="3"/>
  <c r="G1432" i="3"/>
  <c r="I1424" i="3"/>
  <c r="G1424" i="3"/>
  <c r="I1423" i="3"/>
  <c r="E1423" i="3"/>
  <c r="E1422" i="3"/>
  <c r="E1421" i="3"/>
  <c r="E1420" i="3"/>
  <c r="I1419" i="3"/>
  <c r="I1418" i="3"/>
  <c r="G1418" i="3"/>
  <c r="I1417" i="3"/>
  <c r="I1416" i="3"/>
  <c r="I1415" i="3"/>
  <c r="G1415" i="3"/>
  <c r="I1414" i="3"/>
  <c r="I1413" i="3"/>
  <c r="I1412" i="3"/>
  <c r="G1412" i="3"/>
  <c r="E1405" i="3"/>
  <c r="I1404" i="3"/>
  <c r="I1403" i="3"/>
  <c r="G1403" i="3"/>
  <c r="I1402" i="3"/>
  <c r="I1396" i="3"/>
  <c r="I1395" i="3"/>
  <c r="G1395" i="3"/>
  <c r="I1394" i="3"/>
  <c r="E1394" i="3"/>
  <c r="E1393" i="3"/>
  <c r="E1392" i="3"/>
  <c r="E1391" i="3"/>
  <c r="I1390" i="3"/>
  <c r="I1389" i="3"/>
  <c r="I1388" i="3"/>
  <c r="I1387" i="3"/>
  <c r="I1386" i="3"/>
  <c r="G1386" i="3"/>
  <c r="E1386" i="3"/>
  <c r="I1385" i="3"/>
  <c r="G1385" i="3"/>
  <c r="I1384" i="3"/>
  <c r="I1383" i="3"/>
  <c r="I1382" i="3"/>
  <c r="G1382" i="3"/>
  <c r="E1375" i="3"/>
  <c r="I1374" i="3"/>
  <c r="I1373" i="3"/>
  <c r="E1372" i="3"/>
  <c r="I1366" i="3"/>
  <c r="E1366" i="3"/>
  <c r="E1365" i="3"/>
  <c r="E1364" i="3"/>
  <c r="E1363" i="3"/>
  <c r="I1362" i="3"/>
  <c r="I1361" i="3"/>
  <c r="I1360" i="3"/>
  <c r="I1359" i="3"/>
  <c r="I1358" i="3"/>
  <c r="G1358" i="3"/>
  <c r="I1357" i="3"/>
  <c r="I1356" i="3"/>
  <c r="G1356" i="3"/>
  <c r="E1356" i="3"/>
  <c r="I1355" i="3"/>
  <c r="G1355" i="3"/>
  <c r="E1355" i="3"/>
  <c r="I1354" i="3"/>
  <c r="G1354" i="3"/>
  <c r="I1353" i="3"/>
  <c r="I1352" i="3"/>
  <c r="I1351" i="3"/>
  <c r="G1351" i="3"/>
  <c r="I1344" i="3"/>
  <c r="E1344" i="3"/>
  <c r="E1343" i="3"/>
  <c r="I1342" i="3"/>
  <c r="G1342" i="3"/>
  <c r="E1341" i="3"/>
  <c r="I1340" i="3"/>
  <c r="G1340" i="3"/>
  <c r="E1340" i="3"/>
  <c r="E1339" i="3"/>
  <c r="E1338" i="3"/>
  <c r="I1337" i="3"/>
  <c r="I1336" i="3"/>
  <c r="I1335" i="3"/>
  <c r="I1334" i="3"/>
  <c r="I1333" i="3"/>
  <c r="G1333" i="3"/>
  <c r="I1327" i="3"/>
  <c r="G1327" i="3"/>
  <c r="E1326" i="3"/>
  <c r="E1325" i="3"/>
  <c r="I1324" i="3"/>
  <c r="G1324" i="3"/>
  <c r="I1323" i="3"/>
  <c r="G1323" i="3"/>
  <c r="I1322" i="3"/>
  <c r="I1321" i="3"/>
  <c r="I1320" i="3"/>
  <c r="G1320" i="3"/>
  <c r="I1319" i="3"/>
  <c r="I1318" i="3"/>
  <c r="G1318" i="3"/>
  <c r="E1318" i="3"/>
  <c r="I1317" i="3"/>
  <c r="G1317" i="3"/>
  <c r="E1317" i="3"/>
  <c r="I1316" i="3"/>
  <c r="G1316" i="3"/>
  <c r="I1315" i="3"/>
  <c r="I1314" i="3"/>
  <c r="I1313" i="3"/>
  <c r="G1313" i="3"/>
  <c r="E1306" i="3"/>
  <c r="E1305" i="3"/>
  <c r="I1304" i="3"/>
  <c r="G1304" i="3"/>
  <c r="I1303" i="3"/>
  <c r="I1302" i="3"/>
  <c r="G1302" i="3"/>
  <c r="I1301" i="3"/>
  <c r="I1300" i="3"/>
  <c r="I1299" i="3"/>
  <c r="G1299" i="3"/>
  <c r="G1291" i="3"/>
  <c r="E1291" i="3"/>
  <c r="I1290" i="3"/>
  <c r="G1290" i="3"/>
  <c r="I1289" i="3"/>
  <c r="I1288" i="3"/>
  <c r="I1287" i="3"/>
  <c r="I1286" i="3"/>
  <c r="G1286" i="3"/>
  <c r="I1268" i="3"/>
  <c r="E1268" i="3"/>
  <c r="E1267" i="3"/>
  <c r="I1266" i="3"/>
  <c r="G1266" i="3"/>
  <c r="E1265" i="3"/>
  <c r="I1264" i="3"/>
  <c r="G1264" i="3"/>
  <c r="E1263" i="3"/>
  <c r="I1262" i="3"/>
  <c r="G1262" i="3"/>
  <c r="I1261" i="3"/>
  <c r="I1260" i="3"/>
  <c r="I1259" i="3"/>
  <c r="I1258" i="3"/>
  <c r="G1258" i="3"/>
  <c r="I1257" i="3"/>
  <c r="I1256" i="3"/>
  <c r="G1256" i="3"/>
  <c r="E1256" i="3"/>
  <c r="I1255" i="3"/>
  <c r="G1255" i="3"/>
  <c r="E1255" i="3"/>
  <c r="I1254" i="3"/>
  <c r="G1254" i="3"/>
  <c r="I1253" i="3"/>
  <c r="I1252" i="3"/>
  <c r="I1251" i="3"/>
  <c r="G1251" i="3"/>
  <c r="I1244" i="3"/>
  <c r="E1244" i="3"/>
  <c r="E1243" i="3"/>
  <c r="I1242" i="3"/>
  <c r="E1241" i="3"/>
  <c r="I1240" i="3"/>
  <c r="G1240" i="3"/>
  <c r="E1239" i="3"/>
  <c r="I1238" i="3"/>
  <c r="I1237" i="3"/>
  <c r="I1236" i="3"/>
  <c r="I1235" i="3"/>
  <c r="I1234" i="3"/>
  <c r="G1234" i="3"/>
  <c r="I1233" i="3"/>
  <c r="I1232" i="3"/>
  <c r="G1232" i="3"/>
  <c r="E1232" i="3"/>
  <c r="I1231" i="3"/>
  <c r="G1231" i="3"/>
  <c r="E1231" i="3"/>
  <c r="I1230" i="3"/>
  <c r="G1230" i="3"/>
  <c r="I1229" i="3"/>
  <c r="I1228" i="3"/>
  <c r="I1227" i="3"/>
  <c r="G1227" i="3"/>
  <c r="E1220" i="3"/>
  <c r="E1219" i="3"/>
  <c r="I1218" i="3"/>
  <c r="G1218" i="3"/>
  <c r="I1217" i="3"/>
  <c r="G1217" i="3"/>
  <c r="E1216" i="3"/>
  <c r="I1215" i="3"/>
  <c r="G1215" i="3"/>
  <c r="I1214" i="3"/>
  <c r="I1213" i="3"/>
  <c r="I1212" i="3"/>
  <c r="I1211" i="3"/>
  <c r="G1211" i="3"/>
  <c r="I1210" i="3"/>
  <c r="I1209" i="3"/>
  <c r="G1209" i="3"/>
  <c r="E1209" i="3"/>
  <c r="I1208" i="3"/>
  <c r="I1207" i="3"/>
  <c r="I1206" i="3"/>
  <c r="G1206" i="3"/>
  <c r="E1199" i="3"/>
  <c r="E1198" i="3"/>
  <c r="E1187" i="3"/>
  <c r="E1186" i="3"/>
  <c r="I1185" i="3"/>
  <c r="G1185" i="3"/>
  <c r="I1184" i="3"/>
  <c r="G1184" i="3"/>
  <c r="E1183" i="3"/>
  <c r="I1182" i="3"/>
  <c r="G1182" i="3"/>
  <c r="I1181" i="3"/>
  <c r="G1181" i="3"/>
  <c r="I1180" i="3"/>
  <c r="I1179" i="3"/>
  <c r="I1178" i="3"/>
  <c r="I1177" i="3"/>
  <c r="I1176" i="3"/>
  <c r="G1176" i="3"/>
  <c r="E1176" i="3"/>
  <c r="I1175" i="3"/>
  <c r="G1175" i="3"/>
  <c r="E1175" i="3"/>
  <c r="I1174" i="3"/>
  <c r="G1174" i="3"/>
  <c r="I1173" i="3"/>
  <c r="I1172" i="3"/>
  <c r="I1171" i="3"/>
  <c r="G1171" i="3"/>
  <c r="E1164" i="3"/>
  <c r="E1163" i="3"/>
  <c r="I1162" i="3"/>
  <c r="G1162" i="3"/>
  <c r="E1161" i="3"/>
  <c r="I1160" i="3"/>
  <c r="G1160" i="3"/>
  <c r="I1159" i="3"/>
  <c r="I1158" i="3"/>
  <c r="I1157" i="3"/>
  <c r="I1156" i="3"/>
  <c r="G1156" i="3"/>
  <c r="E1149" i="3"/>
  <c r="E1148" i="3"/>
  <c r="I1147" i="3"/>
  <c r="G1147" i="3"/>
  <c r="E1146" i="3"/>
  <c r="I1145" i="3"/>
  <c r="G1145" i="3"/>
  <c r="I1144" i="3"/>
  <c r="I1143" i="3"/>
  <c r="I1142" i="3"/>
  <c r="I1141" i="3"/>
  <c r="G1141" i="3"/>
  <c r="I1140" i="3"/>
  <c r="I1139" i="3"/>
  <c r="G1139" i="3"/>
  <c r="E1139" i="3"/>
  <c r="I1138" i="3"/>
  <c r="G1138" i="3"/>
  <c r="E1131" i="3"/>
  <c r="I1130" i="3"/>
  <c r="E1130" i="3"/>
  <c r="I1129" i="3"/>
  <c r="I1128" i="3"/>
  <c r="I1127" i="3"/>
  <c r="I1126" i="3"/>
  <c r="I1125" i="3"/>
  <c r="G1125" i="3"/>
  <c r="I1124" i="3"/>
  <c r="I1123" i="3"/>
  <c r="G1123" i="3"/>
  <c r="E1123" i="3"/>
  <c r="I1122" i="3"/>
  <c r="G1122" i="3"/>
  <c r="E1106" i="3"/>
  <c r="E1105" i="3"/>
  <c r="E1104" i="3"/>
  <c r="K1104" i="3" s="1"/>
  <c r="E1098" i="3"/>
  <c r="E1097" i="3"/>
  <c r="G1096" i="3"/>
  <c r="E1096" i="3"/>
  <c r="I1095" i="3"/>
  <c r="G1089" i="3"/>
  <c r="E1089" i="3"/>
  <c r="G1088" i="3"/>
  <c r="E1088" i="3"/>
  <c r="E1087" i="3"/>
  <c r="E1081" i="3"/>
  <c r="E1080" i="3"/>
  <c r="G1079" i="3"/>
  <c r="I1078" i="3"/>
  <c r="I1077" i="3"/>
  <c r="G1077" i="3"/>
  <c r="I1076" i="3"/>
  <c r="I1075" i="3"/>
  <c r="I1074" i="3"/>
  <c r="G1074" i="3"/>
  <c r="I1073" i="3"/>
  <c r="I1072" i="3"/>
  <c r="G1072" i="3"/>
  <c r="E1072" i="3"/>
  <c r="I1071" i="3"/>
  <c r="G1071" i="3"/>
  <c r="I1070" i="3"/>
  <c r="G1070" i="3"/>
  <c r="I1069" i="3"/>
  <c r="G1069" i="3"/>
  <c r="G1062" i="3"/>
  <c r="E1062" i="3"/>
  <c r="E1061" i="3"/>
  <c r="I1060" i="3"/>
  <c r="G1060" i="3"/>
  <c r="I1059" i="3"/>
  <c r="I1058" i="3"/>
  <c r="I1057" i="3"/>
  <c r="I1056" i="3"/>
  <c r="G1056" i="3"/>
  <c r="E1050" i="3"/>
  <c r="G1049" i="3"/>
  <c r="I1048" i="3"/>
  <c r="I1047" i="3"/>
  <c r="I1046" i="3"/>
  <c r="I1045" i="3"/>
  <c r="I1044" i="3"/>
  <c r="G1044" i="3"/>
  <c r="I1043" i="3"/>
  <c r="I1042" i="3"/>
  <c r="G1042" i="3"/>
  <c r="E1042" i="3"/>
  <c r="I1041" i="3"/>
  <c r="G1041" i="3"/>
  <c r="E1034" i="3"/>
  <c r="I1033" i="3"/>
  <c r="E1033" i="3"/>
  <c r="I1032" i="3"/>
  <c r="I1031" i="3"/>
  <c r="E1025" i="3"/>
  <c r="G1024" i="3"/>
  <c r="E1024" i="3"/>
  <c r="I1023" i="3"/>
  <c r="I1022" i="3"/>
  <c r="I1021" i="3"/>
  <c r="I1020" i="3"/>
  <c r="I1019" i="3"/>
  <c r="G1019" i="3"/>
  <c r="E1013" i="3"/>
  <c r="E1012" i="3"/>
  <c r="I1011" i="3"/>
  <c r="I1010" i="3"/>
  <c r="G1010" i="3"/>
  <c r="I1009" i="3"/>
  <c r="I1008" i="3"/>
  <c r="I1007" i="3"/>
  <c r="I1006" i="3"/>
  <c r="G1006" i="3"/>
  <c r="J1505" i="3"/>
  <c r="E1011" i="3"/>
  <c r="J1258" i="3"/>
  <c r="E1455" i="3"/>
  <c r="E1000" i="3"/>
  <c r="E999" i="3"/>
  <c r="I998" i="3"/>
  <c r="J1128" i="3"/>
  <c r="I997" i="3"/>
  <c r="J1180" i="3"/>
  <c r="E1213" i="3"/>
  <c r="I996" i="3"/>
  <c r="I995" i="3"/>
  <c r="J1450" i="3"/>
  <c r="E1501" i="3"/>
  <c r="I994" i="3"/>
  <c r="J1124" i="3"/>
  <c r="E1436" i="3"/>
  <c r="I993" i="3"/>
  <c r="G993" i="3"/>
  <c r="E994" i="3"/>
  <c r="E1079" i="3"/>
  <c r="J1354" i="3"/>
  <c r="J1536" i="3"/>
  <c r="E1525" i="3"/>
  <c r="E1242" i="3"/>
  <c r="J1268" i="3"/>
  <c r="E986" i="3"/>
  <c r="J1340" i="3"/>
  <c r="I985" i="3"/>
  <c r="I984" i="3"/>
  <c r="E984" i="3"/>
  <c r="I983" i="3"/>
  <c r="E975" i="3"/>
  <c r="I973" i="3"/>
  <c r="I972" i="3"/>
  <c r="G972" i="3"/>
  <c r="I971" i="3"/>
  <c r="I970" i="3"/>
  <c r="E970" i="3"/>
  <c r="I969" i="3"/>
  <c r="G969" i="3"/>
  <c r="K959" i="3"/>
  <c r="K958" i="3"/>
  <c r="K957" i="3"/>
  <c r="K935" i="3"/>
  <c r="K937" i="3" s="1"/>
  <c r="G929" i="3"/>
  <c r="K916" i="3"/>
  <c r="G892" i="3"/>
  <c r="K892" i="3" s="1"/>
  <c r="G891" i="3"/>
  <c r="K891" i="3" s="1"/>
  <c r="K885" i="3"/>
  <c r="K886" i="3" s="1"/>
  <c r="K874" i="3"/>
  <c r="K863" i="3"/>
  <c r="K864" i="3" s="1"/>
  <c r="K858" i="3"/>
  <c r="K859" i="3" s="1"/>
  <c r="K848" i="3"/>
  <c r="K849" i="3" s="1"/>
  <c r="K838" i="3"/>
  <c r="K839" i="3" s="1"/>
  <c r="K833" i="3"/>
  <c r="K834" i="3" s="1"/>
  <c r="K824" i="3"/>
  <c r="K823" i="3"/>
  <c r="K787" i="3"/>
  <c r="K791" i="3" s="1"/>
  <c r="K781" i="3"/>
  <c r="K771" i="3"/>
  <c r="K763" i="3"/>
  <c r="I754" i="3"/>
  <c r="K754" i="3" s="1"/>
  <c r="K755" i="3" s="1"/>
  <c r="I748" i="3"/>
  <c r="K748" i="3" s="1"/>
  <c r="I741" i="3"/>
  <c r="K741" i="3" s="1"/>
  <c r="I728" i="3"/>
  <c r="K705" i="3"/>
  <c r="K698" i="3"/>
  <c r="K687" i="3"/>
  <c r="K686" i="3"/>
  <c r="K685" i="3"/>
  <c r="K674" i="3"/>
  <c r="K672" i="3"/>
  <c r="K671" i="3"/>
  <c r="G650" i="3"/>
  <c r="K650" i="3" s="1"/>
  <c r="K607" i="3"/>
  <c r="K565" i="3"/>
  <c r="K563" i="3"/>
  <c r="K553" i="3"/>
  <c r="K554" i="3" s="1"/>
  <c r="K533" i="3"/>
  <c r="K531" i="3"/>
  <c r="K530" i="3"/>
  <c r="K529" i="3"/>
  <c r="K527" i="3"/>
  <c r="K526" i="3"/>
  <c r="K525" i="3"/>
  <c r="K507" i="3"/>
  <c r="K506" i="3"/>
  <c r="K497" i="3"/>
  <c r="K496" i="3"/>
  <c r="K492" i="3"/>
  <c r="K482" i="3"/>
  <c r="K481" i="3"/>
  <c r="K465" i="3"/>
  <c r="K445" i="3"/>
  <c r="K436" i="3"/>
  <c r="K439" i="3" s="1"/>
  <c r="K383" i="3"/>
  <c r="K386" i="3" s="1"/>
  <c r="K358" i="3"/>
  <c r="I353" i="3"/>
  <c r="K353" i="3" s="1"/>
  <c r="K354" i="3" s="1"/>
  <c r="K4736" i="3" l="1"/>
  <c r="K4566" i="3"/>
  <c r="K2622" i="3"/>
  <c r="K2754" i="3"/>
  <c r="K360" i="3"/>
  <c r="K364" i="3" s="1"/>
  <c r="K365" i="3" s="1"/>
  <c r="K4108" i="3"/>
  <c r="K3667" i="3"/>
  <c r="K3670" i="3" s="1"/>
  <c r="K3671" i="3" s="1"/>
  <c r="K3672" i="3" s="1"/>
  <c r="K3002" i="3"/>
  <c r="K3005" i="3" s="1"/>
  <c r="K3006" i="3" s="1"/>
  <c r="K749" i="3"/>
  <c r="K4036" i="3"/>
  <c r="K4041" i="3" s="1"/>
  <c r="K4205" i="3"/>
  <c r="K4208" i="3" s="1"/>
  <c r="K4448" i="3"/>
  <c r="K4451" i="3" s="1"/>
  <c r="K4469" i="3"/>
  <c r="K5206" i="3"/>
  <c r="K825" i="3"/>
  <c r="K828" i="3" s="1"/>
  <c r="K829" i="3" s="1"/>
  <c r="K5155" i="3"/>
  <c r="K4094" i="3"/>
  <c r="K4095" i="3" s="1"/>
  <c r="K4399" i="3"/>
  <c r="K4400" i="3" s="1"/>
  <c r="K728" i="3"/>
  <c r="K729" i="3" s="1"/>
  <c r="K2978" i="3"/>
  <c r="K2981" i="3" s="1"/>
  <c r="K2098" i="3"/>
  <c r="K4062" i="3"/>
  <c r="K4551" i="3"/>
  <c r="K3990" i="3"/>
  <c r="K3993" i="3" s="1"/>
  <c r="K4199" i="3"/>
  <c r="K4550" i="3"/>
  <c r="K2191" i="3"/>
  <c r="K2192" i="3" s="1"/>
  <c r="K2195" i="3" s="1"/>
  <c r="K4547" i="3"/>
  <c r="K4552" i="3"/>
  <c r="K1834" i="3"/>
  <c r="K1844" i="3" s="1"/>
  <c r="K5267" i="3"/>
  <c r="K2556" i="3"/>
  <c r="K2558" i="3" s="1"/>
  <c r="K2559" i="3" s="1"/>
  <c r="K3847" i="3"/>
  <c r="K3850" i="3" s="1"/>
  <c r="K651" i="3"/>
  <c r="K29" i="7"/>
  <c r="L29" i="7" s="1"/>
  <c r="K1566" i="3"/>
  <c r="K1571" i="3" s="1"/>
  <c r="K1574" i="3" s="1"/>
  <c r="K4756" i="3"/>
  <c r="K4757" i="3" s="1"/>
  <c r="K1946" i="3"/>
  <c r="K1947" i="3" s="1"/>
  <c r="K3889" i="3"/>
  <c r="K3890" i="3" s="1"/>
  <c r="K4737" i="3"/>
  <c r="K4738" i="3" s="1"/>
  <c r="K764" i="3"/>
  <c r="K35" i="7"/>
  <c r="L35" i="7" s="1"/>
  <c r="M35" i="7" s="1"/>
  <c r="K18" i="7"/>
  <c r="L18" i="7" s="1"/>
  <c r="M18" i="7" s="1"/>
  <c r="K4" i="7"/>
  <c r="L4" i="7" s="1"/>
  <c r="M4" i="7" s="1"/>
  <c r="K3867" i="3"/>
  <c r="K3869" i="3" s="1"/>
  <c r="K3870" i="3" s="1"/>
  <c r="K4246" i="3"/>
  <c r="K2635" i="3"/>
  <c r="K2636" i="3" s="1"/>
  <c r="K2713" i="3"/>
  <c r="K3247" i="3"/>
  <c r="K2157" i="3"/>
  <c r="K3954" i="3"/>
  <c r="K3958" i="3" s="1"/>
  <c r="K2519" i="3"/>
  <c r="K2521" i="3" s="1"/>
  <c r="K4365" i="3"/>
  <c r="K735" i="3"/>
  <c r="K1105" i="3"/>
  <c r="K3828" i="3"/>
  <c r="K3829" i="3" s="1"/>
  <c r="K4649" i="3"/>
  <c r="K4227" i="3"/>
  <c r="K4714" i="3"/>
  <c r="K918" i="3"/>
  <c r="K1106" i="3"/>
  <c r="K930" i="3"/>
  <c r="K2526" i="3"/>
  <c r="K4242" i="3"/>
  <c r="K879" i="3"/>
  <c r="K619" i="3"/>
  <c r="K620" i="3" s="1"/>
  <c r="K2758" i="3"/>
  <c r="K2759" i="3" s="1"/>
  <c r="K2535" i="3"/>
  <c r="K733" i="3"/>
  <c r="K734" i="3"/>
  <c r="K853" i="3"/>
  <c r="K854" i="3" s="1"/>
  <c r="E1160" i="3"/>
  <c r="E1502" i="3"/>
  <c r="K608" i="3"/>
  <c r="K878" i="3"/>
  <c r="K917" i="3"/>
  <c r="K1087" i="3"/>
  <c r="K1966" i="3"/>
  <c r="K1967" i="3" s="1"/>
  <c r="K2274" i="3"/>
  <c r="K2275" i="3" s="1"/>
  <c r="K3010" i="3"/>
  <c r="K3253" i="3"/>
  <c r="K4185" i="3"/>
  <c r="K4356" i="3"/>
  <c r="K4370" i="3"/>
  <c r="K4650" i="3"/>
  <c r="K4715" i="3"/>
  <c r="K4978" i="3"/>
  <c r="K4003" i="3"/>
  <c r="K4004" i="3" s="1"/>
  <c r="K4163" i="3"/>
  <c r="K4164" i="3" s="1"/>
  <c r="K4478" i="3"/>
  <c r="K4479" i="3" s="1"/>
  <c r="K4903" i="3"/>
  <c r="K7" i="7"/>
  <c r="L7" i="7" s="1"/>
  <c r="M7" i="7" s="1"/>
  <c r="K16" i="7"/>
  <c r="L16" i="7" s="1"/>
  <c r="K454" i="3"/>
  <c r="K455" i="3" s="1"/>
  <c r="K609" i="3"/>
  <c r="K2631" i="3"/>
  <c r="K3011" i="3"/>
  <c r="K4186" i="3"/>
  <c r="K4357" i="3"/>
  <c r="K4371" i="3"/>
  <c r="K4651" i="3"/>
  <c r="K4716" i="3"/>
  <c r="K4979" i="3"/>
  <c r="K17" i="7"/>
  <c r="L17" i="7" s="1"/>
  <c r="K21" i="7"/>
  <c r="L21" i="7" s="1"/>
  <c r="K1972" i="3"/>
  <c r="K2158" i="3"/>
  <c r="K3012" i="3"/>
  <c r="K4187" i="3"/>
  <c r="K4358" i="3"/>
  <c r="K4372" i="3"/>
  <c r="K4707" i="3"/>
  <c r="K4717" i="3"/>
  <c r="K2803" i="3"/>
  <c r="K28" i="7"/>
  <c r="L28" i="7" s="1"/>
  <c r="M28" i="7" s="1"/>
  <c r="K611" i="3"/>
  <c r="K924" i="3"/>
  <c r="K925" i="3" s="1"/>
  <c r="K2159" i="3"/>
  <c r="K3013" i="3"/>
  <c r="K4188" i="3"/>
  <c r="K4311" i="3"/>
  <c r="K4373" i="3"/>
  <c r="K4708" i="3"/>
  <c r="K4720" i="3"/>
  <c r="K612" i="3"/>
  <c r="K1363" i="3"/>
  <c r="K1815" i="3"/>
  <c r="K2283" i="3"/>
  <c r="K3014" i="3"/>
  <c r="K3244" i="3"/>
  <c r="K3714" i="3"/>
  <c r="K4189" i="3"/>
  <c r="K4243" i="3"/>
  <c r="K4312" i="3"/>
  <c r="K4362" i="3"/>
  <c r="K4374" i="3"/>
  <c r="K4709" i="3"/>
  <c r="K4721" i="3"/>
  <c r="K4885" i="3"/>
  <c r="K3039" i="3"/>
  <c r="K4085" i="3"/>
  <c r="K4086" i="3" s="1"/>
  <c r="K4237" i="3"/>
  <c r="K4238" i="3" s="1"/>
  <c r="K558" i="3"/>
  <c r="K559" i="3" s="1"/>
  <c r="K742" i="3"/>
  <c r="K743" i="3" s="1"/>
  <c r="K919" i="3"/>
  <c r="K1508" i="3"/>
  <c r="K613" i="3"/>
  <c r="K696" i="3"/>
  <c r="K929" i="3"/>
  <c r="K1504" i="3"/>
  <c r="K2160" i="3"/>
  <c r="K3015" i="3"/>
  <c r="K3245" i="3"/>
  <c r="K3593" i="3"/>
  <c r="K3594" i="3" s="1"/>
  <c r="K4244" i="3"/>
  <c r="K4363" i="3"/>
  <c r="K4710" i="3"/>
  <c r="K4726" i="3"/>
  <c r="K782" i="3"/>
  <c r="K783" i="3" s="1"/>
  <c r="K1739" i="3"/>
  <c r="K4842" i="3"/>
  <c r="K4843" i="3" s="1"/>
  <c r="K31" i="7"/>
  <c r="L31" i="7" s="1"/>
  <c r="M31" i="7" s="1"/>
  <c r="K843" i="3"/>
  <c r="K844" i="3" s="1"/>
  <c r="K610" i="3"/>
  <c r="K614" i="3"/>
  <c r="K697" i="3"/>
  <c r="K915" i="3"/>
  <c r="K1372" i="3"/>
  <c r="K3016" i="3"/>
  <c r="K3246" i="3"/>
  <c r="K3923" i="3"/>
  <c r="K3925" i="3" s="1"/>
  <c r="K4049" i="3"/>
  <c r="K4050" i="3" s="1"/>
  <c r="K4245" i="3"/>
  <c r="K4364" i="3"/>
  <c r="K4648" i="3"/>
  <c r="K4711" i="3"/>
  <c r="K4727" i="3"/>
  <c r="K4027" i="3"/>
  <c r="K4028" i="3" s="1"/>
  <c r="K4582" i="3"/>
  <c r="K4915" i="3"/>
  <c r="K3" i="7"/>
  <c r="L3" i="7" s="1"/>
  <c r="K34" i="7"/>
  <c r="L34" i="7" s="1"/>
  <c r="M34" i="7" s="1"/>
  <c r="K24" i="7"/>
  <c r="L24" i="7" s="1"/>
  <c r="M24" i="7" s="1"/>
  <c r="K27" i="7"/>
  <c r="L27" i="7" s="1"/>
  <c r="M27" i="7" s="1"/>
  <c r="K39" i="7"/>
  <c r="L39" i="7" s="1"/>
  <c r="M39" i="7" s="1"/>
  <c r="K6" i="7"/>
  <c r="L6" i="7" s="1"/>
  <c r="K37" i="7"/>
  <c r="L37" i="7" s="1"/>
  <c r="M37" i="7" s="1"/>
  <c r="I2723" i="3"/>
  <c r="K2723" i="3" s="1"/>
  <c r="K3318" i="3"/>
  <c r="K3321" i="3" s="1"/>
  <c r="J1395" i="3"/>
  <c r="I2291" i="3"/>
  <c r="K2291" i="3" s="1"/>
  <c r="K1999" i="3"/>
  <c r="K2001" i="3" s="1"/>
  <c r="K2004" i="3" s="1"/>
  <c r="K2087" i="3"/>
  <c r="K2090" i="3" s="1"/>
  <c r="K4603" i="3"/>
  <c r="K4605" i="3" s="1"/>
  <c r="K4608" i="3" s="1"/>
  <c r="K4609" i="3" s="1"/>
  <c r="K4610" i="3" s="1"/>
  <c r="K2825" i="3"/>
  <c r="K2826" i="3" s="1"/>
  <c r="K2829" i="3" s="1"/>
  <c r="K3066" i="3"/>
  <c r="K3069" i="3" s="1"/>
  <c r="K3070" i="3" s="1"/>
  <c r="K3071" i="3" s="1"/>
  <c r="K483" i="3"/>
  <c r="K486" i="3" s="1"/>
  <c r="K487" i="3" s="1"/>
  <c r="K3798" i="3"/>
  <c r="K3801" i="3" s="1"/>
  <c r="K3876" i="3"/>
  <c r="K3879" i="3" s="1"/>
  <c r="J1319" i="3"/>
  <c r="I1695" i="3"/>
  <c r="K1695" i="3" s="1"/>
  <c r="K1079" i="3"/>
  <c r="K1505" i="3"/>
  <c r="K2764" i="3"/>
  <c r="K2771" i="3" s="1"/>
  <c r="K2774" i="3" s="1"/>
  <c r="K3410" i="3"/>
  <c r="K3413" i="3" s="1"/>
  <c r="K3765" i="3"/>
  <c r="K3768" i="3" s="1"/>
  <c r="K43" i="7"/>
  <c r="L43" i="7" s="1"/>
  <c r="M43" i="7" s="1"/>
  <c r="K9" i="7"/>
  <c r="L9" i="7" s="1"/>
  <c r="M9" i="7" s="1"/>
  <c r="K22" i="7"/>
  <c r="L22" i="7" s="1"/>
  <c r="M22" i="7" s="1"/>
  <c r="K25" i="7"/>
  <c r="L25" i="7" s="1"/>
  <c r="M25" i="7" s="1"/>
  <c r="K40" i="7"/>
  <c r="L40" i="7" s="1"/>
  <c r="M40" i="7" s="1"/>
  <c r="K12" i="7"/>
  <c r="L12" i="7" s="1"/>
  <c r="K20" i="7"/>
  <c r="L20" i="7" s="1"/>
  <c r="K23" i="7"/>
  <c r="L23" i="7" s="1"/>
  <c r="M23" i="7" s="1"/>
  <c r="K26" i="7"/>
  <c r="L26" i="7" s="1"/>
  <c r="K41" i="7"/>
  <c r="L41" i="7" s="1"/>
  <c r="M41" i="7" s="1"/>
  <c r="K8" i="7"/>
  <c r="L8" i="7" s="1"/>
  <c r="M8" i="7" s="1"/>
  <c r="K5214" i="3"/>
  <c r="K792" i="3"/>
  <c r="K4939" i="3"/>
  <c r="K4940" i="3" s="1"/>
  <c r="K4179" i="3"/>
  <c r="K4180" i="3" s="1"/>
  <c r="K4823" i="3"/>
  <c r="K4824" i="3" s="1"/>
  <c r="K806" i="3"/>
  <c r="K809" i="3" s="1"/>
  <c r="K810" i="3" s="1"/>
  <c r="K811" i="3" s="1"/>
  <c r="K893" i="3"/>
  <c r="K896" i="3" s="1"/>
  <c r="K970" i="3"/>
  <c r="J1497" i="3"/>
  <c r="I1715" i="3"/>
  <c r="K1715" i="3" s="1"/>
  <c r="K3031" i="3"/>
  <c r="K3286" i="3"/>
  <c r="K3289" i="3" s="1"/>
  <c r="K3643" i="3"/>
  <c r="K3644" i="3" s="1"/>
  <c r="K3858" i="3"/>
  <c r="K3861" i="3" s="1"/>
  <c r="K3862" i="3" s="1"/>
  <c r="K3863" i="3" s="1"/>
  <c r="K5134" i="3"/>
  <c r="K5137" i="3" s="1"/>
  <c r="J1436" i="3"/>
  <c r="K1436" i="3" s="1"/>
  <c r="K1676" i="3"/>
  <c r="K1679" i="3" s="1"/>
  <c r="K1682" i="3" s="1"/>
  <c r="I2015" i="3"/>
  <c r="K2015" i="3" s="1"/>
  <c r="K2019" i="3" s="1"/>
  <c r="K2022" i="3" s="1"/>
  <c r="K3732" i="3"/>
  <c r="K3735" i="3" s="1"/>
  <c r="K3736" i="3" s="1"/>
  <c r="K3737" i="3" s="1"/>
  <c r="K4142" i="3"/>
  <c r="K4145" i="3" s="1"/>
  <c r="K498" i="3"/>
  <c r="K501" i="3" s="1"/>
  <c r="I1652" i="3"/>
  <c r="K1652" i="3" s="1"/>
  <c r="K2340" i="3"/>
  <c r="K2426" i="3"/>
  <c r="K3678" i="3"/>
  <c r="K3681" i="3" s="1"/>
  <c r="K3981" i="3"/>
  <c r="K3984" i="3" s="1"/>
  <c r="K4483" i="3"/>
  <c r="K4486" i="3" s="1"/>
  <c r="K4489" i="3" s="1"/>
  <c r="K4888" i="3"/>
  <c r="K5147" i="3"/>
  <c r="J1218" i="3"/>
  <c r="K2687" i="3"/>
  <c r="K2690" i="3" s="1"/>
  <c r="E974" i="3"/>
  <c r="K974" i="3" s="1"/>
  <c r="K2126" i="3"/>
  <c r="K2130" i="3" s="1"/>
  <c r="K2133" i="3" s="1"/>
  <c r="I2292" i="3"/>
  <c r="K2292" i="3" s="1"/>
  <c r="I2322" i="3"/>
  <c r="K2322" i="3" s="1"/>
  <c r="K2880" i="3"/>
  <c r="K2883" i="3" s="1"/>
  <c r="K3235" i="3"/>
  <c r="K3238" i="3" s="1"/>
  <c r="K4417" i="3"/>
  <c r="K4420" i="3" s="1"/>
  <c r="K4548" i="3"/>
  <c r="K5161" i="3"/>
  <c r="K5164" i="3" s="1"/>
  <c r="K440" i="3"/>
  <c r="K960" i="3"/>
  <c r="K963" i="3" s="1"/>
  <c r="K964" i="3" s="1"/>
  <c r="K965" i="3" s="1"/>
  <c r="E1043" i="3"/>
  <c r="E1057" i="3"/>
  <c r="J1143" i="3"/>
  <c r="E1351" i="3"/>
  <c r="K2373" i="3"/>
  <c r="K4684" i="3"/>
  <c r="K4687" i="3" s="1"/>
  <c r="E1313" i="3"/>
  <c r="E993" i="3"/>
  <c r="K1268" i="3"/>
  <c r="E1069" i="3"/>
  <c r="J1140" i="3"/>
  <c r="E1172" i="3"/>
  <c r="J1286" i="3"/>
  <c r="E1322" i="3"/>
  <c r="J1416" i="3"/>
  <c r="I1713" i="3"/>
  <c r="K1713" i="3" s="1"/>
  <c r="K2814" i="3"/>
  <c r="K2817" i="3" s="1"/>
  <c r="K3055" i="3"/>
  <c r="K3058" i="3" s="1"/>
  <c r="K3059" i="3" s="1"/>
  <c r="K3060" i="3" s="1"/>
  <c r="K3197" i="3"/>
  <c r="K3198" i="3" s="1"/>
  <c r="K3421" i="3"/>
  <c r="K3424" i="3" s="1"/>
  <c r="K3498" i="3"/>
  <c r="K3501" i="3" s="1"/>
  <c r="K4658" i="3"/>
  <c r="K4860" i="3"/>
  <c r="K4863" i="3" s="1"/>
  <c r="K5261" i="3"/>
  <c r="K5265" i="3"/>
  <c r="E1432" i="3"/>
  <c r="E969" i="3"/>
  <c r="E1218" i="3"/>
  <c r="J1266" i="3"/>
  <c r="E1287" i="3"/>
  <c r="J1382" i="3"/>
  <c r="E1041" i="3"/>
  <c r="K5242" i="3"/>
  <c r="K5245" i="3" s="1"/>
  <c r="K566" i="3"/>
  <c r="K569" i="3" s="1"/>
  <c r="J1157" i="3"/>
  <c r="E1228" i="3"/>
  <c r="J1236" i="3"/>
  <c r="E1373" i="3"/>
  <c r="E1388" i="3"/>
  <c r="K2791" i="3"/>
  <c r="K2794" i="3" s="1"/>
  <c r="K2837" i="3"/>
  <c r="K2838" i="3" s="1"/>
  <c r="K2841" i="3" s="1"/>
  <c r="K3460" i="3"/>
  <c r="K3463" i="3" s="1"/>
  <c r="K3556" i="3"/>
  <c r="K3559" i="3" s="1"/>
  <c r="K3689" i="3"/>
  <c r="K3692" i="3" s="1"/>
  <c r="K3743" i="3"/>
  <c r="K3746" i="3" s="1"/>
  <c r="K3776" i="3"/>
  <c r="K3779" i="3" s="1"/>
  <c r="K3835" i="3"/>
  <c r="K3838" i="3" s="1"/>
  <c r="K3898" i="3"/>
  <c r="K3899" i="3" s="1"/>
  <c r="K4323" i="3"/>
  <c r="K4326" i="3" s="1"/>
  <c r="K4327" i="3" s="1"/>
  <c r="K4328" i="3" s="1"/>
  <c r="K5264" i="3"/>
  <c r="K5269" i="3"/>
  <c r="J1158" i="3"/>
  <c r="K4119" i="3"/>
  <c r="K2203" i="3"/>
  <c r="K2206" i="3" s="1"/>
  <c r="K2248" i="3"/>
  <c r="K2251" i="3" s="1"/>
  <c r="K2372" i="3"/>
  <c r="K4382" i="3"/>
  <c r="K4386" i="3" s="1"/>
  <c r="K4389" i="3" s="1"/>
  <c r="K4516" i="3"/>
  <c r="K5262" i="3"/>
  <c r="J1344" i="3"/>
  <c r="K1344" i="3" s="1"/>
  <c r="E1454" i="3"/>
  <c r="E1416" i="3"/>
  <c r="E1124" i="3"/>
  <c r="K1124" i="3" s="1"/>
  <c r="E1073" i="3"/>
  <c r="E1233" i="3"/>
  <c r="K5263" i="3"/>
  <c r="J1502" i="3"/>
  <c r="K4788" i="3"/>
  <c r="K4791" i="3" s="1"/>
  <c r="K4792" i="3" s="1"/>
  <c r="K4793" i="3" s="1"/>
  <c r="E1045" i="3"/>
  <c r="E1212" i="3"/>
  <c r="E1179" i="3"/>
  <c r="E1259" i="3"/>
  <c r="J1212" i="3"/>
  <c r="J1142" i="3"/>
  <c r="J1321" i="3"/>
  <c r="J1126" i="3"/>
  <c r="E1257" i="3"/>
  <c r="E1506" i="3"/>
  <c r="E1424" i="3"/>
  <c r="E1402" i="3"/>
  <c r="E1304" i="3"/>
  <c r="E1171" i="3"/>
  <c r="E1300" i="3"/>
  <c r="E1252" i="3"/>
  <c r="E1449" i="3"/>
  <c r="E1207" i="3"/>
  <c r="K1033" i="3"/>
  <c r="E1049" i="3"/>
  <c r="K1049" i="3" s="1"/>
  <c r="J1185" i="3"/>
  <c r="J1342" i="3"/>
  <c r="J1359" i="3"/>
  <c r="E1413" i="3"/>
  <c r="J1423" i="3"/>
  <c r="K1423" i="3" s="1"/>
  <c r="K1626" i="3"/>
  <c r="K1629" i="3" s="1"/>
  <c r="K1759" i="3"/>
  <c r="K1762" i="3" s="1"/>
  <c r="E1126" i="3"/>
  <c r="K2859" i="3"/>
  <c r="K2862" i="3" s="1"/>
  <c r="K387" i="3"/>
  <c r="J1432" i="3"/>
  <c r="J1526" i="3"/>
  <c r="J1402" i="3"/>
  <c r="J1373" i="3"/>
  <c r="J1333" i="3"/>
  <c r="J1525" i="3"/>
  <c r="K1525" i="3" s="1"/>
  <c r="J1251" i="3"/>
  <c r="K994" i="3"/>
  <c r="J1437" i="3"/>
  <c r="J1260" i="3"/>
  <c r="J1360" i="3"/>
  <c r="E1007" i="3"/>
  <c r="K1007" i="3" s="1"/>
  <c r="E1143" i="3"/>
  <c r="E1158" i="3"/>
  <c r="J1206" i="3"/>
  <c r="E1235" i="3"/>
  <c r="J1299" i="3"/>
  <c r="I1650" i="3"/>
  <c r="K1650" i="3" s="1"/>
  <c r="I1693" i="3"/>
  <c r="K1693" i="3" s="1"/>
  <c r="K2064" i="3"/>
  <c r="K2067" i="3" s="1"/>
  <c r="J1366" i="3"/>
  <c r="K1366" i="3" s="1"/>
  <c r="J1244" i="3"/>
  <c r="K1244" i="3" s="1"/>
  <c r="K3183" i="3"/>
  <c r="K3186" i="3" s="1"/>
  <c r="K3330" i="3"/>
  <c r="K3333" i="3" s="1"/>
  <c r="E1387" i="3"/>
  <c r="E1456" i="3"/>
  <c r="K772" i="3"/>
  <c r="K773" i="3" s="1"/>
  <c r="E1458" i="3"/>
  <c r="E996" i="3"/>
  <c r="E972" i="3"/>
  <c r="E1357" i="3"/>
  <c r="K2952" i="3"/>
  <c r="K2955" i="3" s="1"/>
  <c r="K1884" i="3"/>
  <c r="K1887" i="3" s="1"/>
  <c r="K3525" i="3"/>
  <c r="K3528" i="3" s="1"/>
  <c r="K508" i="3"/>
  <c r="K511" i="3" s="1"/>
  <c r="J1387" i="3"/>
  <c r="K2052" i="3"/>
  <c r="K2055" i="3" s="1"/>
  <c r="K2143" i="3"/>
  <c r="K2146" i="3" s="1"/>
  <c r="K2226" i="3"/>
  <c r="K2229" i="3" s="1"/>
  <c r="K2649" i="3"/>
  <c r="K2650" i="3" s="1"/>
  <c r="K3931" i="3"/>
  <c r="K3934" i="3" s="1"/>
  <c r="K4075" i="3"/>
  <c r="K4076" i="3" s="1"/>
  <c r="K2466" i="3"/>
  <c r="K2469" i="3" s="1"/>
  <c r="K675" i="3"/>
  <c r="K678" i="3" s="1"/>
  <c r="K984" i="3"/>
  <c r="K1869" i="3"/>
  <c r="K1872" i="3" s="1"/>
  <c r="K2076" i="3"/>
  <c r="K2079" i="3" s="1"/>
  <c r="K2891" i="3"/>
  <c r="K2894" i="3" s="1"/>
  <c r="K2895" i="3" s="1"/>
  <c r="K5013" i="3"/>
  <c r="K5014" i="3" s="1"/>
  <c r="K5015" i="3" s="1"/>
  <c r="K5018" i="3" s="1"/>
  <c r="I2725" i="3"/>
  <c r="K2725" i="3" s="1"/>
  <c r="K2912" i="3"/>
  <c r="K2915" i="3" s="1"/>
  <c r="K3077" i="3"/>
  <c r="K3080" i="3" s="1"/>
  <c r="K3172" i="3"/>
  <c r="K3175" i="3" s="1"/>
  <c r="K3307" i="3"/>
  <c r="K3310" i="3" s="1"/>
  <c r="K3650" i="3"/>
  <c r="K3653" i="3" s="1"/>
  <c r="K3654" i="3" s="1"/>
  <c r="K3655" i="3" s="1"/>
  <c r="K3702" i="3"/>
  <c r="K3704" i="3" s="1"/>
  <c r="K3707" i="3" s="1"/>
  <c r="K3708" i="3" s="1"/>
  <c r="K3709" i="3" s="1"/>
  <c r="K3754" i="3"/>
  <c r="K3757" i="3" s="1"/>
  <c r="K4406" i="3"/>
  <c r="K4409" i="3" s="1"/>
  <c r="K2425" i="3"/>
  <c r="K2699" i="3"/>
  <c r="K2702" i="3" s="1"/>
  <c r="K2902" i="3"/>
  <c r="K2905" i="3" s="1"/>
  <c r="K3144" i="3"/>
  <c r="K3146" i="3" s="1"/>
  <c r="K3149" i="3" s="1"/>
  <c r="K3969" i="3"/>
  <c r="K3972" i="3" s="1"/>
  <c r="K4800" i="3"/>
  <c r="K4803" i="3" s="1"/>
  <c r="K5220" i="3"/>
  <c r="K5223" i="3" s="1"/>
  <c r="K4017" i="3"/>
  <c r="K4018" i="3" s="1"/>
  <c r="K4217" i="3"/>
  <c r="K4220" i="3" s="1"/>
  <c r="K4621" i="3"/>
  <c r="K4624" i="3" s="1"/>
  <c r="K4922" i="3"/>
  <c r="K4924" i="3" s="1"/>
  <c r="K4927" i="3" s="1"/>
  <c r="K5230" i="3"/>
  <c r="K5233" i="3" s="1"/>
  <c r="K5234" i="3" s="1"/>
  <c r="K5235" i="3" s="1"/>
  <c r="K5073" i="3"/>
  <c r="K5076" i="3" s="1"/>
  <c r="K2341" i="3"/>
  <c r="K2656" i="3"/>
  <c r="K2657" i="3" s="1"/>
  <c r="K3224" i="3"/>
  <c r="K3227" i="3" s="1"/>
  <c r="K3344" i="3"/>
  <c r="K3345" i="3" s="1"/>
  <c r="K3346" i="3" s="1"/>
  <c r="K3045" i="3"/>
  <c r="K3449" i="3"/>
  <c r="K3452" i="3" s="1"/>
  <c r="K3477" i="3"/>
  <c r="K3480" i="3" s="1"/>
  <c r="K3600" i="3"/>
  <c r="K3603" i="3" s="1"/>
  <c r="K3907" i="3"/>
  <c r="K3908" i="3" s="1"/>
  <c r="K4336" i="3"/>
  <c r="K4339" i="3" s="1"/>
  <c r="K5040" i="3"/>
  <c r="K5041" i="3" s="1"/>
  <c r="K5044" i="3" s="1"/>
  <c r="K5111" i="3"/>
  <c r="K5114" i="3" s="1"/>
  <c r="K534" i="3"/>
  <c r="K537" i="3" s="1"/>
  <c r="K688" i="3"/>
  <c r="K691" i="3" s="1"/>
  <c r="K1011" i="3"/>
  <c r="J1242" i="3"/>
  <c r="K1242" i="3" s="1"/>
  <c r="E1435" i="3"/>
  <c r="E1374" i="3"/>
  <c r="E1316" i="3"/>
  <c r="E1264" i="3"/>
  <c r="E1122" i="3"/>
  <c r="E1403" i="3"/>
  <c r="E1385" i="3"/>
  <c r="E1354" i="3"/>
  <c r="K1354" i="3" s="1"/>
  <c r="E1217" i="3"/>
  <c r="E1071" i="3"/>
  <c r="E1535" i="3"/>
  <c r="E1404" i="3"/>
  <c r="E1240" i="3"/>
  <c r="E1156" i="3"/>
  <c r="E1451" i="3"/>
  <c r="E1254" i="3"/>
  <c r="E1174" i="3"/>
  <c r="E1162" i="3"/>
  <c r="E1138" i="3"/>
  <c r="E1469" i="3"/>
  <c r="E1230" i="3"/>
  <c r="E1147" i="3"/>
  <c r="E1184" i="3"/>
  <c r="E1415" i="3"/>
  <c r="E1396" i="3"/>
  <c r="J1317" i="3"/>
  <c r="K1317" i="3" s="1"/>
  <c r="J1123" i="3"/>
  <c r="K1123" i="3" s="1"/>
  <c r="J1453" i="3"/>
  <c r="K1453" i="3" s="1"/>
  <c r="J1386" i="3"/>
  <c r="K1386" i="3" s="1"/>
  <c r="J1355" i="3"/>
  <c r="K1355" i="3" s="1"/>
  <c r="J1209" i="3"/>
  <c r="K1209" i="3" s="1"/>
  <c r="J1176" i="3"/>
  <c r="K1176" i="3" s="1"/>
  <c r="J1256" i="3"/>
  <c r="K1256" i="3" s="1"/>
  <c r="J1232" i="3"/>
  <c r="K1232" i="3" s="1"/>
  <c r="J1356" i="3"/>
  <c r="K1356" i="3" s="1"/>
  <c r="K1072" i="3"/>
  <c r="J1318" i="3"/>
  <c r="K1318" i="3" s="1"/>
  <c r="J1130" i="3"/>
  <c r="K1130" i="3" s="1"/>
  <c r="J1452" i="3"/>
  <c r="K1452" i="3" s="1"/>
  <c r="J1175" i="3"/>
  <c r="K1175" i="3" s="1"/>
  <c r="K1042" i="3"/>
  <c r="J1139" i="3"/>
  <c r="K1139" i="3" s="1"/>
  <c r="J1255" i="3"/>
  <c r="K1255" i="3" s="1"/>
  <c r="J1231" i="3"/>
  <c r="K1231" i="3" s="1"/>
  <c r="J1237" i="3"/>
  <c r="J1181" i="3"/>
  <c r="J1336" i="3"/>
  <c r="J1302" i="3"/>
  <c r="J1289" i="3"/>
  <c r="E971" i="3"/>
  <c r="E1536" i="3"/>
  <c r="K1536" i="3" s="1"/>
  <c r="E1412" i="3"/>
  <c r="E1333" i="3"/>
  <c r="E1327" i="3"/>
  <c r="E1286" i="3"/>
  <c r="E1266" i="3"/>
  <c r="E1227" i="3"/>
  <c r="E1526" i="3"/>
  <c r="E1395" i="3"/>
  <c r="E1299" i="3"/>
  <c r="E1251" i="3"/>
  <c r="E1185" i="3"/>
  <c r="E1070" i="3"/>
  <c r="E1210" i="3"/>
  <c r="E1319" i="3"/>
  <c r="E1157" i="3"/>
  <c r="E1140" i="3"/>
  <c r="E995" i="3"/>
  <c r="E1457" i="3"/>
  <c r="E1260" i="3"/>
  <c r="E1437" i="3"/>
  <c r="E1127" i="3"/>
  <c r="E998" i="3"/>
  <c r="E1321" i="3"/>
  <c r="E1142" i="3"/>
  <c r="E1359" i="3"/>
  <c r="E1075" i="3"/>
  <c r="E1031" i="3"/>
  <c r="E1044" i="3"/>
  <c r="E1056" i="3"/>
  <c r="E1060" i="3"/>
  <c r="J1127" i="3"/>
  <c r="J1173" i="3"/>
  <c r="E1177" i="3"/>
  <c r="E1180" i="3"/>
  <c r="K1180" i="3" s="1"/>
  <c r="E1182" i="3"/>
  <c r="E1206" i="3"/>
  <c r="E1215" i="3"/>
  <c r="E1236" i="3"/>
  <c r="E1238" i="3"/>
  <c r="J1240" i="3"/>
  <c r="J1253" i="3"/>
  <c r="J1264" i="3"/>
  <c r="J1290" i="3"/>
  <c r="J1300" i="3"/>
  <c r="E1320" i="3"/>
  <c r="J1353" i="3"/>
  <c r="E1382" i="3"/>
  <c r="E1384" i="3"/>
  <c r="J1412" i="3"/>
  <c r="E1417" i="3"/>
  <c r="J1458" i="3"/>
  <c r="J1498" i="3"/>
  <c r="K1498" i="3" s="1"/>
  <c r="J1535" i="3"/>
  <c r="K1899" i="3"/>
  <c r="K1902" i="3" s="1"/>
  <c r="E973" i="3"/>
  <c r="E983" i="3"/>
  <c r="J1496" i="3"/>
  <c r="K1496" i="3" s="1"/>
  <c r="J1463" i="3"/>
  <c r="K1463" i="3" s="1"/>
  <c r="J1448" i="3"/>
  <c r="J1304" i="3"/>
  <c r="J1506" i="3"/>
  <c r="E1433" i="3"/>
  <c r="E1314" i="3"/>
  <c r="E1500" i="3"/>
  <c r="E1383" i="3"/>
  <c r="E1352" i="3"/>
  <c r="J1357" i="3"/>
  <c r="J1177" i="3"/>
  <c r="J1457" i="3"/>
  <c r="J1417" i="3"/>
  <c r="J1388" i="3"/>
  <c r="J1213" i="3"/>
  <c r="K1213" i="3" s="1"/>
  <c r="J1235" i="3"/>
  <c r="J1179" i="3"/>
  <c r="E1006" i="3"/>
  <c r="E1009" i="3"/>
  <c r="K1012" i="3"/>
  <c r="E1019" i="3"/>
  <c r="E1046" i="3"/>
  <c r="E1048" i="3"/>
  <c r="E1058" i="3"/>
  <c r="E1074" i="3"/>
  <c r="E1076" i="3"/>
  <c r="E1078" i="3"/>
  <c r="K1080" i="3"/>
  <c r="J1125" i="3"/>
  <c r="J1141" i="3"/>
  <c r="J1144" i="3"/>
  <c r="J1159" i="3"/>
  <c r="J1171" i="3"/>
  <c r="K1198" i="3"/>
  <c r="J1210" i="3"/>
  <c r="J1227" i="3"/>
  <c r="J1233" i="3"/>
  <c r="J1257" i="3"/>
  <c r="J1259" i="3"/>
  <c r="J1288" i="3"/>
  <c r="J1303" i="3"/>
  <c r="J1313" i="3"/>
  <c r="J1322" i="3"/>
  <c r="J1327" i="3"/>
  <c r="E1334" i="3"/>
  <c r="E1337" i="3"/>
  <c r="E1342" i="3"/>
  <c r="J1351" i="3"/>
  <c r="E1358" i="3"/>
  <c r="E1360" i="3"/>
  <c r="E1362" i="3"/>
  <c r="J1374" i="3"/>
  <c r="E1389" i="3"/>
  <c r="J1394" i="3"/>
  <c r="K1394" i="3" s="1"/>
  <c r="J1419" i="3"/>
  <c r="J1424" i="3"/>
  <c r="E1448" i="3"/>
  <c r="J1454" i="3"/>
  <c r="J1456" i="3"/>
  <c r="K1980" i="3"/>
  <c r="K1983" i="3" s="1"/>
  <c r="K2115" i="3"/>
  <c r="K2118" i="3" s="1"/>
  <c r="K2119" i="3" s="1"/>
  <c r="K2120" i="3" s="1"/>
  <c r="J1433" i="3"/>
  <c r="J1172" i="3"/>
  <c r="J1413" i="3"/>
  <c r="J1334" i="3"/>
  <c r="J1287" i="3"/>
  <c r="J1228" i="3"/>
  <c r="E997" i="3"/>
  <c r="K997" i="3" s="1"/>
  <c r="E1021" i="3"/>
  <c r="E1023" i="3"/>
  <c r="E1128" i="3"/>
  <c r="K1128" i="3" s="1"/>
  <c r="E1178" i="3"/>
  <c r="J1184" i="3"/>
  <c r="J1208" i="3"/>
  <c r="J1238" i="3"/>
  <c r="J1262" i="3"/>
  <c r="J1301" i="3"/>
  <c r="J1316" i="3"/>
  <c r="K1340" i="3"/>
  <c r="J1384" i="3"/>
  <c r="J1396" i="3"/>
  <c r="J1435" i="3"/>
  <c r="E1438" i="3"/>
  <c r="J1459" i="3"/>
  <c r="K1923" i="3"/>
  <c r="K1926" i="3" s="1"/>
  <c r="K1461" i="3"/>
  <c r="K1025" i="3"/>
  <c r="E1145" i="3"/>
  <c r="J1182" i="3"/>
  <c r="E1211" i="3"/>
  <c r="K1265" i="3"/>
  <c r="E1289" i="3"/>
  <c r="J1314" i="3"/>
  <c r="J1320" i="3"/>
  <c r="E1335" i="3"/>
  <c r="J1337" i="3"/>
  <c r="J1362" i="3"/>
  <c r="J1389" i="3"/>
  <c r="J1403" i="3"/>
  <c r="E1418" i="3"/>
  <c r="J1500" i="3"/>
  <c r="E1262" i="3"/>
  <c r="E1459" i="3"/>
  <c r="E1439" i="3"/>
  <c r="E1419" i="3"/>
  <c r="E1129" i="3"/>
  <c r="E1008" i="3"/>
  <c r="E1032" i="3"/>
  <c r="J1122" i="3"/>
  <c r="J1178" i="3"/>
  <c r="E1181" i="3"/>
  <c r="E1214" i="3"/>
  <c r="J1234" i="3"/>
  <c r="E1302" i="3"/>
  <c r="J1323" i="3"/>
  <c r="J1352" i="3"/>
  <c r="J1358" i="3"/>
  <c r="E1414" i="3"/>
  <c r="E1434" i="3"/>
  <c r="J1438" i="3"/>
  <c r="K2182" i="3"/>
  <c r="K2185" i="3" s="1"/>
  <c r="J1469" i="3"/>
  <c r="J1415" i="3"/>
  <c r="J1230" i="3"/>
  <c r="J1217" i="3"/>
  <c r="J1138" i="3"/>
  <c r="J1404" i="3"/>
  <c r="J1254" i="3"/>
  <c r="J1147" i="3"/>
  <c r="J1324" i="3"/>
  <c r="J1215" i="3"/>
  <c r="J1390" i="3"/>
  <c r="J1145" i="3"/>
  <c r="E1234" i="3"/>
  <c r="E1258" i="3"/>
  <c r="K1258" i="3" s="1"/>
  <c r="E1047" i="3"/>
  <c r="J1162" i="3"/>
  <c r="J1174" i="3"/>
  <c r="E1229" i="3"/>
  <c r="E1237" i="3"/>
  <c r="E1261" i="3"/>
  <c r="E1290" i="3"/>
  <c r="E1315" i="3"/>
  <c r="J1335" i="3"/>
  <c r="E1390" i="3"/>
  <c r="E1497" i="3"/>
  <c r="E1450" i="3"/>
  <c r="K1450" i="3" s="1"/>
  <c r="E1301" i="3"/>
  <c r="E1253" i="3"/>
  <c r="E1208" i="3"/>
  <c r="E1361" i="3"/>
  <c r="E1323" i="3"/>
  <c r="E1144" i="3"/>
  <c r="E1159" i="3"/>
  <c r="E1077" i="3"/>
  <c r="E1059" i="3"/>
  <c r="J1455" i="3"/>
  <c r="K1455" i="3" s="1"/>
  <c r="J1211" i="3"/>
  <c r="E1010" i="3"/>
  <c r="E1020" i="3"/>
  <c r="E1022" i="3"/>
  <c r="E1125" i="3"/>
  <c r="E1141" i="3"/>
  <c r="J1160" i="3"/>
  <c r="E1173" i="3"/>
  <c r="J1214" i="3"/>
  <c r="J1252" i="3"/>
  <c r="E1324" i="3"/>
  <c r="K1338" i="3"/>
  <c r="E1353" i="3"/>
  <c r="J1383" i="3"/>
  <c r="J1385" i="3"/>
  <c r="J1414" i="3"/>
  <c r="J1418" i="3"/>
  <c r="J1434" i="3"/>
  <c r="J1439" i="3"/>
  <c r="J1451" i="3"/>
  <c r="J1129" i="3"/>
  <c r="J1156" i="3"/>
  <c r="K1163" i="3"/>
  <c r="J1207" i="3"/>
  <c r="J1229" i="3"/>
  <c r="J1261" i="3"/>
  <c r="E1288" i="3"/>
  <c r="E1303" i="3"/>
  <c r="J1315" i="3"/>
  <c r="E1336" i="3"/>
  <c r="K1341" i="3"/>
  <c r="J1361" i="3"/>
  <c r="J1449" i="3"/>
  <c r="K1471" i="3"/>
  <c r="J1501" i="3"/>
  <c r="K1501" i="3" s="1"/>
  <c r="K1528" i="3"/>
  <c r="K2496" i="3"/>
  <c r="K2499" i="3" s="1"/>
  <c r="K3354" i="3"/>
  <c r="K3357" i="3" s="1"/>
  <c r="K3389" i="3"/>
  <c r="K3392" i="3" s="1"/>
  <c r="K2168" i="3"/>
  <c r="K2171" i="3" s="1"/>
  <c r="K2404" i="3"/>
  <c r="K2407" i="3" s="1"/>
  <c r="K2664" i="3"/>
  <c r="K2665" i="3" s="1"/>
  <c r="K2668" i="3" s="1"/>
  <c r="K3265" i="3"/>
  <c r="K3268" i="3" s="1"/>
  <c r="K2261" i="3"/>
  <c r="K2264" i="3" s="1"/>
  <c r="I2321" i="3"/>
  <c r="K2321" i="3" s="1"/>
  <c r="K3113" i="3"/>
  <c r="K3116" i="3" s="1"/>
  <c r="K3787" i="3"/>
  <c r="K3790" i="3" s="1"/>
  <c r="K3914" i="3"/>
  <c r="K3917" i="3" s="1"/>
  <c r="K3918" i="3" s="1"/>
  <c r="K3919" i="3" s="1"/>
  <c r="K4542" i="3"/>
  <c r="K3819" i="3"/>
  <c r="K3822" i="3" s="1"/>
  <c r="K3434" i="3"/>
  <c r="K3437" i="3" s="1"/>
  <c r="K3626" i="3"/>
  <c r="K3629" i="3" s="1"/>
  <c r="K4436" i="3"/>
  <c r="K4967" i="3"/>
  <c r="K4970" i="3" s="1"/>
  <c r="K4971" i="3" s="1"/>
  <c r="K4972" i="3" s="1"/>
  <c r="K15" i="7"/>
  <c r="L15" i="7" s="1"/>
  <c r="M15" i="7" s="1"/>
  <c r="K33" i="7"/>
  <c r="L33" i="7" s="1"/>
  <c r="M33" i="7" s="1"/>
  <c r="K36" i="7"/>
  <c r="L36" i="7" s="1"/>
  <c r="M36" i="7" s="1"/>
  <c r="K4496" i="3"/>
  <c r="K4497" i="3" s="1"/>
  <c r="K4500" i="3" s="1"/>
  <c r="K4501" i="3" s="1"/>
  <c r="K4502" i="3" s="1"/>
  <c r="K4766" i="3"/>
  <c r="K4769" i="3" s="1"/>
  <c r="K5182" i="3"/>
  <c r="K5185" i="3" s="1"/>
  <c r="K13" i="7"/>
  <c r="L13" i="7" s="1"/>
  <c r="M13" i="7" s="1"/>
  <c r="K5" i="7"/>
  <c r="L5" i="7" s="1"/>
  <c r="M5" i="7" s="1"/>
  <c r="K42" i="7"/>
  <c r="L42" i="7" s="1"/>
  <c r="M42" i="7" s="1"/>
  <c r="K14" i="7"/>
  <c r="L14" i="7" s="1"/>
  <c r="M14" i="7" s="1"/>
  <c r="K32" i="7"/>
  <c r="L32" i="7" s="1"/>
  <c r="M32" i="7" s="1"/>
  <c r="E5082" i="3" l="1"/>
  <c r="E5090" i="3" s="1"/>
  <c r="E4571" i="3"/>
  <c r="K4571" i="3" s="1"/>
  <c r="K4572" i="3" s="1"/>
  <c r="E4991" i="3"/>
  <c r="E2527" i="3"/>
  <c r="K2527" i="3" s="1"/>
  <c r="K2528" i="3" s="1"/>
  <c r="K2529" i="3" s="1"/>
  <c r="K1719" i="3"/>
  <c r="K4893" i="3"/>
  <c r="K4894" i="3" s="1"/>
  <c r="K4652" i="3"/>
  <c r="K2102" i="3"/>
  <c r="K2105" i="3" s="1"/>
  <c r="K2106" i="3" s="1"/>
  <c r="K2107" i="3" s="1"/>
  <c r="K880" i="3"/>
  <c r="K2916" i="3"/>
  <c r="K4452" i="3"/>
  <c r="K4209" i="3"/>
  <c r="K4470" i="3"/>
  <c r="K2147" i="3"/>
  <c r="K2148" i="3" s="1"/>
  <c r="K4221" i="3"/>
  <c r="K4222" i="3" s="1"/>
  <c r="K5138" i="3"/>
  <c r="K5139" i="3" s="1"/>
  <c r="K4341" i="3"/>
  <c r="K4375" i="3"/>
  <c r="K5165" i="3"/>
  <c r="K5019" i="3"/>
  <c r="K5020" i="3" s="1"/>
  <c r="K2830" i="3"/>
  <c r="K4359" i="3"/>
  <c r="K4366" i="3"/>
  <c r="K4368" i="3" s="1"/>
  <c r="K4191" i="3"/>
  <c r="K4192" i="3" s="1"/>
  <c r="K4928" i="3"/>
  <c r="K4929" i="3" s="1"/>
  <c r="K5186" i="3"/>
  <c r="K3511" i="3"/>
  <c r="K3512" i="3" s="1"/>
  <c r="K3548" i="3"/>
  <c r="K3549" i="3" s="1"/>
  <c r="K5224" i="3"/>
  <c r="K3985" i="3"/>
  <c r="K3986" i="3" s="1"/>
  <c r="K3682" i="3"/>
  <c r="K3683" i="3" s="1"/>
  <c r="K2196" i="3"/>
  <c r="K4200" i="3"/>
  <c r="K4201" i="3" s="1"/>
  <c r="K4519" i="3"/>
  <c r="K4522" i="3" s="1"/>
  <c r="K4523" i="3" s="1"/>
  <c r="K4524" i="3" s="1"/>
  <c r="K4120" i="3"/>
  <c r="K4660" i="3"/>
  <c r="K4663" i="3" s="1"/>
  <c r="K4664" i="3" s="1"/>
  <c r="K3994" i="3"/>
  <c r="K3995" i="3" s="1"/>
  <c r="K1502" i="3"/>
  <c r="K4770" i="3"/>
  <c r="K4771" i="3" s="1"/>
  <c r="K4490" i="3"/>
  <c r="K4491" i="3" s="1"/>
  <c r="K3414" i="3"/>
  <c r="K3415" i="3" s="1"/>
  <c r="K5270" i="3"/>
  <c r="K5273" i="3" s="1"/>
  <c r="K5274" i="3" s="1"/>
  <c r="K5275" i="3" s="1"/>
  <c r="K3290" i="3"/>
  <c r="K3291" i="3" s="1"/>
  <c r="K1888" i="3"/>
  <c r="K1889" i="3" s="1"/>
  <c r="K2956" i="3"/>
  <c r="K3048" i="3"/>
  <c r="K3049" i="3" s="1"/>
  <c r="K737" i="3"/>
  <c r="K4509" i="3"/>
  <c r="K4510" i="3" s="1"/>
  <c r="K3117" i="3"/>
  <c r="K3118" i="3" s="1"/>
  <c r="K5246" i="3"/>
  <c r="K5247" i="3" s="1"/>
  <c r="K1903" i="3"/>
  <c r="K1904" i="3" s="1"/>
  <c r="K3758" i="3"/>
  <c r="K3759" i="3" s="1"/>
  <c r="K3839" i="3"/>
  <c r="K3840" i="3" s="1"/>
  <c r="K3311" i="3"/>
  <c r="K3312" i="3" s="1"/>
  <c r="K897" i="3"/>
  <c r="K898" i="3" s="1"/>
  <c r="K2703" i="3"/>
  <c r="K1763" i="3"/>
  <c r="K1764" i="3" s="1"/>
  <c r="K3747" i="3"/>
  <c r="K3748" i="3" s="1"/>
  <c r="K2005" i="3"/>
  <c r="K2006" i="3" s="1"/>
  <c r="K1382" i="3"/>
  <c r="K1286" i="3"/>
  <c r="K3935" i="3"/>
  <c r="K3936" i="3" s="1"/>
  <c r="K4390" i="3"/>
  <c r="K4391" i="3" s="1"/>
  <c r="K1260" i="3"/>
  <c r="K4673" i="3"/>
  <c r="K1157" i="3"/>
  <c r="K1160" i="3"/>
  <c r="K4228" i="3"/>
  <c r="K4229" i="3" s="1"/>
  <c r="K1388" i="3"/>
  <c r="K931" i="3"/>
  <c r="K1456" i="3"/>
  <c r="K1185" i="3"/>
  <c r="K4421" i="3"/>
  <c r="K4422" i="3" s="1"/>
  <c r="K3973" i="3"/>
  <c r="K3974" i="3" s="1"/>
  <c r="K2470" i="3"/>
  <c r="K2471" i="3" s="1"/>
  <c r="K2691" i="3"/>
  <c r="K2692" i="3" s="1"/>
  <c r="K3393" i="3"/>
  <c r="K3394" i="3" s="1"/>
  <c r="K4410" i="3"/>
  <c r="K4411" i="3" s="1"/>
  <c r="K4625" i="3"/>
  <c r="K4626" i="3" s="1"/>
  <c r="K2500" i="3"/>
  <c r="K2501" i="3" s="1"/>
  <c r="K3438" i="3"/>
  <c r="K3439" i="3" s="1"/>
  <c r="K3081" i="3"/>
  <c r="K5077" i="3"/>
  <c r="K5078" i="3" s="1"/>
  <c r="K2207" i="3"/>
  <c r="K2208" i="3" s="1"/>
  <c r="K2669" i="3"/>
  <c r="K2670" i="3" s="1"/>
  <c r="K1575" i="3"/>
  <c r="K1576" i="3" s="1"/>
  <c r="K1228" i="3"/>
  <c r="K1395" i="3"/>
  <c r="K881" i="3"/>
  <c r="K3851" i="3"/>
  <c r="K3852" i="3" s="1"/>
  <c r="K3502" i="3"/>
  <c r="K3503" i="3" s="1"/>
  <c r="K3464" i="3"/>
  <c r="K3465" i="3" s="1"/>
  <c r="K2091" i="3"/>
  <c r="K2092" i="3" s="1"/>
  <c r="K2408" i="3"/>
  <c r="K2409" i="3" s="1"/>
  <c r="K2842" i="3"/>
  <c r="K3769" i="3"/>
  <c r="K3770" i="3" s="1"/>
  <c r="K3880" i="3"/>
  <c r="K3881" i="3" s="1"/>
  <c r="K3604" i="3"/>
  <c r="K3605" i="3" s="1"/>
  <c r="K4804" i="3"/>
  <c r="K4805" i="3" s="1"/>
  <c r="K570" i="3"/>
  <c r="K4980" i="3"/>
  <c r="K4981" i="3" s="1"/>
  <c r="K2795" i="3"/>
  <c r="K4712" i="3"/>
  <c r="K1630" i="3"/>
  <c r="K3823" i="3"/>
  <c r="K3824" i="3" s="1"/>
  <c r="K2377" i="3"/>
  <c r="K2380" i="3" s="1"/>
  <c r="K2381" i="3" s="1"/>
  <c r="K2382" i="3" s="1"/>
  <c r="K2186" i="3"/>
  <c r="K2187" i="3" s="1"/>
  <c r="K2351" i="3"/>
  <c r="K2354" i="3" s="1"/>
  <c r="K2355" i="3" s="1"/>
  <c r="K2356" i="3" s="1"/>
  <c r="K3630" i="3"/>
  <c r="K3631" i="3" s="1"/>
  <c r="K3802" i="3"/>
  <c r="K3803" i="3" s="1"/>
  <c r="K1984" i="3"/>
  <c r="K1985" i="3" s="1"/>
  <c r="K2818" i="3"/>
  <c r="K2884" i="3"/>
  <c r="K2885" i="3" s="1"/>
  <c r="K3322" i="3"/>
  <c r="K3323" i="3" s="1"/>
  <c r="K1405" i="3"/>
  <c r="K1131" i="3"/>
  <c r="K1537" i="3"/>
  <c r="K1375" i="3"/>
  <c r="K1219" i="3"/>
  <c r="K1305" i="3"/>
  <c r="K1050" i="3"/>
  <c r="K1186" i="3"/>
  <c r="K975" i="3"/>
  <c r="K1148" i="3"/>
  <c r="K1097" i="3"/>
  <c r="K1364" i="3"/>
  <c r="K1393" i="3"/>
  <c r="K1339" i="3"/>
  <c r="K1503" i="3"/>
  <c r="K1000" i="3"/>
  <c r="K1441" i="3"/>
  <c r="K1089" i="3"/>
  <c r="K976" i="3"/>
  <c r="K4718" i="3"/>
  <c r="K2284" i="3"/>
  <c r="K395" i="3"/>
  <c r="K396" i="3" s="1"/>
  <c r="K397" i="3" s="1"/>
  <c r="K4247" i="3"/>
  <c r="K4248" i="3" s="1"/>
  <c r="K3269" i="3"/>
  <c r="K3270" i="3" s="1"/>
  <c r="K1357" i="3"/>
  <c r="K1216" i="3"/>
  <c r="K3017" i="3"/>
  <c r="K4702" i="3"/>
  <c r="K3529" i="3"/>
  <c r="K3530" i="3" s="1"/>
  <c r="K502" i="3"/>
  <c r="K2982" i="3"/>
  <c r="K4864" i="3"/>
  <c r="K4865" i="3" s="1"/>
  <c r="K1460" i="3"/>
  <c r="K1161" i="3"/>
  <c r="K3453" i="3"/>
  <c r="K3454" i="3" s="1"/>
  <c r="K2080" i="3"/>
  <c r="K2081" i="3" s="1"/>
  <c r="K3334" i="3"/>
  <c r="K3335" i="3" s="1"/>
  <c r="K2172" i="3"/>
  <c r="K2173" i="3" s="1"/>
  <c r="K2023" i="3"/>
  <c r="K2024" i="3" s="1"/>
  <c r="K920" i="3"/>
  <c r="K512" i="3"/>
  <c r="K3780" i="3"/>
  <c r="K3781" i="3" s="1"/>
  <c r="K3425" i="3"/>
  <c r="K3426" i="3" s="1"/>
  <c r="K5115" i="3"/>
  <c r="K5116" i="3" s="1"/>
  <c r="K1263" i="3"/>
  <c r="K4729" i="3"/>
  <c r="K699" i="3"/>
  <c r="K4313" i="3"/>
  <c r="K4314" i="3" s="1"/>
  <c r="K1683" i="3"/>
  <c r="K1684" i="3" s="1"/>
  <c r="K1239" i="3"/>
  <c r="K2906" i="3"/>
  <c r="K1325" i="3"/>
  <c r="K615" i="3"/>
  <c r="K4598" i="3"/>
  <c r="K4599" i="3" s="1"/>
  <c r="K1440" i="3"/>
  <c r="K1183" i="3"/>
  <c r="K3176" i="3"/>
  <c r="K3177" i="3" s="1"/>
  <c r="K1420" i="3"/>
  <c r="K3693" i="3"/>
  <c r="K3694" i="3" s="1"/>
  <c r="K3248" i="3"/>
  <c r="K476" i="3"/>
  <c r="K477" i="3" s="1"/>
  <c r="K1391" i="3"/>
  <c r="K1146" i="3"/>
  <c r="K1699" i="3"/>
  <c r="K1702" i="3" s="1"/>
  <c r="K1703" i="3" s="1"/>
  <c r="K1704" i="3" s="1"/>
  <c r="K1656" i="3"/>
  <c r="K1659" i="3" s="1"/>
  <c r="K1660" i="3" s="1"/>
  <c r="K1661" i="3" s="1"/>
  <c r="K1236" i="3"/>
  <c r="K993" i="3"/>
  <c r="K1432" i="3"/>
  <c r="K1171" i="3"/>
  <c r="K1019" i="3"/>
  <c r="K969" i="3"/>
  <c r="K1149" i="3"/>
  <c r="K3791" i="3"/>
  <c r="K3792" i="3" s="1"/>
  <c r="K1292" i="3"/>
  <c r="K1061" i="3"/>
  <c r="K1470" i="3"/>
  <c r="K1306" i="3"/>
  <c r="K1088" i="3"/>
  <c r="K1241" i="3"/>
  <c r="K987" i="3"/>
  <c r="K1413" i="3"/>
  <c r="K1322" i="3"/>
  <c r="K999" i="3"/>
  <c r="K692" i="3"/>
  <c r="K1013" i="3"/>
  <c r="K3239" i="3"/>
  <c r="K3240" i="3" s="1"/>
  <c r="K1343" i="3"/>
  <c r="K1392" i="3"/>
  <c r="K1081" i="3"/>
  <c r="K1421" i="3"/>
  <c r="K3150" i="3"/>
  <c r="K3151" i="3" s="1"/>
  <c r="K2230" i="3"/>
  <c r="K3187" i="3"/>
  <c r="K3188" i="3" s="1"/>
  <c r="K1034" i="3"/>
  <c r="K3945" i="3"/>
  <c r="K3948" i="3" s="1"/>
  <c r="K3949" i="3" s="1"/>
  <c r="K3950" i="3" s="1"/>
  <c r="K2329" i="3"/>
  <c r="K2332" i="3" s="1"/>
  <c r="K2333" i="3" s="1"/>
  <c r="K2334" i="3" s="1"/>
  <c r="K1480" i="3"/>
  <c r="K1873" i="3"/>
  <c r="K1874" i="3" s="1"/>
  <c r="K2134" i="3"/>
  <c r="K2135" i="3" s="1"/>
  <c r="K1326" i="3"/>
  <c r="K1365" i="3"/>
  <c r="K3481" i="3"/>
  <c r="K3482" i="3" s="1"/>
  <c r="K2299" i="3"/>
  <c r="K2302" i="3" s="1"/>
  <c r="K2303" i="3" s="1"/>
  <c r="K2304" i="3" s="1"/>
  <c r="K1538" i="3"/>
  <c r="K1927" i="3"/>
  <c r="K1928" i="3" s="1"/>
  <c r="K1267" i="3"/>
  <c r="K1243" i="3"/>
  <c r="K1098" i="3"/>
  <c r="K1199" i="3"/>
  <c r="K1200" i="3" s="1"/>
  <c r="K1201" i="3" s="1"/>
  <c r="K1291" i="3"/>
  <c r="K1529" i="3"/>
  <c r="K1164" i="3"/>
  <c r="K1422" i="3"/>
  <c r="K5045" i="3"/>
  <c r="K5046" i="3" s="1"/>
  <c r="K3228" i="3"/>
  <c r="K3229" i="3" s="1"/>
  <c r="K2068" i="3"/>
  <c r="K2069" i="3" s="1"/>
  <c r="K1220" i="3"/>
  <c r="K1507" i="3"/>
  <c r="K3358" i="3"/>
  <c r="K3359" i="3" s="1"/>
  <c r="K1288" i="3"/>
  <c r="K986" i="3"/>
  <c r="K1187" i="3"/>
  <c r="K1527" i="3"/>
  <c r="K1462" i="3"/>
  <c r="K1062" i="3"/>
  <c r="K1096" i="3"/>
  <c r="K1024" i="3"/>
  <c r="K2730" i="3"/>
  <c r="K2733" i="3" s="1"/>
  <c r="K2734" i="3" s="1"/>
  <c r="K3560" i="3"/>
  <c r="K3561" i="3" s="1"/>
  <c r="K4688" i="3"/>
  <c r="K4689" i="3" s="1"/>
  <c r="K4643" i="3"/>
  <c r="K4644" i="3" s="1"/>
  <c r="K2775" i="3"/>
  <c r="K1125" i="3"/>
  <c r="K1059" i="3"/>
  <c r="J1719" i="3"/>
  <c r="K1722" i="3" s="1"/>
  <c r="K1723" i="3" s="1"/>
  <c r="K1022" i="3"/>
  <c r="K1075" i="3"/>
  <c r="K1251" i="3"/>
  <c r="K1046" i="3"/>
  <c r="K1497" i="3"/>
  <c r="K1499" i="3" s="1"/>
  <c r="K972" i="3"/>
  <c r="K1342" i="3"/>
  <c r="K1458" i="3"/>
  <c r="K995" i="3"/>
  <c r="K1252" i="3"/>
  <c r="K1021" i="3"/>
  <c r="K1032" i="3"/>
  <c r="K1259" i="3"/>
  <c r="K1506" i="3"/>
  <c r="K1550" i="3"/>
  <c r="K1553" i="3" s="1"/>
  <c r="K1554" i="3" s="1"/>
  <c r="K538" i="3"/>
  <c r="K539" i="3" s="1"/>
  <c r="K1207" i="3"/>
  <c r="K1008" i="3"/>
  <c r="K971" i="3"/>
  <c r="K1020" i="3"/>
  <c r="K1289" i="3"/>
  <c r="K1319" i="3"/>
  <c r="K2436" i="3"/>
  <c r="K2439" i="3" s="1"/>
  <c r="K2440" i="3" s="1"/>
  <c r="K2441" i="3" s="1"/>
  <c r="K1041" i="3"/>
  <c r="K1847" i="3"/>
  <c r="K1848" i="3" s="1"/>
  <c r="K1218" i="3"/>
  <c r="K1235" i="3"/>
  <c r="K1373" i="3"/>
  <c r="K983" i="3"/>
  <c r="K1056" i="3"/>
  <c r="K1300" i="3"/>
  <c r="K1359" i="3"/>
  <c r="K1299" i="3"/>
  <c r="K1416" i="3"/>
  <c r="K1043" i="3"/>
  <c r="K1336" i="3"/>
  <c r="K1302" i="3"/>
  <c r="K1257" i="3"/>
  <c r="K4146" i="3"/>
  <c r="K4147" i="3" s="1"/>
  <c r="K1290" i="3"/>
  <c r="K1058" i="3"/>
  <c r="K1179" i="3"/>
  <c r="K1449" i="3"/>
  <c r="K1303" i="3"/>
  <c r="K2252" i="3"/>
  <c r="K2253" i="3" s="1"/>
  <c r="K679" i="3"/>
  <c r="K2265" i="3"/>
  <c r="K2266" i="3" s="1"/>
  <c r="K2863" i="3"/>
  <c r="K2056" i="3"/>
  <c r="K2057" i="3" s="1"/>
  <c r="K1077" i="3"/>
  <c r="K1437" i="3"/>
  <c r="K2161" i="3"/>
  <c r="K2162" i="3" s="1"/>
  <c r="K1107" i="3"/>
  <c r="K1108" i="3" s="1"/>
  <c r="E2537" i="3"/>
  <c r="K2537" i="3" s="1"/>
  <c r="K2538" i="3" s="1"/>
  <c r="K1073" i="3"/>
  <c r="K1126" i="3"/>
  <c r="K1360" i="3"/>
  <c r="K1206" i="3"/>
  <c r="K1333" i="3"/>
  <c r="K1006" i="3"/>
  <c r="K1140" i="3"/>
  <c r="K1459" i="3"/>
  <c r="K1095" i="3"/>
  <c r="K1419" i="3"/>
  <c r="K1181" i="3"/>
  <c r="K1172" i="3"/>
  <c r="K1454" i="3"/>
  <c r="K1057" i="3"/>
  <c r="K1287" i="3"/>
  <c r="K1023" i="3"/>
  <c r="K1313" i="3"/>
  <c r="K1266" i="3"/>
  <c r="K1010" i="3"/>
  <c r="K1069" i="3"/>
  <c r="K1158" i="3"/>
  <c r="K1233" i="3"/>
  <c r="K1009" i="3"/>
  <c r="K1402" i="3"/>
  <c r="K1301" i="3"/>
  <c r="K1145" i="3"/>
  <c r="K1351" i="3"/>
  <c r="K996" i="3"/>
  <c r="K1143" i="3"/>
  <c r="K1045" i="3"/>
  <c r="K1142" i="3"/>
  <c r="K1144" i="3"/>
  <c r="K1237" i="3"/>
  <c r="K1321" i="3"/>
  <c r="K1526" i="3"/>
  <c r="K1353" i="3"/>
  <c r="K1262" i="3"/>
  <c r="K1448" i="3"/>
  <c r="K998" i="3"/>
  <c r="K1387" i="3"/>
  <c r="K1323" i="3"/>
  <c r="K4553" i="3"/>
  <c r="K4556" i="3" s="1"/>
  <c r="K4557" i="3" s="1"/>
  <c r="K4558" i="3" s="1"/>
  <c r="K1173" i="3"/>
  <c r="K1418" i="3"/>
  <c r="K1304" i="3"/>
  <c r="K1159" i="3"/>
  <c r="K1208" i="3"/>
  <c r="K1315" i="3"/>
  <c r="K1414" i="3"/>
  <c r="K1424" i="3"/>
  <c r="K1070" i="3"/>
  <c r="K1141" i="3"/>
  <c r="K1253" i="3"/>
  <c r="K1076" i="3"/>
  <c r="K1212" i="3"/>
  <c r="K1324" i="3"/>
  <c r="K1362" i="3"/>
  <c r="K1048" i="3"/>
  <c r="K1352" i="3"/>
  <c r="K1417" i="3"/>
  <c r="K1230" i="3"/>
  <c r="K1240" i="3"/>
  <c r="K1122" i="3"/>
  <c r="K1229" i="3"/>
  <c r="K1383" i="3"/>
  <c r="K1320" i="3"/>
  <c r="K1177" i="3"/>
  <c r="K1060" i="3"/>
  <c r="K1327" i="3"/>
  <c r="K1469" i="3"/>
  <c r="K1404" i="3"/>
  <c r="K1264" i="3"/>
  <c r="K4066" i="3"/>
  <c r="K4067" i="3" s="1"/>
  <c r="K4065" i="3"/>
  <c r="K1335" i="3"/>
  <c r="K1211" i="3"/>
  <c r="K1178" i="3"/>
  <c r="K1358" i="3"/>
  <c r="K1500" i="3"/>
  <c r="K985" i="3"/>
  <c r="K1238" i="3"/>
  <c r="K1457" i="3"/>
  <c r="K1138" i="3"/>
  <c r="K1535" i="3"/>
  <c r="K1316" i="3"/>
  <c r="K1434" i="3"/>
  <c r="K1078" i="3"/>
  <c r="K1314" i="3"/>
  <c r="K1044" i="3"/>
  <c r="K1412" i="3"/>
  <c r="K1162" i="3"/>
  <c r="K1071" i="3"/>
  <c r="K1374" i="3"/>
  <c r="K1433" i="3"/>
  <c r="K1384" i="3"/>
  <c r="K1215" i="3"/>
  <c r="K1031" i="3"/>
  <c r="K1396" i="3"/>
  <c r="K1174" i="3"/>
  <c r="K1217" i="3"/>
  <c r="K1435" i="3"/>
  <c r="K4437" i="3"/>
  <c r="K4439" i="3" s="1"/>
  <c r="K4442" i="3" s="1"/>
  <c r="K4443" i="3" s="1"/>
  <c r="K4444" i="3" s="1"/>
  <c r="K1214" i="3"/>
  <c r="K1129" i="3"/>
  <c r="K1337" i="3"/>
  <c r="K1074" i="3"/>
  <c r="K973" i="3"/>
  <c r="K1415" i="3"/>
  <c r="K1254" i="3"/>
  <c r="K1389" i="3"/>
  <c r="K1334" i="3"/>
  <c r="K1227" i="3"/>
  <c r="K1184" i="3"/>
  <c r="K1451" i="3"/>
  <c r="K1385" i="3"/>
  <c r="K1361" i="3"/>
  <c r="K1390" i="3"/>
  <c r="K1261" i="3"/>
  <c r="K1047" i="3"/>
  <c r="K1234" i="3"/>
  <c r="K1439" i="3"/>
  <c r="K1438" i="3"/>
  <c r="K1182" i="3"/>
  <c r="K1127" i="3"/>
  <c r="K1210" i="3"/>
  <c r="K1147" i="3"/>
  <c r="K1156" i="3"/>
  <c r="K1403" i="3"/>
  <c r="K2864" i="3" l="1"/>
  <c r="K5090" i="3"/>
  <c r="E5094" i="3"/>
  <c r="K5094" i="3" s="1"/>
  <c r="K5082" i="3"/>
  <c r="E5086" i="3"/>
  <c r="K5086" i="3" s="1"/>
  <c r="E4695" i="3"/>
  <c r="K4695" i="3" s="1"/>
  <c r="E4677" i="3"/>
  <c r="K4677" i="3" s="1"/>
  <c r="E3443" i="3"/>
  <c r="K3443" i="3" s="1"/>
  <c r="E3373" i="3"/>
  <c r="K3373" i="3" s="1"/>
  <c r="E2515" i="3"/>
  <c r="K2515" i="3" s="1"/>
  <c r="E2542" i="3"/>
  <c r="K2542" i="3" s="1"/>
  <c r="K4719" i="3"/>
  <c r="K4722" i="3" s="1"/>
  <c r="K4377" i="3"/>
  <c r="K1631" i="3"/>
  <c r="K1481" i="3"/>
  <c r="K1482" i="3" s="1"/>
  <c r="K4121" i="3"/>
  <c r="K4124" i="3" s="1"/>
  <c r="K4125" i="3" s="1"/>
  <c r="K4126" i="3" s="1"/>
  <c r="K700" i="3"/>
  <c r="K701" i="3" s="1"/>
  <c r="K1090" i="3"/>
  <c r="K1091" i="3" s="1"/>
  <c r="K1539" i="3"/>
  <c r="K1540" i="3" s="1"/>
  <c r="K988" i="3"/>
  <c r="K989" i="3" s="1"/>
  <c r="K1099" i="3"/>
  <c r="K1100" i="3" s="1"/>
  <c r="K1530" i="3"/>
  <c r="K1531" i="3" s="1"/>
  <c r="K1026" i="3"/>
  <c r="K1027" i="3" s="1"/>
  <c r="K1472" i="3"/>
  <c r="K1473" i="3" s="1"/>
  <c r="K977" i="3"/>
  <c r="K978" i="3" s="1"/>
  <c r="K979" i="3" s="1"/>
  <c r="K1014" i="3"/>
  <c r="K1015" i="3" s="1"/>
  <c r="K1293" i="3"/>
  <c r="K1294" i="3" s="1"/>
  <c r="K1376" i="3"/>
  <c r="K1377" i="3" s="1"/>
  <c r="K1035" i="3"/>
  <c r="K1036" i="3" s="1"/>
  <c r="K1063" i="3"/>
  <c r="K1064" i="3" s="1"/>
  <c r="K1001" i="3"/>
  <c r="K1002" i="3" s="1"/>
  <c r="K1307" i="3"/>
  <c r="K1308" i="3" s="1"/>
  <c r="K662" i="3"/>
  <c r="K1397" i="3"/>
  <c r="K1398" i="3" s="1"/>
  <c r="K1406" i="3"/>
  <c r="K1407" i="3" s="1"/>
  <c r="K1269" i="3"/>
  <c r="K1270" i="3" s="1"/>
  <c r="K1271" i="3" s="1"/>
  <c r="K1345" i="3"/>
  <c r="K1346" i="3" s="1"/>
  <c r="K1051" i="3"/>
  <c r="K1052" i="3" s="1"/>
  <c r="K1464" i="3"/>
  <c r="K1465" i="3" s="1"/>
  <c r="K1245" i="3"/>
  <c r="K1246" i="3" s="1"/>
  <c r="K1165" i="3"/>
  <c r="K1166" i="3" s="1"/>
  <c r="K1425" i="3"/>
  <c r="K1426" i="3" s="1"/>
  <c r="K1221" i="3"/>
  <c r="K1222" i="3" s="1"/>
  <c r="K1367" i="3"/>
  <c r="K1368" i="3" s="1"/>
  <c r="K1328" i="3"/>
  <c r="K1329" i="3" s="1"/>
  <c r="K1082" i="3"/>
  <c r="K1083" i="3" s="1"/>
  <c r="K1442" i="3"/>
  <c r="K1443" i="3" s="1"/>
  <c r="K1150" i="3"/>
  <c r="K1151" i="3" s="1"/>
  <c r="K1132" i="3"/>
  <c r="K1133" i="3" s="1"/>
  <c r="K1188" i="3"/>
  <c r="K1189" i="3" s="1"/>
  <c r="K1509" i="3"/>
  <c r="K1510" i="3" s="1"/>
  <c r="K1511" i="3" s="1"/>
  <c r="E1862" i="3" l="1"/>
  <c r="K1862" i="3" s="1"/>
  <c r="E1783" i="3"/>
  <c r="K1783" i="3" s="1"/>
  <c r="K1784" i="3" s="1"/>
  <c r="K706" i="3"/>
  <c r="K708" i="3"/>
  <c r="K707" i="3"/>
  <c r="K710" i="3" l="1"/>
  <c r="K713" i="3" s="1"/>
  <c r="K714" i="3" s="1"/>
  <c r="K4044" i="3" l="1"/>
  <c r="K404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sharedStrings.xml><?xml version="1.0" encoding="utf-8"?>
<sst xmlns="http://schemas.openxmlformats.org/spreadsheetml/2006/main" count="18976" uniqueCount="3489">
  <si>
    <t xml:space="preserve">FY2022 Plant Replacement Value (PRV) Unit Cost (PUC) Supporting Documentation  </t>
  </si>
  <si>
    <t>Notes:  PRV Unit Costs (PUC) are not size adjusted.  If available, reference size from source pricing guide is republished for end-user calculation.</t>
  </si>
  <si>
    <t xml:space="preserve">              PUC replaced the acronym RUC (Replacement Unit Cost) in FY2020.  Source is the revised UFC 3-701-01, 23 May 2018, with Change 5, 03 February 2020, Section 3-2.</t>
  </si>
  <si>
    <t xml:space="preserve">              PUCs are calculated or adjusted to 1 October 2021.</t>
  </si>
  <si>
    <t xml:space="preserve">              PUC inflation is calculated using UFC 3-701-01, 17 March 2022, Table 4-2.</t>
  </si>
  <si>
    <t xml:space="preserve">FAC </t>
  </si>
  <si>
    <t>Fixed-Wing Runway, Surfaced (Heavy)</t>
  </si>
  <si>
    <t>Design Size</t>
  </si>
  <si>
    <t xml:space="preserve">UM = </t>
  </si>
  <si>
    <t>SY</t>
  </si>
  <si>
    <t>Source</t>
  </si>
  <si>
    <t xml:space="preserve">PACES 1.4;
UFC 3-260-02, 30 June 2001 </t>
  </si>
  <si>
    <t>Assembly</t>
  </si>
  <si>
    <t>Description</t>
  </si>
  <si>
    <t>Quantity</t>
  </si>
  <si>
    <t>UM</t>
  </si>
  <si>
    <t>Material</t>
  </si>
  <si>
    <t>Labor</t>
  </si>
  <si>
    <t>Equipment</t>
  </si>
  <si>
    <t>Bare</t>
  </si>
  <si>
    <t>Total with O&amp;P</t>
  </si>
  <si>
    <t>G1030050510</t>
  </si>
  <si>
    <t>Dry Roll Gravel, Steel Roller</t>
  </si>
  <si>
    <t>G2010010101</t>
  </si>
  <si>
    <t>Cement Stabilized Base</t>
  </si>
  <si>
    <t>CY</t>
  </si>
  <si>
    <t>G2010010102</t>
  </si>
  <si>
    <t>Gravel, Delivered &amp; Dumped</t>
  </si>
  <si>
    <t>G2010030310</t>
  </si>
  <si>
    <t>Prime Coat</t>
  </si>
  <si>
    <t>G2060010102</t>
  </si>
  <si>
    <t>Jointed Concrete, Place &amp; Finish, 13" - 27"</t>
  </si>
  <si>
    <t>G2060020501</t>
  </si>
  <si>
    <t>Plastic Grooving (Transverse)</t>
  </si>
  <si>
    <t>G2060020801</t>
  </si>
  <si>
    <t>Field Mix Concrete</t>
  </si>
  <si>
    <t>G2060020803</t>
  </si>
  <si>
    <t>Haul Concrete To Paver</t>
  </si>
  <si>
    <t>G2060030701</t>
  </si>
  <si>
    <t>Construction Joint, 10"</t>
  </si>
  <si>
    <t>LF</t>
  </si>
  <si>
    <t>G2060030702</t>
  </si>
  <si>
    <t>Contraction Joint, 10"</t>
  </si>
  <si>
    <t>G2060030703</t>
  </si>
  <si>
    <t>Expansion Joint, 10"</t>
  </si>
  <si>
    <t>G2060052740</t>
  </si>
  <si>
    <t>Reflective White Paint</t>
  </si>
  <si>
    <t>G2060052741</t>
  </si>
  <si>
    <t>Reflective Yellow Paint</t>
  </si>
  <si>
    <t>G2060052742</t>
  </si>
  <si>
    <t>Non-Reflective Yellow Paint</t>
  </si>
  <si>
    <t>G2060052743</t>
  </si>
  <si>
    <t>Non-Reflective Black Paint</t>
  </si>
  <si>
    <t>Heavy Total</t>
  </si>
  <si>
    <t>Total</t>
  </si>
  <si>
    <t xml:space="preserve">Heavy PUC </t>
  </si>
  <si>
    <t>Fixed-Wing Runway, Surfaced (Medium)</t>
  </si>
  <si>
    <t>G2060010101</t>
  </si>
  <si>
    <t>Jointed Concrete, Place &amp; Finish, 4" - 12"</t>
  </si>
  <si>
    <t>Medium Total</t>
  </si>
  <si>
    <t>Medium PUC</t>
  </si>
  <si>
    <t>Fixed-Wing Runway, Surfaced (Light)</t>
  </si>
  <si>
    <t>Light Total</t>
  </si>
  <si>
    <t xml:space="preserve">2021 RPAD inventory segregated into airfield type according to UFC 3-260-02.  Final PUC is a weighted average of Light, Medium, and Heavy runways based on inventory.
PACES Input Parameters:
   Area Cost Factor (ACF) = 1.06 (Arlington, VA)
   Midpoint of Construction: 1 October 2021
   SIOH =  0 %
   Contingency = 0 %
   Planning and Design = 0 %
</t>
  </si>
  <si>
    <t>Light PUC</t>
  </si>
  <si>
    <t>RPAD % of Inventory</t>
  </si>
  <si>
    <t>Light</t>
  </si>
  <si>
    <t>Medium</t>
  </si>
  <si>
    <t>Heavy</t>
  </si>
  <si>
    <t>Heavy PUC</t>
  </si>
  <si>
    <t>Weighted PUC</t>
  </si>
  <si>
    <t>ACF Adjustment</t>
  </si>
  <si>
    <t>PUC</t>
  </si>
  <si>
    <t>Rotary-Wing Landing Area, Surfaced  (Concrete)</t>
  </si>
  <si>
    <t>RPAD Average Size</t>
  </si>
  <si>
    <t> </t>
  </si>
  <si>
    <t>EA</t>
  </si>
  <si>
    <t>Rotary-Wing Landing Area, Surfaced  (Asphalt)</t>
  </si>
  <si>
    <t>G2010030312</t>
  </si>
  <si>
    <t>Asphalt Wearing Course,1 Pass (Line Item Incl 5% Waste)</t>
  </si>
  <si>
    <t>TON</t>
  </si>
  <si>
    <t>2021 RPAD inventory segregated by construction material.  Final RUC is a weighted average based on inventory.
PACES Input Parameters:
Area Cost Factor (ACF) = 1.00
Midpoint of Construction: 1 October 2021
SIOH =  0 %
Contingency = 0 %
Planning and Design = 0 %</t>
  </si>
  <si>
    <t>Asphalt PUC</t>
  </si>
  <si>
    <t>2021 RPAD % of Inventory:
1,493 assets
(421 concrete/130 asphalt)</t>
  </si>
  <si>
    <t>Concrete PUC</t>
  </si>
  <si>
    <t>Concrete</t>
  </si>
  <si>
    <t>Weighted
Concrete PUC</t>
  </si>
  <si>
    <t>Asphalt</t>
  </si>
  <si>
    <t>Weighted
Asphalt PUC</t>
  </si>
  <si>
    <t>Runway Overrun Area, Surfaced</t>
  </si>
  <si>
    <t>Asphalt Wearing Course,1 Pass (Line Item Including 5% Waste)</t>
  </si>
  <si>
    <t>Jointed Concrete, Place &amp; Finish, 101.60mm - 304.80mm (4" - 12")</t>
  </si>
  <si>
    <t>Expansion Joint, 254.00mm (10")</t>
  </si>
  <si>
    <t>PACES Input Parameters:
Area Cost Factor (ACF) = 1.00
Midpoint of Construction: 1 October 2021
SIOH =  0 %
Contingency = 0 %
Planning and Design = 0 %</t>
  </si>
  <si>
    <t>Runway, Unsurfaced</t>
  </si>
  <si>
    <t>G1030010103</t>
  </si>
  <si>
    <t>Rough Grading, 0.0014 T (14G), 1 Pass</t>
  </si>
  <si>
    <t>G1030010108</t>
  </si>
  <si>
    <t>Fine Grading, 0.013 T (130G), 2 Passes</t>
  </si>
  <si>
    <t>G1030020202</t>
  </si>
  <si>
    <t>Ditch Excavation, Normal Soil, Haul off Spoil 1.61 km (1 Mile)</t>
  </si>
  <si>
    <t>G1030020203</t>
  </si>
  <si>
    <t>Roadway Soil Excavation, W/Scraper, Load &amp; Haul Spoil</t>
  </si>
  <si>
    <t>G1030050501</t>
  </si>
  <si>
    <t>Compact Subgrade, 2 Lifts</t>
  </si>
  <si>
    <t>G3030040403</t>
  </si>
  <si>
    <t>15.85mm (52') Complete, 609.60mm (24") CMP Culvert  W/Headwalls</t>
  </si>
  <si>
    <t>PACES Input Parameters:
Area Cost Factor (ACF) = 1.00 (Arlington, VA)
Midpoint of Construction: 1 October 2021
SIOH =  0 %
Contingency = 0 %
Planning and Design = 0 %</t>
  </si>
  <si>
    <t>Total System Cost</t>
  </si>
  <si>
    <t>Unmanned Aerial Vehicle (UAV) Runway and Launch/Recovery Site</t>
  </si>
  <si>
    <t xml:space="preserve">Set to FAC 1131; PACES 1.4;
UFC 3-260-02, 30 June 2001 </t>
  </si>
  <si>
    <t>Taxiway, Surfaced</t>
  </si>
  <si>
    <t>Jointed Concrete, Place &amp; Finish, 330.20mm - 685.80mm  (13" - 27")</t>
  </si>
  <si>
    <t>Construction Joint, 254.00mm (10")</t>
  </si>
  <si>
    <t>Rotary-Wing Taxiway</t>
  </si>
  <si>
    <t xml:space="preserve">Set to FAC 1121; PACES 1.4;
UFC 3-260-02, 30 June 2001 </t>
  </si>
  <si>
    <t>Unit Cost</t>
  </si>
  <si>
    <t>Units</t>
  </si>
  <si>
    <t>Conversion</t>
  </si>
  <si>
    <t>Area Adjustment</t>
  </si>
  <si>
    <t>Inflation Adjustment</t>
  </si>
  <si>
    <t xml:space="preserve">Taxiway, Surfaced	</t>
  </si>
  <si>
    <t>Aircraft Apron, Surfaced</t>
  </si>
  <si>
    <t>Compass Calibration Pad, Surfaced</t>
  </si>
  <si>
    <t xml:space="preserve">Set to FAC 1131: PACES 1.4
UFC 3-260-02, 30 June 2001 </t>
  </si>
  <si>
    <t>Missile Launching Pad, Surfaced</t>
  </si>
  <si>
    <t xml:space="preserve">PACES 1.4 </t>
  </si>
  <si>
    <t>Aircraft Washing Pad, Surfaced</t>
  </si>
  <si>
    <t xml:space="preserve">Miscellaneous Airfield Pavement, Surfaced </t>
  </si>
  <si>
    <t>Aircraft Pavement Shoulder</t>
  </si>
  <si>
    <t>Miscellaneous Airfield Pavement, Unsurfaced</t>
  </si>
  <si>
    <t>Set to FAC 1114; PACES 1.4</t>
  </si>
  <si>
    <t>Aircraft Rinse Facility</t>
  </si>
  <si>
    <t>Inflated from FY2020; PACES 1.4</t>
  </si>
  <si>
    <t>D2010050501</t>
  </si>
  <si>
    <t>Freeze Proof Multi-Nozzle Emergency Shower</t>
  </si>
  <si>
    <t>D2020030132</t>
  </si>
  <si>
    <t>Pump, 18.65 kW(25 HP), Turbine, 1514.2 - 2271.2  L/min(400-600 GPM), 152.4 mm(6") Dischg, 45.72 m(150</t>
  </si>
  <si>
    <t>D2090030308</t>
  </si>
  <si>
    <t>Oil/Water Separator</t>
  </si>
  <si>
    <t>D3060010178</t>
  </si>
  <si>
    <t>Chilled Water System &amp; Pump Controls</t>
  </si>
  <si>
    <t>D4020010107</t>
  </si>
  <si>
    <t>Diesel Driven Fire Pump - 9463.53 L/min (2500 GPM), Fire  Prot Water Sup</t>
  </si>
  <si>
    <t>Jointed Concrete, Place &amp; Finish, 101.60mm - 304.80mm  (4" - 12")</t>
  </si>
  <si>
    <t>Contraction Joint, 254.00mm (10")</t>
  </si>
  <si>
    <t>Aircraft Direct Fueling Facility</t>
  </si>
  <si>
    <t>OL</t>
  </si>
  <si>
    <t>Study Average  Size</t>
  </si>
  <si>
    <t>PACES 1.4;
DLA/DESC Fuels Facilities Study, March 2009</t>
  </si>
  <si>
    <t>D3060011111</t>
  </si>
  <si>
    <t>Controls, Gas Flow Meter</t>
  </si>
  <si>
    <t>G3060024018</t>
  </si>
  <si>
    <t>6" Stainless Steel Pipe, SCH 40, 304L, SW</t>
  </si>
  <si>
    <t>G3060024216</t>
  </si>
  <si>
    <t>Pipe Cathodic Protection</t>
  </si>
  <si>
    <t>G3060024301</t>
  </si>
  <si>
    <t>Isolation Valve</t>
  </si>
  <si>
    <t>G3060024401</t>
  </si>
  <si>
    <t>Below Ground Pipe Seismic Reinforcing</t>
  </si>
  <si>
    <t>G3060045001</t>
  </si>
  <si>
    <t>Demo Concrete Paving</t>
  </si>
  <si>
    <t>G3060045101</t>
  </si>
  <si>
    <t>Replace Concrete Paving</t>
  </si>
  <si>
    <t>G3060046101</t>
  </si>
  <si>
    <t>Fuel Hydrant, 4" Valve</t>
  </si>
  <si>
    <t>G3060054117</t>
  </si>
  <si>
    <t>Earthwork/Concrete, 6" Pipe</t>
  </si>
  <si>
    <t>G3094070519</t>
  </si>
  <si>
    <t>Utility vaults, meter pit, precast concrete, 6-FT x 6-FT, 15-FT deep, excludes excavation and backfill</t>
  </si>
  <si>
    <t>PACES Input Parameters:
Area Cost Factor (ACF) = 1.06 (Arlington, VA)
Midpoint of Construction: 1 October 2021
SIOH =  0 %
Contingency = 0 %
Planning and Design = 0 %</t>
  </si>
  <si>
    <t>Marine Fueling Facility</t>
  </si>
  <si>
    <t>PACES 1.4; 
DLA/DESC Fuels Facilities Study, March 2009</t>
  </si>
  <si>
    <t>$4,077.77</t>
  </si>
  <si>
    <t>$3,416.40</t>
  </si>
  <si>
    <t>$0.00</t>
  </si>
  <si>
    <t>$3,076.04</t>
  </si>
  <si>
    <t>$1,785.99</t>
  </si>
  <si>
    <t>$23.07</t>
  </si>
  <si>
    <t>$16.10</t>
  </si>
  <si>
    <t>$36.88</t>
  </si>
  <si>
    <t>$1,261.02</t>
  </si>
  <si>
    <t>$455.55</t>
  </si>
  <si>
    <t>$211.94</t>
  </si>
  <si>
    <t>$590.95</t>
  </si>
  <si>
    <t>$20,855.92</t>
  </si>
  <si>
    <t>$5,066.90</t>
  </si>
  <si>
    <t>G3060047202</t>
  </si>
  <si>
    <t>Dispenser/Piping, JP8, Wheeled Vhcle</t>
  </si>
  <si>
    <t>$73,857.24</t>
  </si>
  <si>
    <t>$10,866.01</t>
  </si>
  <si>
    <t>$1,338.60</t>
  </si>
  <si>
    <t>G3060047401</t>
  </si>
  <si>
    <t>Compressor W/Pre-Engineered Building, Wheeled Vehicle</t>
  </si>
  <si>
    <t>$37,524.50</t>
  </si>
  <si>
    <t>$5,597.66</t>
  </si>
  <si>
    <t>$233.52</t>
  </si>
  <si>
    <t>$450.63</t>
  </si>
  <si>
    <t>$62.84</t>
  </si>
  <si>
    <t>$29,955.18</t>
  </si>
  <si>
    <t>$7,786.63</t>
  </si>
  <si>
    <t>$1,467.03</t>
  </si>
  <si>
    <t>Vehicle Fueling Facility</t>
  </si>
  <si>
    <t>G3060047001</t>
  </si>
  <si>
    <t>Fnd, Wheeled Vhcle, 152M (6") Conc</t>
  </si>
  <si>
    <t>SF</t>
  </si>
  <si>
    <t>G3060047102</t>
  </si>
  <si>
    <t>Tank, 7571L (2000 gal), JP8, Wheeled Vhcle</t>
  </si>
  <si>
    <t>G3060047302</t>
  </si>
  <si>
    <t>Electrical, JP8, Wheeled Vhcle</t>
  </si>
  <si>
    <t>Compressor W/Pre Eng Bldg, Whled Vhcle</t>
  </si>
  <si>
    <t>G3060047602</t>
  </si>
  <si>
    <t>Prefab Steel Canopy, High Structure</t>
  </si>
  <si>
    <t>Aircraft Operating Fuel Storage</t>
  </si>
  <si>
    <t>GA</t>
  </si>
  <si>
    <t>G3060032001</t>
  </si>
  <si>
    <t>Earthwork, Vertical Abv Grd Tank</t>
  </si>
  <si>
    <t>G3060032101</t>
  </si>
  <si>
    <t>Concrete, Vertical Abv Grd Tank</t>
  </si>
  <si>
    <t>G3060032201</t>
  </si>
  <si>
    <t>Pipes And Fittings, Vertical Abv Grd Tank</t>
  </si>
  <si>
    <t>G3060032301</t>
  </si>
  <si>
    <t>Electrical, Vertical Abv Grd Tank</t>
  </si>
  <si>
    <t>G3060032401</t>
  </si>
  <si>
    <t>Controls, Vertical Abv Grd Tank</t>
  </si>
  <si>
    <t>G3060032503</t>
  </si>
  <si>
    <t>Tank, 1192400 L (10000 bbl), Vertical Abv Grd Tank</t>
  </si>
  <si>
    <t>G3060032701</t>
  </si>
  <si>
    <t>Concrete Covered Berm</t>
  </si>
  <si>
    <t>G3060032703</t>
  </si>
  <si>
    <t>Concrete Covered Basin</t>
  </si>
  <si>
    <t>G3060032902</t>
  </si>
  <si>
    <t>Tank Reinforcing</t>
  </si>
  <si>
    <t>Marine Operating Fuel Storage</t>
  </si>
  <si>
    <t>Inflated from FY2021; PACES 7.0.11; 
DLA/DESC Fuels Facilities Study, March 2009</t>
  </si>
  <si>
    <t>Vehicle Operating Fuel Storage</t>
  </si>
  <si>
    <t>Other Operating Fuel Storage</t>
  </si>
  <si>
    <t xml:space="preserve">Other Operating Fuel Storage	</t>
  </si>
  <si>
    <t>POL Pipeline</t>
  </si>
  <si>
    <t>G3060024011</t>
  </si>
  <si>
    <t>16" Carbon Steel Pipe, SCH 40 C&amp;B427W</t>
  </si>
  <si>
    <t>G3060024402</t>
  </si>
  <si>
    <t>Above Ground Pipe Seismic Reinforcing</t>
  </si>
  <si>
    <t>G3060054116</t>
  </si>
  <si>
    <t>Above Grnd Pipe Support, Stl And Reinforced Concrete</t>
  </si>
  <si>
    <t>G3060054123</t>
  </si>
  <si>
    <t>High Point Drain</t>
  </si>
  <si>
    <t>G3060054124</t>
  </si>
  <si>
    <t>Low Point Drain</t>
  </si>
  <si>
    <t>POL Piping</t>
  </si>
  <si>
    <t xml:space="preserve">Inflated from FY2021; PACES 7.0.11;
UFC 3-260-02, 30 June 2001 </t>
  </si>
  <si>
    <t>Liquid 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</si>
  <si>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</si>
  <si>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</si>
  <si>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</si>
  <si>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</si>
  <si>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</si>
  <si>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</si>
  <si>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</si>
  <si>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</si>
  <si>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</si>
  <si>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</si>
  <si>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</si>
  <si>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</si>
  <si>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</si>
  <si>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</si>
  <si>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POL Pump Station</t>
  </si>
  <si>
    <t>GM</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</si>
  <si>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</si>
  <si>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</si>
  <si>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</si>
  <si>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</si>
  <si>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</si>
  <si>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</si>
  <si>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</si>
  <si>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</si>
  <si>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</si>
  <si>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</si>
  <si>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</si>
  <si>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HHT Check Out</t>
  </si>
  <si>
    <t>Communications Building</t>
  </si>
  <si>
    <t>Table 2, UFC 3-701-1, 17 March 2022</t>
  </si>
  <si>
    <t>CATCODE</t>
  </si>
  <si>
    <t>Reference Size</t>
  </si>
  <si>
    <t>Inflation Adjustment by MILCON Index</t>
  </si>
  <si>
    <t>Adjusted Cost</t>
  </si>
  <si>
    <t>GUC</t>
  </si>
  <si>
    <t>Communications Facility</t>
  </si>
  <si>
    <t>NA;  GUCs are as of October 2021</t>
  </si>
  <si>
    <t>Satellite Communications Building</t>
  </si>
  <si>
    <t>USACE PAX Newsletter 3.2.2, 16 May 2016</t>
  </si>
  <si>
    <t>Inflation Adjustment  by MILCON Index</t>
  </si>
  <si>
    <t>Satellite Terminal Communications Facility</t>
  </si>
  <si>
    <t>Note 1 of the USACE PAX Newsletter 3.2.2, 25 May 2022:  "Insufficient recent cost data."</t>
  </si>
  <si>
    <t>Marshall and Swift Valuation, October 2021</t>
  </si>
  <si>
    <t>Section</t>
  </si>
  <si>
    <t>Current Cost Multiplier</t>
  </si>
  <si>
    <t>67/6</t>
  </si>
  <si>
    <t>Self Supporting Tower, 75 ft</t>
  </si>
  <si>
    <t>Triangular Guyed Tower, 24" Radio. VHF, UHF 66' high</t>
  </si>
  <si>
    <t>Average</t>
  </si>
  <si>
    <t>54/1</t>
  </si>
  <si>
    <t>Service Entrance, Single Phase, 120/240 V  60 Amp</t>
  </si>
  <si>
    <t>Normalizing for Location</t>
  </si>
  <si>
    <t>Marshall and Swift Local Multiplier for Arlington, VA</t>
  </si>
  <si>
    <t>Divided by 2022 DoD ACF for Arlington, VA</t>
  </si>
  <si>
    <t>PUC with Military Construction Premium</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</si>
  <si>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</si>
  <si>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</si>
  <si>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FAC 1321 aggregates eight (8) category codes for a variety of antennae across all Services and WHS.</t>
  </si>
  <si>
    <t>Building construction material</t>
  </si>
  <si>
    <t xml:space="preserve">No Unified Facilities Criteria (UFC) criteria exist for component material.  Marshall and Swift is used to calculate the unit cost and is based upon commercial and public utility/governmental antennas. </t>
  </si>
  <si>
    <t>Facility size</t>
  </si>
  <si>
    <t xml:space="preserve">2021 RPAD Average Height of FAC 1321 is 66 feet high.  </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</si>
  <si>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</si>
  <si>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</si>
  <si>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</si>
  <si>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</si>
  <si>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</si>
  <si>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</si>
  <si>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</si>
  <si>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 xml:space="preserve">No UFC criteria exist for component material.  The Marshall and Swift antenna valuation includes "concrete footings, erection, painting, guy wires, lighting, platforms, and designers’ fees."  </t>
  </si>
  <si>
    <t>Applicable Business Rules</t>
  </si>
  <si>
    <t xml:space="preserve">• M&amp;S Selection Business Rule
• MILCON Cost Premium Business Rule
</t>
  </si>
  <si>
    <t>Aircraft Navigation Building</t>
  </si>
  <si>
    <t>Aircraft Navigation Facility</t>
  </si>
  <si>
    <t>TASK</t>
  </si>
  <si>
    <t>14/22</t>
  </si>
  <si>
    <t xml:space="preserve">Armory, Class C, Average (similar in construction to utility building) </t>
  </si>
  <si>
    <t>SF to EA</t>
  </si>
  <si>
    <t>Multiple Category Codes; Assume 10 FT x 10 FT</t>
  </si>
  <si>
    <t>FAC</t>
  </si>
  <si>
    <t>Communications Lines</t>
  </si>
  <si>
    <t>MI</t>
  </si>
  <si>
    <t xml:space="preserve">Marshall and Swift Valuation, October 2021;
USACE PAX Newsletter 3.2.2, 25 May 2022
</t>
  </si>
  <si>
    <t>36-strand Fiber Optic cable w/1" PVC inner duct run in duct bank</t>
  </si>
  <si>
    <t>FT to MI</t>
  </si>
  <si>
    <t>36-strand Fiber Optic Splice Box, including box and 36 cable splices</t>
  </si>
  <si>
    <t>EA per MI</t>
  </si>
  <si>
    <t>66/1</t>
  </si>
  <si>
    <t>Trench only, LF</t>
  </si>
  <si>
    <t>FT</t>
  </si>
  <si>
    <t>Conduit only, LF</t>
  </si>
  <si>
    <t>Sum</t>
  </si>
  <si>
    <t>Area Adjustment for Marshall and Swift Components is location normalized by multiplying by the M&amp;S local multiplier for Arlington, VA (1.06), then dividing by the DoD Area Cost Factor for Arlington, VA (1.06).</t>
  </si>
  <si>
    <t>Unified Facilities Criteria (UFC) 3-580-01, "Telecommunications Interior Infrastructure Planning and Design."</t>
  </si>
  <si>
    <t xml:space="preserve">Fiber optic cable is the standard called for in UFC 3-580-01 for cable plant between buildings. </t>
  </si>
  <si>
    <t>The average record size in the 2021 RPAD is 32.9 miles.</t>
  </si>
  <si>
    <t>No UFC requirement exists for the incorporation of a loading dock</t>
  </si>
  <si>
    <t>Fiber optic cable is the standard called for in UFC 3-580-01.</t>
  </si>
  <si>
    <t>Footnotes</t>
  </si>
  <si>
    <t xml:space="preserve">UFC 3-580-01, "Telecommunications Interior Infrastructure Planning and Design," 01 June 2016, with Change 1, 01 June 2016. 
UFGS 33 82 00, "Telecommunications Outside Plant (OSP)," 01 April 2006.
UFC 4-150-02, "Dockside Utilities for Ship Service," 12 November 2020.                                                                                                                                                                                                                       </t>
  </si>
  <si>
    <t>Airfield Pavement Lighting</t>
  </si>
  <si>
    <t>PACES 1.4;  UFC 3-535-01,
11 April 2017, with Change 3,  21 May 2021</t>
  </si>
  <si>
    <t>Bare Costs</t>
  </si>
  <si>
    <t>G2060042613</t>
  </si>
  <si>
    <t>Runway Edge Lights</t>
  </si>
  <si>
    <t>KLF</t>
  </si>
  <si>
    <t>G2060042614</t>
  </si>
  <si>
    <t>Runway Centerline Lights</t>
  </si>
  <si>
    <t>Airfield Lighting</t>
  </si>
  <si>
    <t>G2060042610</t>
  </si>
  <si>
    <t>Runway Approach Lighting</t>
  </si>
  <si>
    <t>G2060042611</t>
  </si>
  <si>
    <t>End Of Runway Lighting</t>
  </si>
  <si>
    <t>G2060042612</t>
  </si>
  <si>
    <t>Touchdown Zone</t>
  </si>
  <si>
    <t>G2060042620</t>
  </si>
  <si>
    <t>Taxiway Edge Lights</t>
  </si>
  <si>
    <t>G2060042621</t>
  </si>
  <si>
    <t>Taxiway Centerline Lights</t>
  </si>
  <si>
    <t>G2060042630</t>
  </si>
  <si>
    <t>Aircraft Parking Area Perimeter Lighting</t>
  </si>
  <si>
    <t>Total System Costs</t>
  </si>
  <si>
    <t>Ship Navigation Building</t>
  </si>
  <si>
    <t>Ship Navigation Facility</t>
  </si>
  <si>
    <t>Marshall and Swift Valuation; October 2021</t>
  </si>
  <si>
    <t>Self-Supporting Tower, 50 FT</t>
  </si>
  <si>
    <t>Air Defense Operations Building</t>
  </si>
  <si>
    <t>Aircraft Operations Facility Without Tower</t>
  </si>
  <si>
    <t>Missile Operations Building</t>
  </si>
  <si>
    <t>Emergency Operations Center / Restricted Area</t>
  </si>
  <si>
    <t>USACE PAX Newsletter 3.2.2, 25 May 2022</t>
  </si>
  <si>
    <t>Emergency Operations Center (EOC)</t>
  </si>
  <si>
    <t>Airfield Fire And Rescue Station</t>
  </si>
  <si>
    <t>Aviation Operations Building</t>
  </si>
  <si>
    <t>Air Control Tower</t>
  </si>
  <si>
    <t>Control Tower (Stand Alone)</t>
  </si>
  <si>
    <t>127.5 VF</t>
  </si>
  <si>
    <t>VF/SF</t>
  </si>
  <si>
    <t>Facility is measured in SF; however, the PUC is calculated per Vertical Foot (VF) of Tower; see Note in Table 2, UFC 3-7001-01.</t>
  </si>
  <si>
    <t>Helium Production/Storage Building</t>
  </si>
  <si>
    <t>Table 2, UFC 3-701-1, 17 March 2022
USACE PAX Newsletter 3.2.2, 20 March 2020</t>
  </si>
  <si>
    <t>General Purpose (GP) Warehouse - Small (&lt; 15,000 SF), Low-Bay (Stack Height &lt; 16-FT )</t>
  </si>
  <si>
    <t>Hazardous Material Storage Building - Tactical Equipment Maintenance Facility (TEMF)</t>
  </si>
  <si>
    <t>Average Size</t>
  </si>
  <si>
    <t>Weighted Average</t>
  </si>
  <si>
    <t>Helium Storage Facility</t>
  </si>
  <si>
    <t>61/8</t>
  </si>
  <si>
    <t>Welded Steel Pressure Tank, 9,000 GA</t>
  </si>
  <si>
    <t>Welded Steel Pressure Tank, 15,000 GA</t>
  </si>
  <si>
    <t>Ship Operations Building</t>
  </si>
  <si>
    <t>Headquarters / Operations Buildings:  Company Level (Lowest Level)</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</si>
  <si>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</si>
  <si>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</si>
  <si>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</si>
  <si>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</si>
  <si>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</si>
  <si>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</si>
  <si>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</si>
  <si>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</si>
  <si>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</si>
  <si>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</si>
  <si>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</si>
  <si>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PUC with Military Cost Premium</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</si>
  <si>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</si>
  <si>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</si>
  <si>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The average area of this FAC is 8,236 SF.
The International Building Code Occupancy Group assigned is B, Business.
</t>
  </si>
  <si>
    <t xml:space="preserve">International Building Code (IBC) Group B.
A sprinkler is incorporated, applying the Fire Sprinkler Business Rule
</t>
  </si>
  <si>
    <t xml:space="preserve">No UFC requirement exists for the incorporation of a loading dock
The average number of floors above ground is 1.21; applying the Elevator Business Rule, no elevator is incorporated.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</si>
  <si>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</si>
  <si>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</si>
  <si>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</si>
  <si>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</si>
  <si>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</si>
  <si>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</si>
  <si>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</si>
  <si>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Overhead door, Rollup, 8' X 10", 2 EA</t>
  </si>
  <si>
    <t>SF of door</t>
  </si>
  <si>
    <t>Overhead door electric operation</t>
  </si>
  <si>
    <t>65/12</t>
  </si>
  <si>
    <t>Dock bumper, Horizontal, Per LF, 10 FT length</t>
  </si>
  <si>
    <t>Per SF</t>
  </si>
  <si>
    <t>Dock leveler, hydraulic</t>
  </si>
  <si>
    <t>Dock seal, 10 inch projection</t>
  </si>
  <si>
    <t>Dock shelter</t>
  </si>
  <si>
    <t>14/27</t>
  </si>
  <si>
    <t>SF Total</t>
  </si>
  <si>
    <t>Divided by 2021 DoD ACF for Arlington, VA</t>
  </si>
  <si>
    <t>Inflated from FY21 to FY22</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</si>
  <si>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</si>
  <si>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</si>
  <si>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The average area of this FAC is 8,019 SF.
The International Building Code (IBC) Occupancy Group assigned is B, Business.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</si>
  <si>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Association (NFPA) Standard 13, UFC 3-600-01 and the IBC.  Application of the Fire Sprinkler Business Rule requires a sprinkler system to be installed in this type of facility.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</si>
  <si>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1.11; applying the Elevator Business Rule, no elevator is incorporated. 
</t>
  </si>
  <si>
    <t xml:space="preserve">UFC 4-440-01 states that overhead bridge cranes may not be required.  Because bridge cranes are not required, no overhead crane is included, applying the Overhead Crane Business Rule.  </t>
  </si>
  <si>
    <t>UFC 4-440-01 provides the criteria for component material.</t>
  </si>
  <si>
    <t>Miscellaneous Operations Support Building</t>
  </si>
  <si>
    <t>Working Animal Support Building</t>
  </si>
  <si>
    <t>USACE PAX Newsletter 3.2.2, 30 May 2019</t>
  </si>
  <si>
    <t>Kennel Facilities</t>
  </si>
  <si>
    <t>Security Force Building</t>
  </si>
  <si>
    <t>15/33</t>
  </si>
  <si>
    <t>Police Station, Class B, Average</t>
  </si>
  <si>
    <t>15/36</t>
  </si>
  <si>
    <t>Elevator, Passenger, Base Cost, 2-3 story, Average</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</si>
  <si>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</si>
  <si>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</si>
  <si>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</si>
  <si>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</si>
  <si>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The average area for this FAC is 11,713 SF.
The Occupancy Group assigned is B, Business.
</t>
  </si>
  <si>
    <t xml:space="preserve">International Building Code Occupancy Group B.
A fire sprinkler has been incorporated, applying the Fire Sprinkler Business Rule.
</t>
  </si>
  <si>
    <t xml:space="preserve">No UFC requirement exists for the incorporation of a loading dock.
The average number of floors is 1.35.  One (1) elevator has been included in the estimated cost in consonance with the Elevator Business Rule.
</t>
  </si>
  <si>
    <t>No overhead crane is provided, applying the Overhead Crane Business Rule.</t>
  </si>
  <si>
    <t>No UFC criteria exist for component material.</t>
  </si>
  <si>
    <t>Strategic Missile Launch Facility</t>
  </si>
  <si>
    <t>UM=</t>
  </si>
  <si>
    <t>Inflated from FY2021;
AFCESA, Cost Handbook 2003</t>
  </si>
  <si>
    <t>FY2021 PUC</t>
  </si>
  <si>
    <t>Missile Guidance Facility</t>
  </si>
  <si>
    <t>Inflated from FY2021;
AFCESA Cost Handbook FY1999 (CATCode 149514)</t>
  </si>
  <si>
    <t>Missile Access Shaft</t>
  </si>
  <si>
    <t>Inflated from FY2021;
AFCESA Data, FY 2000 (CATCode 149711)</t>
  </si>
  <si>
    <t>Missile Access Tunnel</t>
  </si>
  <si>
    <t>Inflated from FY2021;
AFCESA Data, FY 2000 (CATCode 149811)</t>
  </si>
  <si>
    <t>Missile Defense Facility</t>
  </si>
  <si>
    <t>Inflated from FY2021; AFCESA Cost HB, FY1999
(CATCodes 141173 and 141912 Averaged)</t>
  </si>
  <si>
    <t>Ballistic Missile Control Facility</t>
  </si>
  <si>
    <t>Mechanical Security Barricade</t>
  </si>
  <si>
    <t>USACE PAX Newsletter 3.2.2,  25 May 2022</t>
  </si>
  <si>
    <t>Crash Barrier, 12' Wide, Portable Wedge Crash, including LME for complete installation</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</si>
  <si>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</si>
  <si>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</si>
  <si>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</si>
  <si>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</si>
  <si>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</si>
  <si>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</si>
  <si>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</si>
  <si>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</si>
  <si>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 xml:space="preserve">Overhead Protection/Canopy - General </t>
  </si>
  <si>
    <t>Aircraft Arresting System</t>
  </si>
  <si>
    <t>FY2020 PUC</t>
  </si>
  <si>
    <t>Aircraft Firing-In Butt</t>
  </si>
  <si>
    <t>66/9</t>
  </si>
  <si>
    <t>Shooting Range, w/bullet traps, high range, 10 positions</t>
  </si>
  <si>
    <t>Aircraft Shelter, Hardened</t>
  </si>
  <si>
    <t>AF Military Construction Program</t>
  </si>
  <si>
    <t>MILCON Projects</t>
  </si>
  <si>
    <t>Hardened AC Shelter Funded Construction</t>
  </si>
  <si>
    <t>SM</t>
  </si>
  <si>
    <t>SM to SF</t>
  </si>
  <si>
    <t>Kunsan Air Base, ROK, 2017  DD 1391 for 18 EA 3rd Gen HAS Shelters</t>
  </si>
  <si>
    <t>Aircraft Shelter</t>
  </si>
  <si>
    <t>F-35A Aircraft Shelter, Category Code 141-181</t>
  </si>
  <si>
    <t>Military Cost Premium not added because cost taken from military construction document</t>
  </si>
  <si>
    <t>This unit price based upon two Air Force MILCON DD Forms 1391 Project Data Sheets submitted to Congress for the FY17 program (Projects # FTQW170112 and FTQW183001) for construction of two 16-bay aircraft  weather shelters at Eielson AFB.  Area Cost Factor derived from USACE PAX Newsletter 3.2.1, Area Cost Factors, 28 March 2017.</t>
  </si>
  <si>
    <t>Aircraft Support Facility</t>
  </si>
  <si>
    <t>Weighted Cost</t>
  </si>
  <si>
    <t>2-WAY-6" DIA PVC, ENCASED BURIAL, INCL EXCAV, CIP CONC &amp; BACKFILL</t>
  </si>
  <si>
    <t>UG Electric Lines #4/0 - 3/C, 600 Volt SEU Copper Conductor</t>
  </si>
  <si>
    <t>CABLE TERMINATION, 15 kV, #1 SOLID to 4/0 STRANDED</t>
  </si>
  <si>
    <t>UGND HAND HOLES, 4' x 4' x 4' DEEP, PRECAST CONC w/ COVER, EXCL EXCAV, CIP CONC &amp; BACKFILL</t>
  </si>
  <si>
    <t>Airfield Runway, 12" Thick Fixed Form, 4500 PSI w/Rebar</t>
  </si>
  <si>
    <t>Propulsion Support Facility</t>
  </si>
  <si>
    <t>Assumed Size</t>
  </si>
  <si>
    <t>5,000 SF</t>
  </si>
  <si>
    <t xml:space="preserve">Inflated from FY2021;
Navy Reported Replacement Value - FY2000 </t>
  </si>
  <si>
    <t>Weapons Support Facility</t>
  </si>
  <si>
    <t xml:space="preserve">14/15 </t>
  </si>
  <si>
    <t>Industrials, Heavy (Process) Manufacturing, Class A, Average, including elevator and craneway. Deduct $2.51 for no elevator.</t>
  </si>
  <si>
    <t>58/6</t>
  </si>
  <si>
    <t>Bridge Crane, 20 FT span, 5 Ton</t>
  </si>
  <si>
    <t>Craneway electrical conductor</t>
  </si>
  <si>
    <t>LF to EA</t>
  </si>
  <si>
    <t>Sprinkler, 5000 SF, Dry System, Average</t>
  </si>
  <si>
    <t>There is no inventory in 2020 RPAD for this FAC; assumed dimensions are 50' x 100'</t>
  </si>
  <si>
    <t>Explosives Railway Holding Yard</t>
  </si>
  <si>
    <t>17/29</t>
  </si>
  <si>
    <t>Arch-rib (Quonset) Farm Implement Building, Class D, Average  (Assume 4 EA)</t>
  </si>
  <si>
    <t>66/3</t>
  </si>
  <si>
    <t>Rail Spur, 130# rail, assume 1,000 LF</t>
  </si>
  <si>
    <t>LF Total</t>
  </si>
  <si>
    <t>Add for Rail Turnout, Assume 2</t>
  </si>
  <si>
    <t>51/3</t>
  </si>
  <si>
    <t>Reinforced Concrete foundation walls for Quonset Building, 12 IN;  4 EA x 150 LF X 10 FT high = 6,000 SF wall</t>
  </si>
  <si>
    <t>51/2</t>
  </si>
  <si>
    <t xml:space="preserve">Berm, bulk excavation, medium earth, placed around each Quonset building (parabolic section (2/3 B*H) 60 FT long, 10 FT high, 8 EA = 3,216 CF) </t>
  </si>
  <si>
    <t>CF</t>
  </si>
  <si>
    <t>Explosives Holding/Transfer Facility</t>
  </si>
  <si>
    <t>Inflation Adjustment
by MILCON Index</t>
  </si>
  <si>
    <t>Backfill and Compaction, Dozer Backfill, Roller Compaction in 12" Layers</t>
  </si>
  <si>
    <t>CY/SY</t>
  </si>
  <si>
    <t>Base Course, 1-1/2" Crushed Stone, 8" Deep, Compacted, including Material &amp; Transportation, excluding Earthwork</t>
  </si>
  <si>
    <t>Asphalt Concrete Paving Surface, 3" Thick Plant Mix, Excluding Earthwork</t>
  </si>
  <si>
    <t>Average Facility Size derived from 2021 RPAD (214 Asset Allocations):  [100 FT x 69 FT] / 9 SF/SY)</t>
  </si>
  <si>
    <t>Note: Lightning protection and fence calculated separately as stand alone assets</t>
  </si>
  <si>
    <t>Revetment</t>
  </si>
  <si>
    <t>Earth Work: 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</si>
  <si>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</si>
  <si>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</si>
  <si>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</si>
  <si>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</si>
  <si>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</si>
  <si>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</si>
  <si>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</si>
  <si>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</si>
  <si>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The average size for this FAC in the 2020 RPAD is 7.7 EA (each); 2,010 records)</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</si>
  <si>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</si>
  <si>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</si>
  <si>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</si>
  <si>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Tactical Vehicle Wash Facility</t>
  </si>
  <si>
    <t>Central Wash Facility, 16 Stations</t>
  </si>
  <si>
    <t>1 EA</t>
  </si>
  <si>
    <t>SF/EA</t>
  </si>
  <si>
    <t>Security Support Building</t>
  </si>
  <si>
    <t>Search Office/ Sentry Building</t>
  </si>
  <si>
    <t>Gatehouse</t>
  </si>
  <si>
    <t>Guard booth (Guardhouse)</t>
  </si>
  <si>
    <t>Visitor Control Center</t>
  </si>
  <si>
    <t>Miscellaneous Operations Support Facility</t>
  </si>
  <si>
    <t>Category Code</t>
  </si>
  <si>
    <t>Underground Administrative Facility (USACE PAX Newsletter,
20 Mar 2009)</t>
  </si>
  <si>
    <t xml:space="preserve">Control/Observation Tower </t>
  </si>
  <si>
    <t>Weighted Average PUC</t>
  </si>
  <si>
    <t>Pier</t>
  </si>
  <si>
    <t>FY09 Study for CNIC</t>
  </si>
  <si>
    <t>Unit Price</t>
  </si>
  <si>
    <t>Military Cost Premium not added because reference cost taken from military construction documents</t>
  </si>
  <si>
    <t>PUC is based upon a study conducted for Commander, Navy Installations Command (CNIC) in FY2009, which appears below in full.   In the 2020 RPAD, there are 313 assets in FAC 1511, with an average size of 5,312 SY.</t>
  </si>
  <si>
    <t>Wharf</t>
  </si>
  <si>
    <t>Set to FAC 1511, Pier</t>
  </si>
  <si>
    <t>PUC is based upon a study conducted for Commander, Navy Installations Command (CNIC) in FY2009, which appears below in full.  Under the direction of CNIC, the replacement unit cost for FAC 1512 is set equal to FAC 1511.   In the 2020 RPAD, there are 362 assets in FAC 1512, with an average size of 4,936 SY.</t>
  </si>
  <si>
    <t>Pier/Wharf Access Trestle</t>
  </si>
  <si>
    <t>Ship &amp; Boat Dock, Heavy Construction, Heavy wood girders, 4"  or heavier decking, Heavy Piling;  includes railing, utilities, fenders; exclusive of buildings</t>
  </si>
  <si>
    <t>SF to SY</t>
  </si>
  <si>
    <t>Divided by 2020 DoD ACF for Arlington, VA</t>
  </si>
  <si>
    <t>Shore Erosion Prevention Facility</t>
  </si>
  <si>
    <t>51/4</t>
  </si>
  <si>
    <t>Seawall, concrete, precast, 5” - 6”, including ties or piling</t>
  </si>
  <si>
    <t>Large Commercial Project Reduction</t>
  </si>
  <si>
    <t>Small Craft Berthing</t>
  </si>
  <si>
    <t>FB</t>
  </si>
  <si>
    <t>Ship and boat docks, medium, 4" decking, Average piling, including fenders, railings, utilities; exclusive of buildings</t>
  </si>
  <si>
    <t>SF/FB</t>
  </si>
  <si>
    <t>Convert SF to FB:  Width of pier or wharf = 40.  Assume 1/2 pier, 1/2 wharf.  Average of ((40 SF/2 FB) + (40 SF/1 FB))/2 = 30 SF/FB</t>
  </si>
  <si>
    <t>FB = LF of Berthing</t>
  </si>
  <si>
    <t>Small Craft Building</t>
  </si>
  <si>
    <t>17/18</t>
  </si>
  <si>
    <t>Boat Storage Building, Class S, Average, Metal siding on steel frame; boat racks &amp; minimum electrical/water service</t>
  </si>
  <si>
    <t>Magnetic Silencing Range</t>
  </si>
  <si>
    <t>Service Reported Construction Cost</t>
  </si>
  <si>
    <t>Project</t>
  </si>
  <si>
    <t>Replacement of MS Range at Kings Bay Georgia FY20</t>
  </si>
  <si>
    <t>NAVSUBASE New London Degaussing Range FY20</t>
  </si>
  <si>
    <t>NAVBASE Guam UEMMS Installation FY22</t>
  </si>
  <si>
    <t>PUC Average</t>
  </si>
  <si>
    <t>Water Launch Ramp</t>
  </si>
  <si>
    <t>Slab on Grade, 12", Reinforced</t>
  </si>
  <si>
    <t>Concrete Waterproofing, Silicone Spray, 2 coats</t>
  </si>
  <si>
    <t>Piling, Steel Pipe, Concrete filled, 10", 8 Each with Setup Cost</t>
  </si>
  <si>
    <t>EA to SY</t>
  </si>
  <si>
    <t>Harbor Control Facility</t>
  </si>
  <si>
    <t xml:space="preserve">Inflated from FY2021;
Service Reported PRV </t>
  </si>
  <si>
    <t>Offshore Mooring Facility</t>
  </si>
  <si>
    <t>Harbor Marine Improvements</t>
  </si>
  <si>
    <t>Seawall Concrete, Precast, 5” - 6” including ties or piling</t>
  </si>
  <si>
    <t>Commercial Reduction</t>
  </si>
  <si>
    <t>Riprap, 6' Wide x 8' Tall, shore protection</t>
  </si>
  <si>
    <t>SY to LF</t>
  </si>
  <si>
    <t>General Purpose Instruction Building</t>
  </si>
  <si>
    <t>Academic Instruction Building: General Instruction (Lecture Classroom)</t>
  </si>
  <si>
    <t>Applied Instruction Building</t>
  </si>
  <si>
    <t>Academic Instruction Building: Applied Instructions (Hands-on Training) - Small (&lt;35,000 SF)</t>
  </si>
  <si>
    <t>Band Training Facility</t>
  </si>
  <si>
    <t xml:space="preserve">USACE PAX Newsletter 3.2.2, 25 May 2022                                                        </t>
  </si>
  <si>
    <t>Training Aid Support Center</t>
  </si>
  <si>
    <t>Reserve Training Facility</t>
  </si>
  <si>
    <t>Armed Forces Reserve Center</t>
  </si>
  <si>
    <t>Physical Education Building</t>
  </si>
  <si>
    <t>USACE PAX Newsletter 3.2.2, 6 April 2017</t>
  </si>
  <si>
    <t>Physical Fitness Facility</t>
  </si>
  <si>
    <t>Organizational Classroom</t>
  </si>
  <si>
    <t>Academic Instruction Buildings: General Instruction (Lecture/Classroom)</t>
  </si>
  <si>
    <t>Indoor Firing Range and Supporting Facility</t>
  </si>
  <si>
    <t>Indoor Firing Range</t>
  </si>
  <si>
    <t>Flight Simulator Facility</t>
  </si>
  <si>
    <t>Academic Instruction Buildings: High Bay w/ Simulation Training -Small (&lt;18,000 SF)</t>
  </si>
  <si>
    <t>Physiological Training Facility</t>
  </si>
  <si>
    <t>Academic Instruction Buildings: High Bay w/ Simulation Training - Small (&lt;18,000 SF)</t>
  </si>
  <si>
    <t>Gas Training Facility</t>
  </si>
  <si>
    <t xml:space="preserve">USACE PAX Newsletters 3.2.2                                                        </t>
  </si>
  <si>
    <t>Range Classroom Building (USACE PAX Newsletter 3.2.2, 21 May  2021)</t>
  </si>
  <si>
    <t>After-Action Review (AAR) Building - Small  (USACE PAX Newsletter 3.2.2, 6 April 2017)</t>
  </si>
  <si>
    <t>General Purpose Simulator Facility</t>
  </si>
  <si>
    <t xml:space="preserve"> </t>
  </si>
  <si>
    <t>Training Pool and Tank</t>
  </si>
  <si>
    <t>Pour Concrete Pool, 25 M x 50 M = 13,455 SF Surface Area</t>
  </si>
  <si>
    <t>18/22</t>
  </si>
  <si>
    <t>Natatorium, Class C, Good</t>
  </si>
  <si>
    <t>18/36</t>
  </si>
  <si>
    <t>Sprinkler, 15,000 SF, Wet System, Good</t>
  </si>
  <si>
    <t>1 SM = 10.764 SF</t>
  </si>
  <si>
    <t>Enclosed Fire Fighter Trainer Facility</t>
  </si>
  <si>
    <t>15/29</t>
  </si>
  <si>
    <t>Fire Training Tower, Average, Add 45% for insulated tiles</t>
  </si>
  <si>
    <t>CF to SF</t>
  </si>
  <si>
    <t xml:space="preserve">66/11 </t>
  </si>
  <si>
    <t>Polyethylene chamber water detention system, complete, 5,000 GA</t>
  </si>
  <si>
    <t>GA to SF</t>
  </si>
  <si>
    <t>Stormwater drainage pond, 1/8 AC, 5 FT deep</t>
  </si>
  <si>
    <t>EA to SF</t>
  </si>
  <si>
    <t>Welded Steel Pressure Tank, 4 EA, 9,000 GA EA</t>
  </si>
  <si>
    <t>62/1</t>
  </si>
  <si>
    <t>Industrial Pump, 4 EA, 2.5" Suction, 7.5 HP 3,550 RPM</t>
  </si>
  <si>
    <t>62/2</t>
  </si>
  <si>
    <t>Black Steel Threaded Pipe, 2" non-buried, 1,800 LF</t>
  </si>
  <si>
    <t>LF to SF</t>
  </si>
  <si>
    <t>Range Support Building</t>
  </si>
  <si>
    <t>Ammunition Breakdown Building</t>
  </si>
  <si>
    <t>Operations/Storage Building, Small</t>
  </si>
  <si>
    <t xml:space="preserve">Range Classroom Building </t>
  </si>
  <si>
    <t>After Action Review Building -Small (USACE PAX Newsletter 3.2.2, 6 April 2017)</t>
  </si>
  <si>
    <t>Range Components Price List - Marshall and Swift Valuation, October 2021 
and USACE PAX Newsletter 3.2.2, 25 May 2022</t>
  </si>
  <si>
    <t xml:space="preserve">Covered Mess - Range (Small) </t>
  </si>
  <si>
    <t>Reference</t>
  </si>
  <si>
    <t>End Item</t>
  </si>
  <si>
    <t xml:space="preserve">Component Price </t>
  </si>
  <si>
    <t>Structure, Reinforced concrete (Armory, Class CDS) 12 EA, 1,800 SF</t>
  </si>
  <si>
    <t>Training Aids Support Building</t>
  </si>
  <si>
    <t xml:space="preserve">USACE PAX Newsletter 3.2.2, 30 May 2019                                                         </t>
  </si>
  <si>
    <t>17/31</t>
  </si>
  <si>
    <t>Urban Cluster (Bank Barn, 2-Story, Class D, Low Cost)  (Use Class C Current Cost Multiplier for consistency)</t>
  </si>
  <si>
    <t>Target Bunker (Catch Basin,  4' deep)</t>
  </si>
  <si>
    <t>Training Aid Support Center for Range Complex</t>
  </si>
  <si>
    <t>66/2</t>
  </si>
  <si>
    <t xml:space="preserve">SIT  / WSIT Emplacement or Vehicle Firing Point (62, 94, or 128 SF concrete x 8" thick with bar reinforcing) </t>
  </si>
  <si>
    <t xml:space="preserve">SAT Emplacement or VBP Defilade (468 or 481 SF concrete x 12" thick w/Rebar) </t>
  </si>
  <si>
    <t>MIT / MAT Emplacement (12" concrete wall or concrete bunker 12" concrete)</t>
  </si>
  <si>
    <t>Training Support Structure</t>
  </si>
  <si>
    <t xml:space="preserve">USACE PAX Newsletter 3.2.2, 25 May 2022                                                      </t>
  </si>
  <si>
    <t>Slab on Grade, 6" reinforced</t>
  </si>
  <si>
    <t>Service Switchgear, 100 Amps, Light Commercial</t>
  </si>
  <si>
    <t>Covered Bleacher - Range  (Bleacher Enclosure), EA</t>
  </si>
  <si>
    <t>EA/SF</t>
  </si>
  <si>
    <t>Service Switchgear, 200 Amps, Light Commercial</t>
  </si>
  <si>
    <t>Covered Mess - Range (Small)</t>
  </si>
  <si>
    <t>Circuit Breaker, 240-480 Volts, 20-60 Amps</t>
  </si>
  <si>
    <t>Circuit Breaker, 240-480 Volts, 125-250 Amps</t>
  </si>
  <si>
    <t>54/3</t>
  </si>
  <si>
    <t>Outlet, Rigid Conduit, Average, with Ground Fault Interrupter, 4 per SIT</t>
  </si>
  <si>
    <t>Observation Tower/Bunker</t>
  </si>
  <si>
    <t xml:space="preserve">USACE PAX Newsletter 3.2.2, 25 May 2022                                                     </t>
  </si>
  <si>
    <t>54/2</t>
  </si>
  <si>
    <t>Underground Wiring, 2", plastic duct, plus excavation and backfill</t>
  </si>
  <si>
    <t>Rigid Conduit and Wiring, 1", includes tees, ells, junction boxes, hangers and fittings</t>
  </si>
  <si>
    <t>Control Tower - Standard Instrumented</t>
  </si>
  <si>
    <t>Trolleyway, 1 Ton, 50 FT / MIT</t>
  </si>
  <si>
    <t>Control Tower - Standard Small Arms</t>
  </si>
  <si>
    <t>Trolley, Motorized, 0.5 ton, 1 per MIT</t>
  </si>
  <si>
    <t>Foxhole with Drain (36" reinforced Concrete Storm Drainage, 4' deep)</t>
  </si>
  <si>
    <t xml:space="preserve">Target Boots / 4 per FP; Concrete perimeter footing, 12" below grade </t>
  </si>
  <si>
    <t xml:space="preserve">Maneuver/Training Land, Light Forces </t>
  </si>
  <si>
    <t>AC</t>
  </si>
  <si>
    <t>No Replacement Cost Defined</t>
  </si>
  <si>
    <t>Utility tunnel, 3"-5" wall thickness, reinforced concrete, medium soil, 5'x7' cross-section, 504 LF</t>
  </si>
  <si>
    <t>Road, Plant Mix Asphalt Concrete surface, 3" thick, 1,500 SY</t>
  </si>
  <si>
    <t>N/A</t>
  </si>
  <si>
    <t>8" Thick Reinforced Concrete Pavement,  4,500 PSI, 12' pass</t>
  </si>
  <si>
    <t>Berm, 522 M x 2 M x 5 M = 6,828 CY / Backfill &amp; Dozer  compaction</t>
  </si>
  <si>
    <t xml:space="preserve">Maneuver/Training Land, Heavy Forces </t>
  </si>
  <si>
    <t>Fine Grading for Roadways, Base or Levelling Course, Large Areas &gt; 6,000 SY;  11,525 SY</t>
  </si>
  <si>
    <t>Bank run gravel, Spread with Dozer, 409 CY per berm</t>
  </si>
  <si>
    <t>10" Thick Reinforced Concrete Pavement, 4,500 PSI,  12' pass</t>
  </si>
  <si>
    <t>Weapons Impact Area</t>
  </si>
  <si>
    <t>Parachute Drop Zone</t>
  </si>
  <si>
    <t>Parade and Drill Field</t>
  </si>
  <si>
    <t>66/8</t>
  </si>
  <si>
    <t>Soil preparation, Fine grading, Average</t>
  </si>
  <si>
    <t>SF to AC</t>
  </si>
  <si>
    <t>Hydroseeding, Average</t>
  </si>
  <si>
    <t>Rain Bird or Rain Jet system lawn sprinklers, large area</t>
  </si>
  <si>
    <t>General Purpose Small Arms Range</t>
  </si>
  <si>
    <t>FP</t>
  </si>
  <si>
    <t>TC 25-8 Standard Size</t>
  </si>
  <si>
    <t xml:space="preserve">Marshall &amp; Swift Valuation, October 2021;
USACE PAX Newsletter 3.2.2, 25 May 2022;
TC 25-8 Training Ranges, 2 November 2021;
USACE Range Design Guide
</t>
  </si>
  <si>
    <t>Section/ CATCODE</t>
  </si>
  <si>
    <t xml:space="preserve">SIT Emplacement (62 SF concrete x 8" thick with bar reinforcing), per FP </t>
  </si>
  <si>
    <t>SF per FP</t>
  </si>
  <si>
    <t>EA per FP</t>
  </si>
  <si>
    <t>Underground Wiring, 2", plastic duct, plus excavation and backfill (574 FT Average Distance)</t>
  </si>
  <si>
    <t>LF per FP</t>
  </si>
  <si>
    <t>Foxhole with Drain (36" reinforced Concrete Culvert. 4' deep)</t>
  </si>
  <si>
    <t>Berm, 522 M x 2M x 5M = 6,828 CY; Dozer backfill &amp; Roller compaction</t>
  </si>
  <si>
    <t>CY per FP</t>
  </si>
  <si>
    <t>Bank run gravel, Spread w/ 200 HP Dozer, including load at pit &amp; haul, 2 MI round trip, no compaction (409 CY per berm)</t>
  </si>
  <si>
    <t>The Range Design Guide is a web-based tool that replaced the range design manuals.  Refer to https://www.hnc.usace.army.mil/Missions/Installation-Support-and-Programs-Management/Range-and-Training-Land-Program/Range-Design-Guide/.</t>
  </si>
  <si>
    <t>Zero Range</t>
  </si>
  <si>
    <t>TC 25-8 Standard Size - Basic 10M-25M Firing Range (Zero)</t>
  </si>
  <si>
    <t>EA to FP</t>
  </si>
  <si>
    <t>Berm, 148 M x 2 M x 5 M = 1,936 CY; backfill &amp; compaction</t>
  </si>
  <si>
    <t>Bank run gravel, Spread, 387 CY per berm</t>
  </si>
  <si>
    <t>Field Fire Range</t>
  </si>
  <si>
    <t>TC 25-8 Standard Size - Automated Field Fire Range</t>
  </si>
  <si>
    <t xml:space="preserve">Marshall &amp; Swift Valuation, October 2021;
USACE PAX Newsletter 3.2.2, 25 May2022;
TC 25-8 Training Ranges, 2 November 2021;
USACE Range Design Guide
</t>
  </si>
  <si>
    <t>SIT Emplacement (62 SF concrete x 8" thick w/Rebar), 3 per FP</t>
  </si>
  <si>
    <t>Berm, 522 M x 2 M x 5 M = 6,828 CY; backfill &amp; compaction</t>
  </si>
  <si>
    <t>Bank run gravel, Spread, 1,044 CY per berm</t>
  </si>
  <si>
    <t>Record Fire Range</t>
  </si>
  <si>
    <t>TC 25-8 Standard Size - Automated Record Fire Range</t>
  </si>
  <si>
    <t>SIT Emplacement (62 SF concrete x 8" thick with Rebar), 7 per FP</t>
  </si>
  <si>
    <t>Underground Wiring, 2", plastic duct, 574 FT Average Distance, plus excavation and backfill</t>
  </si>
  <si>
    <t>Berm, 340 M x 2M x 5 M = 4,447 CY; backfill &amp; compaction</t>
  </si>
  <si>
    <t>Bank run gravel, Spread, 445 CY per berm</t>
  </si>
  <si>
    <t>Night Fire Range</t>
  </si>
  <si>
    <t>Marshall &amp; Swift Valuation, October 2021;
USACE PAX Newsletter 3.2.2, 25 May 2022
TC 25-8 Training Ranges, 2 November 2021;
USACE Range Design Guide</t>
  </si>
  <si>
    <t>SIT Emplacement (62 sf concrete x 8" thick w/Rebar); 2 per FP</t>
  </si>
  <si>
    <t>Underground Wiring, 2", plastic duct, 164 FT average distance, plus excavation and backfill</t>
  </si>
  <si>
    <t>Berm, 522 M x 2 M x 3 M = 4,096 CY; backfill &amp; compaction</t>
  </si>
  <si>
    <t>Bank run gravel, Spread, 409 CY per berm</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</si>
  <si>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</si>
  <si>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</si>
  <si>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</si>
  <si>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</si>
  <si>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</si>
  <si>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</si>
  <si>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</si>
  <si>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</si>
  <si>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</si>
  <si>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</si>
  <si>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</si>
  <si>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</si>
  <si>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</si>
  <si>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</si>
  <si>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</si>
  <si>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Marshall &amp; Swift Valuation, October 2021;
USACE PAX Newsletter 3.2.2, 25 May2022
TC 25-8 Training Ranges, 2 November 2021;
USACE Range Design Guide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</si>
  <si>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</si>
  <si>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</si>
  <si>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</si>
  <si>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</si>
  <si>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</si>
  <si>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</si>
  <si>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</si>
  <si>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</si>
  <si>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</si>
  <si>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</si>
  <si>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</si>
  <si>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</si>
  <si>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</si>
  <si>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</si>
  <si>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</si>
  <si>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</si>
  <si>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</si>
  <si>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USACE PAX Newsletter 3.2.2, 25 May 2022;
TC 25-8 Training Ranges, 2 November 2021;
USACE Range Design Guide</t>
  </si>
  <si>
    <t>Vehicle Battle Position - Defilade (481 SF concrete x 10" thick with Rebar), Unit Cost divided by 9 for SF</t>
  </si>
  <si>
    <t>Berm, 148 M x 2M x 5 M = 1,936 CY; backfill &amp; compaction</t>
  </si>
  <si>
    <t>Bank run gravel, Spread, 327 CY per range</t>
  </si>
  <si>
    <t>Grenade Launcher Range</t>
  </si>
  <si>
    <t>Marshall &amp; Swift Valuation, October 2021;
USACE PAX Newsletter 3.2.2, 25 May 2022;
TC 25-8 Training Ranges, 2 November 2021;
USACE Range Design Guide</t>
  </si>
  <si>
    <t>Target Berm, 1 M x 1 M x 2 M x 4 targets/lane = 2.6 CY; Backfill &amp; compaction</t>
  </si>
  <si>
    <t>Berm, 40 M x 1 M x 2 M = 104 CY; backfill &amp; compaction</t>
  </si>
  <si>
    <t>Bank run gravel, Spread, 104 CY per berm</t>
  </si>
  <si>
    <t>Grenade Machinegun Range</t>
  </si>
  <si>
    <t>LN</t>
  </si>
  <si>
    <t xml:space="preserve">USACE PAX Newsletter 3.2.2, 25 May 2022;
TC 25-8 Training Ranges, 2 November 2021;
USACE Range Design Guide
</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</si>
  <si>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</si>
  <si>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</si>
  <si>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</si>
  <si>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</si>
  <si>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</si>
  <si>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</si>
  <si>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</si>
  <si>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Facility Size</t>
  </si>
  <si>
    <t xml:space="preserve">• The unit of measure is LN, lane.  
• Size is per design found in TC 25-8.  The design calls for a standard 2 LNs per range.  Although the average of the records is 3.2, there can be no ‘fractional’ lanes. 
• There are 32 FAC 1762 records, ranging in size from 1 to 10 lanes (LN).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</si>
  <si>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</si>
  <si>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</si>
  <si>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</si>
  <si>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</si>
  <si>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</si>
  <si>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</si>
  <si>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 xml:space="preserve">U.S. Army TC 3-22.19, Grenade Machine Gun MK 19 MOD 3, 10 May 2017, with Change 1, 13 January 2020.
</t>
  </si>
  <si>
    <t>Light Antiarmor Weapon Range (LAWR)</t>
  </si>
  <si>
    <t>TC 25-8 Standard Size - Light Antiarmor Range, Subcal</t>
  </si>
  <si>
    <t>Marshall &amp; Swift Valuation, October 2021;
USACE PAX Newsletter 3.2.2, 25 May 2022:
TC 25-8 Training Ranges, 2 November 2021;
USACE Range Design Guide</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</si>
  <si>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</si>
  <si>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</si>
  <si>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</si>
  <si>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</si>
  <si>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</si>
  <si>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</si>
  <si>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</si>
  <si>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</si>
  <si>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</si>
  <si>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</si>
  <si>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</si>
  <si>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</si>
  <si>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</si>
  <si>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</si>
  <si>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</si>
  <si>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</si>
  <si>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</si>
  <si>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</si>
  <si>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</si>
  <si>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</si>
  <si>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</si>
  <si>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</si>
  <si>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</si>
  <si>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</si>
  <si>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</si>
  <si>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</si>
  <si>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</si>
  <si>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</si>
  <si>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</si>
  <si>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</si>
  <si>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</si>
  <si>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</si>
  <si>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</si>
  <si>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</si>
  <si>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</si>
  <si>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</si>
  <si>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</si>
  <si>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</si>
  <si>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</si>
  <si>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</si>
  <si>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</si>
  <si>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</si>
  <si>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</si>
  <si>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</si>
  <si>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</si>
  <si>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</si>
  <si>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</si>
  <si>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</si>
  <si>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</si>
  <si>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</si>
  <si>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</si>
  <si>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</si>
  <si>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Indirect Fire Range</t>
  </si>
  <si>
    <t xml:space="preserve">
No Replacement Cost Defined
</t>
  </si>
  <si>
    <t>Scaled Indirect Fire Range</t>
  </si>
  <si>
    <t>Artillery Direct Firing Range (ADFR) = 6 Hasty Firing Positions per Range</t>
  </si>
  <si>
    <t>Scaled Gunnery Range (SGR)</t>
  </si>
  <si>
    <t>TC 25-8 Standard Size -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</si>
  <si>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</si>
  <si>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</si>
  <si>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</si>
  <si>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</si>
  <si>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</si>
  <si>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</si>
  <si>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</si>
  <si>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</si>
  <si>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</si>
  <si>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</si>
  <si>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</si>
  <si>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</si>
  <si>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</si>
  <si>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</si>
  <si>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</si>
  <si>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</si>
  <si>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</si>
  <si>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</si>
  <si>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</si>
  <si>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</si>
  <si>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</si>
  <si>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</si>
  <si>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</si>
  <si>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</si>
  <si>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</si>
  <si>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</si>
  <si>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</si>
  <si>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</si>
  <si>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</si>
  <si>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</si>
  <si>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</si>
  <si>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</si>
  <si>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</si>
  <si>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</si>
  <si>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</si>
  <si>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</si>
  <si>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</si>
  <si>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</si>
  <si>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</si>
  <si>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59 FAC 1772 records, with an average size of 1 each.  
This FAC aggregates multiple (1 AF, 7 Army and 3 Navy/Marine Corps) category codes.  Category code 17860, </t>
    </r>
    <r>
      <rPr>
        <i/>
        <sz val="11"/>
        <rFont val="Calibri"/>
        <family val="2"/>
        <scheme val="minor"/>
      </rPr>
      <t>Digital Multipurpose Range Complex (DMPRC)</t>
    </r>
    <r>
      <rPr>
        <sz val="11"/>
        <rFont val="Calibri"/>
        <family val="2"/>
        <scheme val="minor"/>
      </rPr>
      <t xml:space="preserve">, was chosen from TC 25-8, Table 2-2, as a conservative representative design/cost estimate.  
</t>
    </r>
  </si>
  <si>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</si>
  <si>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</si>
  <si>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</si>
  <si>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</si>
  <si>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</si>
  <si>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</si>
  <si>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</si>
  <si>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</si>
  <si>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</si>
  <si>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</si>
  <si>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</si>
  <si>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</si>
  <si>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</si>
  <si>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</si>
  <si>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</si>
  <si>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</si>
  <si>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</si>
  <si>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</si>
  <si>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</si>
  <si>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</si>
  <si>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</si>
  <si>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</si>
  <si>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</si>
  <si>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</si>
  <si>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</si>
  <si>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</si>
  <si>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</si>
  <si>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</si>
  <si>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</si>
  <si>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</si>
  <si>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</si>
  <si>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</si>
  <si>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</si>
  <si>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</si>
  <si>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</si>
  <si>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</si>
  <si>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</si>
  <si>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</si>
  <si>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</si>
  <si>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</si>
  <si>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</si>
  <si>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</si>
  <si>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</si>
  <si>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</si>
  <si>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</si>
  <si>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</si>
  <si>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</si>
  <si>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</si>
  <si>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</si>
  <si>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</si>
  <si>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</si>
  <si>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</si>
  <si>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</si>
  <si>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</si>
  <si>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</si>
  <si>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</si>
  <si>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</si>
  <si>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</si>
  <si>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</si>
  <si>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</si>
  <si>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</si>
  <si>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</si>
  <si>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Outlet, Rigid Conduit, Average, with Ground Fault Interrupter (5 per SAT; 4 per SIT)</t>
  </si>
  <si>
    <t>Urban Cluster / Bank Barn, 2 Story (20' x 20'), Class D, Low Cost x 6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</si>
  <si>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</si>
  <si>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</si>
  <si>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</si>
  <si>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</si>
  <si>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</si>
  <si>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</si>
  <si>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</si>
  <si>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</si>
  <si>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</si>
  <si>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</si>
  <si>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</si>
  <si>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</si>
  <si>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Trail Grading, Fine Grading for Roadways, Base Course 1,913 SY</t>
  </si>
  <si>
    <t>Total Berm, 400 M x 2 M x 1 M = 1,046 CY, Backfill &amp; compaction</t>
  </si>
  <si>
    <t>Bank run gravel, Spread, 628 CY per Range</t>
  </si>
  <si>
    <t>Urban Cluster / Bank Barn, 2 Story (20' x 20'), Class D, Low Cost x 2 Buildings (Use Class C multiplier)</t>
  </si>
  <si>
    <t>Machine gun bunker (144 SF concrete x 8" with rebar), 2 per Range</t>
  </si>
  <si>
    <t>FAC 1790 is a collection of 65 CATCODEs.  Components for this model represent an average of these facilities.</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</si>
  <si>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</si>
  <si>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</si>
  <si>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</si>
  <si>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</si>
  <si>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</si>
  <si>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</si>
  <si>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</si>
  <si>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</si>
  <si>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</si>
  <si>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</si>
  <si>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</si>
  <si>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</si>
  <si>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</si>
  <si>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</si>
  <si>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</si>
  <si>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</si>
  <si>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</si>
  <si>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</si>
  <si>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</si>
  <si>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</si>
  <si>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</si>
  <si>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</si>
  <si>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</si>
  <si>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</si>
  <si>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 xml:space="preserve">Unenclosed Fire Fighter Trainer Facility </t>
  </si>
  <si>
    <t>Marshall and Swift Valuation, October 2021
USACE PAX Newsletter 3.2.2, 25 May 2022</t>
  </si>
  <si>
    <t>Fire Training Tower (Add 45% for thermal insulated tiles)</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</si>
  <si>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</si>
  <si>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</si>
  <si>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</si>
  <si>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</si>
  <si>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The design size for this FAC is 17,000 SF.  NFPA 1402 recommends a minimum facility size of 20 FT x 20 Ft with 4 stories of 10 ft height each.  Incorporating the training spaces listed in the UFC, a facility size of 50 ft x 50 ft, with 10 ft floor heights and 4 floors has been chosen as the basis of the PUC.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</si>
  <si>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</si>
  <si>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</si>
  <si>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</si>
  <si>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</si>
  <si>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</si>
  <si>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</si>
  <si>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</si>
  <si>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</si>
  <si>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</si>
  <si>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</si>
  <si>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</si>
  <si>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</si>
  <si>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</si>
  <si>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</si>
  <si>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</si>
  <si>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</si>
  <si>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</si>
  <si>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</si>
  <si>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</si>
  <si>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</si>
  <si>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</si>
  <si>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There are 362 FAC 1796 assets, with an average size of 78,583 SF, in the 2021 RPAD.  
This FAC aggregates 7 CATCodes (1 AF, 5 Army, and 1 Navy).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</si>
  <si>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</si>
  <si>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</si>
  <si>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</si>
  <si>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</si>
  <si>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</si>
  <si>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Hand Grenade Range, Non-Firing</t>
  </si>
  <si>
    <t>TC 25-8 Standard Size / Hand Grenade Qualification Course</t>
  </si>
  <si>
    <t>2-man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</si>
  <si>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</si>
  <si>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</si>
  <si>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</si>
  <si>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</si>
  <si>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</si>
  <si>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</si>
  <si>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</si>
  <si>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</si>
  <si>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</si>
  <si>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</si>
  <si>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</si>
  <si>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</si>
  <si>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</si>
  <si>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</si>
  <si>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medium earth = 17 * 30 YD x 6 YD = 3,060 SY * 2/3 YD average depth = 2,040 CY</t>
  </si>
  <si>
    <t xml:space="preserve">CY </t>
  </si>
  <si>
    <t>Soil preparation, Fine grading running track, Average</t>
  </si>
  <si>
    <t>SY to SF</t>
  </si>
  <si>
    <t>Stabilize running track, geotextile fabric</t>
  </si>
  <si>
    <t>Mulch, running track, Average</t>
  </si>
  <si>
    <t>51/7</t>
  </si>
  <si>
    <t>18 stations, wood pole frames, 12"- 14", average of 4 EA, 20 FT = 1,440 LF each station</t>
  </si>
  <si>
    <t>18 stations, wood beams and columns, 4"x4", average of 14 each, 10 FT, 2,520 LF each station</t>
  </si>
  <si>
    <t>Note:  Layout of obstacle course from FM 7-22, "Army Physical Readiness Training," October 2020; and AFI 36-2202, "Air Force Obstacle Course Program," 07 August 2007.</t>
  </si>
  <si>
    <t>Aircraft Maintenance Hangar</t>
  </si>
  <si>
    <t>Maintenance Hangars: General Purpose, Low-Mid Bay, Up to 40 FT  High</t>
  </si>
  <si>
    <t>Aircraft Maintenance Shop</t>
  </si>
  <si>
    <t>14/14</t>
  </si>
  <si>
    <t>Industrial, Light Manufacturing, Class B, Average (Excellent rating not available) (Deduct $2.40/SF for no included elevator)</t>
  </si>
  <si>
    <t>14/16</t>
  </si>
  <si>
    <t>Industrial, Engineering Building, Class B, Excellent, including elevator (Deduct $4.14 / SF for no included elevator)</t>
  </si>
  <si>
    <t>14/29</t>
  </si>
  <si>
    <t>Maintenance Hangar, Class C, Excellent (Class B not available), including craneway, no elevator</t>
  </si>
  <si>
    <t>Average of three Building types</t>
  </si>
  <si>
    <t>53/12</t>
  </si>
  <si>
    <t>Air foam fire extinguishing system, high expansion, 15,000 CFM</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</si>
  <si>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</si>
  <si>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</si>
  <si>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</si>
  <si>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</si>
  <si>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</si>
  <si>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The average area for this FAC is 11,209 SF.
The Occupancy Group assigned is B, Business.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</si>
  <si>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</si>
  <si>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</si>
  <si>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 xml:space="preserve">UFC 4-211-01 design criteria calls for a 5-ton overhead bridge crane in Type I and Type IV hangars and a 7-ton crane in Type II hangars.  The craneway is included in the Marshall and Swift Class C/Excellent unit price.  A 10-ton bridge crane is included in the PUC valuation.
</t>
  </si>
  <si>
    <t>Criteria for components and materials are included in UFC 4-211-01.</t>
  </si>
  <si>
    <t>• M&amp;S Selection Business Rule
• Elevator Business Rule
• Fire Sprinkler Business Rule
• Overhead Crane Business Rule
• MILCON Cost Premium Business Rule</t>
  </si>
  <si>
    <t xml:space="preserve">UFC 4-211-01, "Aircraft Maintenance Hangars," 13 April 2017, with Change 3, 20 April 2021 (Section 3)
</t>
  </si>
  <si>
    <t>Aircraft Corrosion Control Hangar</t>
  </si>
  <si>
    <t>Maintenance Hangars: Aircraft Corrosion Control Maintenance</t>
  </si>
  <si>
    <t>Aircraft Engine Test Building</t>
  </si>
  <si>
    <t>Aircraft Engine Test facility</t>
  </si>
  <si>
    <t>Aircraft Maintenance Hangar, Depot</t>
  </si>
  <si>
    <t xml:space="preserve">Maintenance Hangars: High Bay Maintenance - Large, Over 40 FT High (&gt; 100,000 SF) </t>
  </si>
  <si>
    <t>Aircraft Maintenance Shop, Depot</t>
  </si>
  <si>
    <t>USACE PAX Newsletter 3.2.2, 24 July 2014</t>
  </si>
  <si>
    <t>Aircraft Component Repair Shop (Machine Shop)</t>
  </si>
  <si>
    <t>Aircraft Engine Test Facility</t>
  </si>
  <si>
    <t>Missile Maintenance &amp; Assembly Building</t>
  </si>
  <si>
    <t>Extended Cost</t>
  </si>
  <si>
    <t>14/15</t>
  </si>
  <si>
    <t>Industrial, Heavy (Process) Manufacturing, Class A, Average, including craneway, HVAC and elevator  (Deduct $2.51 / SF for no included elevator)</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</si>
  <si>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</si>
  <si>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</si>
  <si>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</si>
  <si>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</si>
  <si>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</si>
  <si>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</si>
  <si>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</si>
  <si>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</si>
  <si>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</si>
  <si>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</si>
  <si>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</si>
  <si>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Inflated from FY 21 PUC</t>
  </si>
  <si>
    <t xml:space="preserve">Unified Facilities Criteria (UFC) for Multi-Disciplinary and Facility Specific Design (UFC 3-101-01, Architecture; and, the UFC 4-200 Maintenance and Production Facilities series)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</si>
  <si>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</si>
  <si>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11,383 SF.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</si>
  <si>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</si>
  <si>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1.2 yielding no elevator for the maximum number of occupants applying  the Elevator Business Rule.  Since, the Marshall and Swift building selected for this FAC includes elevators as part of the unit price, the elevator cost is deducted from the unit price.
</t>
  </si>
  <si>
    <t xml:space="preserve">An overhead crane is provided, applying the Overhead Crane Business Rule.  </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</si>
  <si>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</si>
  <si>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</si>
  <si>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</si>
  <si>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</si>
  <si>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</si>
  <si>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</si>
  <si>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</si>
  <si>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</si>
  <si>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</si>
  <si>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</si>
  <si>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11,147 SF in the 2020 RPAD.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</si>
  <si>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</si>
  <si>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</si>
  <si>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</si>
  <si>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</si>
  <si>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</si>
  <si>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</si>
  <si>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</si>
  <si>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</si>
  <si>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</si>
  <si>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Industrial, Heavy (Process) Manufacturing, Class A, Average, including craneway, HVAC and elevator (Deduct $2.51 for no included elevator)</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</si>
  <si>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</si>
  <si>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</si>
  <si>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</si>
  <si>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</si>
  <si>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</si>
  <si>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</si>
  <si>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</si>
  <si>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</si>
  <si>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</si>
  <si>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Intercontinental Ballistic Missile Processing Facility</t>
  </si>
  <si>
    <t>Industrials, Heavy (Process) Manufacturing, Class A, Average, including craneway, HVAC and elevator (Deduct $2.51 for no included elevator)</t>
  </si>
  <si>
    <t>Bridge Crane, 10 ton, span = 75 ft (2 EA)</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</si>
  <si>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</si>
  <si>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</si>
  <si>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</si>
  <si>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</si>
  <si>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The average area for this FAC is 33,754 SF.
The Occupancy Group assigned is H, High Hazard.
</t>
  </si>
  <si>
    <t xml:space="preserve">International Building Code (IBC)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</si>
  <si>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</si>
  <si>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An overhead crane is provided, applying the Overhead Crane Business Rule.  Two craneways are included in the building's unit cost.</t>
  </si>
  <si>
    <t>Graving Dry-dock</t>
  </si>
  <si>
    <t>FY11 Study for CNIC</t>
  </si>
  <si>
    <t>Ship Maintenance Dry-dock</t>
  </si>
  <si>
    <t>2021 RPCS changed FAC title from Shipping Maintenance Dry-dock to Graving Dry-dock.</t>
  </si>
  <si>
    <t>PUC with Military Cost Premium.  Survey cost data comprised of commercial assets.</t>
  </si>
  <si>
    <t xml:space="preserve">PUC is based upon a study conducted for Commander, Naval Installations Command (CNIC) in FY 2011, which appears below in full.    </t>
  </si>
  <si>
    <t>Marine Railway</t>
  </si>
  <si>
    <t>Inflated from FY2021; Service Reported PRV</t>
  </si>
  <si>
    <t>Marine Maintenance Shop</t>
  </si>
  <si>
    <t>Table 2, UFC 3-701-1, Change 8, 3 February 2021</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</si>
  <si>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</si>
  <si>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</si>
  <si>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</si>
  <si>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</si>
  <si>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</si>
  <si>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Loading dock (Shipping Dock),Structural Steel or concrete piers and frame, good lighting, 2 EA @ 144 SF</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</si>
  <si>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</si>
  <si>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</si>
  <si>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14,807 SF.
The Occupancy Group assigned is F, Factory.
</t>
  </si>
  <si>
    <t xml:space="preserve">International Building Code Group F
A fire sprinkler has been incorporated, applying the Fire Sprinkler Business Rule.
</t>
  </si>
  <si>
    <t>An overhead crane is provided, applying the Overhead Crane Business Rule.  A craneway is included in the building's unit cost.</t>
  </si>
  <si>
    <t xml:space="preserve">• MILCON Cost Premium Business rule
• Fire Sprinkler Business Rule
• M&amp;S Selection Business Rule
• Overhead Crane Business Rule
• Elevator Business Rule
</t>
  </si>
  <si>
    <t xml:space="preserve">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NOVA Technology International, “Dock Planning Standards,” 2013
</t>
  </si>
  <si>
    <t>Landing Craft Wash Facility</t>
  </si>
  <si>
    <t>Average Size from 2020 RPAD (13 Assets):  101.6 FT (length) * 48.3 SF (width) - 4,907 SF</t>
  </si>
  <si>
    <t>Surety Repair Shop</t>
  </si>
  <si>
    <t>Set Equal to FAC 2121</t>
  </si>
  <si>
    <t>FAC 2121 PUC</t>
  </si>
  <si>
    <t>Ship Propulsion Maintenance Facility</t>
  </si>
  <si>
    <t>Fixed Crane Structure</t>
  </si>
  <si>
    <t xml:space="preserve">FY21 PUC </t>
  </si>
  <si>
    <t>Vehicle Maintenance Shop</t>
  </si>
  <si>
    <t>Maintenance Shops: Military Vehicle Maintenance, Small
(&lt; 21,000 SF)</t>
  </si>
  <si>
    <t>Vehicle Maintenance Shop, Depot</t>
  </si>
  <si>
    <t>Maintenance Shops: Military Vehicle Maintenance, Large
(&gt; 21,000 SF)</t>
  </si>
  <si>
    <t>Vehicle Maintenance Shop, National Guard</t>
  </si>
  <si>
    <t>Vehicle Maintenance Shop, Reserve</t>
  </si>
  <si>
    <t>Vehicle Maintenance Facility</t>
  </si>
  <si>
    <t xml:space="preserve">USACE PAX Newsletter 3.2.2, 25 May 2022:
USACE PAX Newsletter 3.2.2, 04 January 2011                                                 </t>
  </si>
  <si>
    <t>Wash Platform (2022)</t>
  </si>
  <si>
    <t>Grease Rack (2011)</t>
  </si>
  <si>
    <t>Launch Vehicle Test Facility</t>
  </si>
  <si>
    <t xml:space="preserve">Inflated from FY2021;
Air Force provided data in 2003                                              </t>
  </si>
  <si>
    <t>Vehicle Maintenance Shed</t>
  </si>
  <si>
    <t>POL Storage Bldg. - Tactical Equipment Maintenance Facility (TEMF)</t>
  </si>
  <si>
    <t xml:space="preserve">Hazardous Waste Storage Bldg. - Tactical Equipment Maintenance Facility (TEMF) </t>
  </si>
  <si>
    <t>Weapon Maintenance Shop</t>
  </si>
  <si>
    <t>Weapon Maintenance Shop, Depot</t>
  </si>
  <si>
    <t>Section/ Page</t>
  </si>
  <si>
    <t>Structure or Feature</t>
  </si>
  <si>
    <t>Valuation</t>
  </si>
  <si>
    <t>Conversion (As Needed)</t>
  </si>
  <si>
    <t>Extended Value</t>
  </si>
  <si>
    <t>Industrials, Heavy (Process) Manufacturing Building, Class A, Average, includes craneway (Deduct $2.51 from cost for no included elevator)</t>
  </si>
  <si>
    <t>Bridge Crane, 75 FT span, 10 Ton capacity</t>
  </si>
  <si>
    <t>Overhead door, rollup, 9 FT x 9 FT (81 SF)</t>
  </si>
  <si>
    <t>Door electric operation</t>
  </si>
  <si>
    <t>Dock bumpers, horizontal, 10 LF, 2 sets</t>
  </si>
  <si>
    <t>Dock Seal, 10" projection, 2 EA</t>
  </si>
  <si>
    <t>Sprinkler Early Suppression Fast Response system and pump</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</si>
  <si>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</si>
  <si>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</si>
  <si>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The average size of this FAC is 12,260 SF. </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</si>
  <si>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</si>
  <si>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</si>
  <si>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</si>
  <si>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</si>
  <si>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Special Weapons Maintenance Shop</t>
  </si>
  <si>
    <t>Set equal to FAC 2121</t>
  </si>
  <si>
    <t xml:space="preserve">SF  </t>
  </si>
  <si>
    <t>Weapon Maintenance Facility Depot</t>
  </si>
  <si>
    <t>Industrials, Heavy (Process) Manufacturing Building, Class A, Average, includes craneway (Deduct $2.51 / SF for no included elevator)</t>
  </si>
  <si>
    <t>Bridge Crane, 50' span, 10 Ton capacity, 1 EA</t>
  </si>
  <si>
    <t>SF Conversion</t>
  </si>
  <si>
    <t>Sprinkler, 10,000 SF, Wet System, Good</t>
  </si>
  <si>
    <t>Note: crane aspect ratio = 1:2; building is approximately 75 LF x 150 LF</t>
  </si>
  <si>
    <t>Ammunition Maintenance Shop</t>
  </si>
  <si>
    <t>Bridge Crane, 50' span, 5 Ton capacity, 1 EA</t>
  </si>
  <si>
    <t>2 EA</t>
  </si>
  <si>
    <t>Shipping dock, structural steel or concrete piers, one 12' x 12' dock (144 SF)</t>
  </si>
  <si>
    <t>SF of dock</t>
  </si>
  <si>
    <t>SF dock per SF FAC</t>
  </si>
  <si>
    <t>Sprinkler, 10,000 SF, Wet System, Average</t>
  </si>
  <si>
    <t xml:space="preserve">Hazard occupancy sprinkler (Add 15% of system unit cost) </t>
  </si>
  <si>
    <t>Ammunition Maintenance Shop, Depot</t>
  </si>
  <si>
    <t>Sprinkler, 5,000 SF, Wet System, Average</t>
  </si>
  <si>
    <t xml:space="preserve">Unified Facilities Criteria (UFC) for Multi-Disciplinary and Facility Specific Design (3-101-01, Architecture, and 4-200 Maintenance and Production Facilities, do not provide guidance for this FAC.   </t>
  </si>
  <si>
    <t xml:space="preserve">The average area for this FAC is 5,411 SF.
The Occupancy Group assigned is H, Hazard.
</t>
  </si>
  <si>
    <t xml:space="preserve">No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</si>
  <si>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 xml:space="preserve">• Military Construction Cost Premium
• Fire Sprinkler Business Rule
• M&amp;S Selection Business Rule
• Overhead Crane Business Rule
• Elevator Business Rule
</t>
  </si>
  <si>
    <t>Ammunition Maintenance Facility,  Depot</t>
  </si>
  <si>
    <t>Bridge Crane, 75' span, 10 Ton capacity, 2 EA</t>
  </si>
  <si>
    <t>Sprinkler, 50,000 SF, Wet System, Good</t>
  </si>
  <si>
    <t>Electronic and Communication Maintenance Shop</t>
  </si>
  <si>
    <t>Inflation Adjustment 
by MILCON Index</t>
  </si>
  <si>
    <t>Electronics Maintenance Shop - Depot Level</t>
  </si>
  <si>
    <t>Electronic and Communication Maintenance Shop, Depot</t>
  </si>
  <si>
    <t>Electronic and Communication Maintenance Facility</t>
  </si>
  <si>
    <t>Triangular Guyed Tower, 54" Master TV systems, High Cost</t>
  </si>
  <si>
    <t>FT to EA</t>
  </si>
  <si>
    <t>22 of 25 assets in the 2020 RPAD inventory are antenna testing and  collimation testing facilities.</t>
  </si>
  <si>
    <t>Installation Support Vehicle Maintenance Shop</t>
  </si>
  <si>
    <t>Installation Support Equipment Maintenance Shop</t>
  </si>
  <si>
    <t>Railroad Equipment Shop</t>
  </si>
  <si>
    <t>Parachute And Dinghy Maintenance Shop</t>
  </si>
  <si>
    <t>Table 2, UFC 3-701-1, March 2013</t>
  </si>
  <si>
    <t xml:space="preserve">Maintenance Shops: Parachute And Dinghy Maintenance </t>
  </si>
  <si>
    <t>Installation Support Equipment Maintenance Shed</t>
  </si>
  <si>
    <t>USACE PAX Newsletter 3.2.2, 25 March 2022</t>
  </si>
  <si>
    <t>Organizational Storage Building</t>
  </si>
  <si>
    <t>Facility Engineer Maintenance Shop</t>
  </si>
  <si>
    <t>Industrial Building, Light Manufacturing, Class B, Average, not including craneway (Deduct $2.40 / SF for no included elevator)</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</si>
  <si>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</si>
  <si>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</si>
  <si>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</si>
  <si>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</si>
  <si>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</si>
  <si>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The average area of this FAC is 5,698 SF.
The International Building Code Occupancy Group assigned is F, Factory.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</si>
  <si>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</si>
  <si>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</si>
  <si>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</si>
  <si>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</si>
  <si>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</si>
  <si>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Facility Engineer Maintenance Facility</t>
  </si>
  <si>
    <t>Industrial Building, Light Manufacturing, Class B, Average, not including craneway (Deduct $2.40/ SF for no included elevator)</t>
  </si>
  <si>
    <t>Average Size taken from 11 assets in 2020 RPAD: Average Length (78.3 FT) and Average Width (46.4 FT) = 3,633 SF</t>
  </si>
  <si>
    <t>Aircraft Production Plant</t>
  </si>
  <si>
    <t>Industrial, Heavy (Process) Manufacturing, Class A, Average, including HVAC, elevator, and craneway</t>
  </si>
  <si>
    <t>Sprinkler, 80,000 SF, Dry System, Average</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</si>
  <si>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</si>
  <si>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</si>
  <si>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</si>
  <si>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</si>
  <si>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</si>
  <si>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</si>
  <si>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</si>
  <si>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The average area for this FAC is 72,026 SF.
The Occupancy Group assigned is F, Factory.
</t>
  </si>
  <si>
    <t xml:space="preserve">International Building Code (IBC) Group F.
A fire sprinkler has been incorporated, applying the Fire Sprinkler Business Rule.
</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</si>
  <si>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1.16 yielding 1 elevator for the maximum number of occupants applying  the Elevator Business Rule.  
The Marshall and Swift building selected for this FAC include 1 elevator as part of the unit price.
</t>
  </si>
  <si>
    <t>Two overhead cranes are provided, applying the Overhead Crane Business Rule; both cranes ride on one craneway.   A craneway is included in the building's unit cost.  Aspect ratio is 226 FT X 452 FT</t>
  </si>
  <si>
    <t xml:space="preserve">• M&amp;S Selection Business Rule
• Elevator Business Rule
• Fire Sprinkler Business Rule
• Overhead Crane Business Rule
• MILCON Cost Premium Business Rule
</t>
  </si>
  <si>
    <t xml:space="preserve"> Aircraft Production Structure</t>
  </si>
  <si>
    <t xml:space="preserve">Industrials, Heavy (Process) Manufacturing, Class C Mill, Average </t>
  </si>
  <si>
    <t>Sprinkler, Wet System, 2,500 SF, Average</t>
  </si>
  <si>
    <t>Missile Production Plant</t>
  </si>
  <si>
    <t>Industrial, Heavy (Process) Manufacturing, Class A, Average, including HVAC and craneway (Deduct $2.36 / SF for no included elevator)</t>
  </si>
  <si>
    <t>Bridge Crane, 10 Ton, 1 EA, Span = 75 ft</t>
  </si>
  <si>
    <t>Sprinkler, Dry System, 15,000 SF, Average</t>
  </si>
  <si>
    <t>Note:  Crane bay dimension assumed aspect ratio 1:2, 78' x 156'; see Overhead Crane Business Rule tab</t>
  </si>
  <si>
    <t>Ship Production Plant</t>
  </si>
  <si>
    <t>Industrials, Heavy (Process) Manufacturing, Class B, Average, including HVAC and craneway (Deduct $2.51 / SF for no included elevator)</t>
  </si>
  <si>
    <t>Bridge Crane, 10 Ton, 2 EA, Span = 100 ft</t>
  </si>
  <si>
    <t>Sprinkler, Dry System, 50,000 SF, Average</t>
  </si>
  <si>
    <t>Note: crane bay dimension assumed aspect ratio 1:2: 115 FT x 230 FT</t>
  </si>
  <si>
    <t>Tank/Automotive Production Plant</t>
  </si>
  <si>
    <t>Sprinkler, Dry System, 60,000 SF, Average</t>
  </si>
  <si>
    <t>Note: crane bay dimension assumed aspect ratio 179 FT x 359 FT; two crane beams assumed on one set of rails</t>
  </si>
  <si>
    <t>Tank/Automotive Production Structure</t>
  </si>
  <si>
    <t>Industrials, Heavy (Process) Manufacturing, Class C Mill, Average (Deduct $2.51 for no included elevator)</t>
  </si>
  <si>
    <t>2021 RPCS changed the FAC Title from Tank/Automotive Production Facility; no assets in the 2020 RPAD</t>
  </si>
  <si>
    <t>Weapon Production Plant</t>
  </si>
  <si>
    <t>Industrials, Heavy (Process) Manufacturing, Class A, Average, including craneway (Deduct $2.51 SF for no included elevator)</t>
  </si>
  <si>
    <t>Craneway electrical conductor assembly</t>
  </si>
  <si>
    <t>LF Conversion</t>
  </si>
  <si>
    <t>Sprinkler, Dry System, 50,000 SF, average</t>
  </si>
  <si>
    <t>Weapon Production Structure</t>
  </si>
  <si>
    <t>Sprinkler, Wet System, 40,000 SF, Good</t>
  </si>
  <si>
    <t>Ammunition Production Plant</t>
  </si>
  <si>
    <t>Industrials, Heavy (Process) Manufacturing, Class A, Average, including craneway and elevator (Deduct $2.51 for no included elevator)</t>
  </si>
  <si>
    <t>Bridge Crane, 10 Ton capacity, 1 EA, Span = 50 ft</t>
  </si>
  <si>
    <t>Sprinkler, Dry System, 10,000 SF, Average</t>
  </si>
  <si>
    <t>Note: crane bay dimension assumed aspect ratio 57 FT x 114 FT</t>
  </si>
  <si>
    <t>2021 RPCS changed the name from Ammunition Production Plant</t>
  </si>
  <si>
    <t>Ammunition Production Facility</t>
  </si>
  <si>
    <t>Industrials, Heavy (Process) Manufacturing, Class A, Average, including craneway (Deduct $2.51 for no included elevator)</t>
  </si>
  <si>
    <t>Ammunition Demilitarization Plant</t>
  </si>
  <si>
    <t>USACE PAX Newsletter 3.2.2, 20 Mar 2009</t>
  </si>
  <si>
    <t>Ammunition Demilitarization Facility</t>
  </si>
  <si>
    <t>Site Clearing &amp; Grading - Borrow: Common Fill, Spread, no Compaction</t>
  </si>
  <si>
    <t>Backfill and Compaction, Dozer Backfill, Roller Compaction in One 12" Layer</t>
  </si>
  <si>
    <t>Fine Grading for Small Irregular Areas, To 15,000 SY</t>
  </si>
  <si>
    <t>Bank Run Gravel, Spread with 200 HP Dozer, no Compaction, 8" lift</t>
  </si>
  <si>
    <t>Electronic and Communication Production Plant</t>
  </si>
  <si>
    <t xml:space="preserve">Industrials, Light Manufacturing, Class B, Average, including elevator; no craneway included (Deduct $2.40 for no included elevator) </t>
  </si>
  <si>
    <t>Miscellaneous Support Production Plant</t>
  </si>
  <si>
    <t>Bridge Crane, 10 Ton capacity, 50 FT span, 1 EA</t>
  </si>
  <si>
    <t>Craneway, 144 LF x 2 = 288 LF</t>
  </si>
  <si>
    <t>Construction Material Production Structure</t>
  </si>
  <si>
    <t>Marshall and Swift Valuation, October 2017</t>
  </si>
  <si>
    <t>Inflation Adjustment - MILCON Index</t>
  </si>
  <si>
    <t>14/41</t>
  </si>
  <si>
    <t>Asphalt Plant, assume 180 tons / hour (TH) production rate (Class Average)</t>
  </si>
  <si>
    <t>TH</t>
  </si>
  <si>
    <t>RDT&amp;E Laboratory</t>
  </si>
  <si>
    <t>Laboratory  Building, Class A/B, Average, with complete HVAC, including elevator</t>
  </si>
  <si>
    <t>HVAC for Labs, Moderate Climate, Average</t>
  </si>
  <si>
    <t>Sprinkler, Dry System, 20,000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</si>
  <si>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</si>
  <si>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</si>
  <si>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The average area for this FAC is 16,490 SF.
IBC Group B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</si>
  <si>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</si>
  <si>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</si>
  <si>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</si>
  <si>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Footnote</t>
  </si>
  <si>
    <t>Medical Research Laboratory</t>
  </si>
  <si>
    <t>Fume hood air &amp; ventilation</t>
  </si>
  <si>
    <t>Sprinkler, Dry System, 40,000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</si>
  <si>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</si>
  <si>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35,389 SF
IBC Group B
</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</si>
  <si>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</si>
  <si>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</si>
  <si>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</si>
  <si>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</si>
  <si>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Laboratory  Building, Class A/B, Average, with complete HVAC, including elevator (Deduct $2.64 for no included elevator)</t>
  </si>
  <si>
    <t xml:space="preserve">Fume Hood air &amp; ventilation </t>
  </si>
  <si>
    <t>52/6</t>
  </si>
  <si>
    <t>Clean Room, 100-10 microns, prefabricated hardwall,  400 SF;   Assume 6 clean rooms</t>
  </si>
  <si>
    <t>Biosafety Level 4 Laboratory</t>
  </si>
  <si>
    <t>Clean Room, 100-10 microns, prefabricated hardwall, 300 SF;   Assume 1 clean room</t>
  </si>
  <si>
    <t>Sprinkler, Dry System, 2500 SF, Average</t>
  </si>
  <si>
    <t>There is one (1) asset for FAC 3104 in the 2020 RPAD.</t>
  </si>
  <si>
    <t>Aircraft RDT&amp;E Facility</t>
  </si>
  <si>
    <t xml:space="preserve">USACE PAX Newsletter 3.2.2, 25 May 2022                                                       </t>
  </si>
  <si>
    <t>Chemistry Lab (USACE PAX Newsletter, 20 March 2009)</t>
  </si>
  <si>
    <t>Aircraft Maintenance Hangar, General Purpose, up to 40 FT high</t>
  </si>
  <si>
    <t>Aircraft Component Repair Shop (USACE PAX Newsletter, 24 July 2014)</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</si>
  <si>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</si>
  <si>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</si>
  <si>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</si>
  <si>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</si>
  <si>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</si>
  <si>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Bridge Crane, 10 ton, span = 75 LF, 2 EA</t>
  </si>
  <si>
    <t>Craneway, 200 LF x 2 = 400 LF</t>
  </si>
  <si>
    <t>Overhead door, roll-up, 9'x9' door, 81 SF/door, 3 EA</t>
  </si>
  <si>
    <t>Overhead door electric operator, 3 EA</t>
  </si>
  <si>
    <t>Dock bumpers, 10 LF, 3 EA</t>
  </si>
  <si>
    <t>Dock leveler, hydraulic, 3 EA</t>
  </si>
  <si>
    <t>Dock seal, 10" projection, 3 EA</t>
  </si>
  <si>
    <t>Dock shelter, 3 EA</t>
  </si>
  <si>
    <t xml:space="preserve">Unified Facilities Criteria (UFC) for Multi-Disciplinary and Facility Specific Design (3-101-01 Architecture; and 4-300 RDT&amp;E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</si>
  <si>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</si>
  <si>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23,353 SF.
The Occupancy Group assigned is B, Business.
</t>
  </si>
  <si>
    <t xml:space="preserve">International Building Code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</si>
  <si>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</si>
  <si>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not included in the building's unit cost.</t>
  </si>
  <si>
    <t>Tank and Automotive RDT&amp;E Facility</t>
  </si>
  <si>
    <t>Industrial, Engineering (Research &amp; Development) Building, Class B, Average, including elevator (Deduct $2.48/SF for no included elevator)</t>
  </si>
  <si>
    <t>Bridge Crane, 10 ton, span = 75 LF</t>
  </si>
  <si>
    <t>Craneway, 175 LF x 2 = 350 LF</t>
  </si>
  <si>
    <t>Overhead door, roll-up, 9 FT x 9 FT door, 81 SF/door</t>
  </si>
  <si>
    <t>Overhead door electric operator</t>
  </si>
  <si>
    <t>Dock bumpers, 10 lf, 3 EA</t>
  </si>
  <si>
    <t>Weapons RDT&amp;E Facility</t>
  </si>
  <si>
    <t>Extended Price</t>
  </si>
  <si>
    <t xml:space="preserve">Laboratory  Building, Class A/B, Average, with complete HVAC, including elevator </t>
  </si>
  <si>
    <t>Bridge Crane, 10 Ton, 1 EA, Span = 50 FT</t>
  </si>
  <si>
    <t>Craneway, 10 Ton, 75 LF x 2 = 150 LF</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</si>
  <si>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</si>
  <si>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</si>
  <si>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</si>
  <si>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</si>
  <si>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</si>
  <si>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</si>
  <si>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</si>
  <si>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</si>
  <si>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</si>
  <si>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The average area for this FAC is 10,754 SF.
The building use category is H, Hazardous
</t>
  </si>
  <si>
    <t xml:space="preserve">UFC 1-200-01 and UFC 3-600-01 require compliance with the IBC.  
IBC Group H
Fire suppression has been included in this Replacement Unit Cost, consistent with the Fire Sprinkler Business Rule.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</si>
  <si>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Average number of floors above ground is 1.54, yielding 1 elevator in consonance with the Elevator Business Rules.
</t>
  </si>
  <si>
    <t>A bridge crane has been incorporated into the replacement unit cost in consonance with the Overhead Crane Business Rule.   A craneway is not included in the building's unit cost.</t>
  </si>
  <si>
    <t>Ammunition, Explosive and Toxic RDT&amp;E Facility</t>
  </si>
  <si>
    <t>Laboratory  Building, Class A/B, Average, with complete HVAC, including elevator (Deduct $2.64 SF for no included elevator)</t>
  </si>
  <si>
    <t>Bridge Crane, 10 Ton, Span = 30 FT</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</si>
  <si>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</si>
  <si>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</si>
  <si>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</si>
  <si>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</si>
  <si>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</si>
  <si>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</si>
  <si>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</si>
  <si>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3,466 SF.
IBC Group H, Hazard
</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</si>
  <si>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</si>
  <si>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</si>
  <si>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</si>
  <si>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</si>
  <si>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Electronic and Communication RDT&amp;E Facility</t>
  </si>
  <si>
    <t>Industrial, Engineering (Research &amp; Development) Building, Class B, Average, including elevator (Deduct $2.64/SF for no included elevator)</t>
  </si>
  <si>
    <t>Overhead door, roll-up, 81 SF/door</t>
  </si>
  <si>
    <t>Dock bumpers, 10 LF, 2 EA</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</si>
  <si>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</si>
  <si>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</si>
  <si>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The average area for this FAC is 10.819 SF.
The Occupancy Group assigned is B, Business.
</t>
  </si>
  <si>
    <t xml:space="preserve">International Building Code (IBC)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</si>
  <si>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1.38, yielding 0 elevators for the maximum number of occupants applying  the Elevator Business Rule.  
</t>
  </si>
  <si>
    <t>No overhead crane is provided, applying the Overhead Crane Business Rule.   A craneway is not included in the building's unit cost.</t>
  </si>
  <si>
    <t xml:space="preserve">No UFC criteria exist for component material </t>
  </si>
  <si>
    <t>Propulsion RDT&amp;E Facility</t>
  </si>
  <si>
    <t>RPAD Average  Size</t>
  </si>
  <si>
    <t>Laboratory  Building, Class A/B, Average, with complete HVAC (Deduct $2.64/SF for no included elevator)</t>
  </si>
  <si>
    <t>Bridge Crane, 10 Ton, 1 ea., Span = 50 ft</t>
  </si>
  <si>
    <t xml:space="preserve">LF to UM </t>
  </si>
  <si>
    <t>Craneway, 10 Ton, 120 LF x 2</t>
  </si>
  <si>
    <t>Overhead door roll-up, std. = 81 SF</t>
  </si>
  <si>
    <t>Dock bumpers, 10 LF, 1 set</t>
  </si>
  <si>
    <t>Dock seal, 10 " projection</t>
  </si>
  <si>
    <t>Sprinkler, Wet System, 10,000 SF, Average</t>
  </si>
  <si>
    <t>Hazard occupancy sprinkler (add 15% to sprinkler cost)</t>
  </si>
  <si>
    <t>Note: "Section" refers to the A2257:L2265Marshall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</si>
  <si>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</si>
  <si>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The average area for this FAC is 10,499 SF.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</si>
  <si>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</si>
  <si>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</si>
  <si>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A bridge crane has been incorporated into the replacement unit cost in consonance with the Overhead Crane Business Rule.  A craneway is not included in the building's unit cost.</t>
  </si>
  <si>
    <t>Miscellaneous Item and Equipment RDT&amp;E Facility</t>
  </si>
  <si>
    <t>Industrial, Engineering (Research &amp; Development) Building, Class B, Average, including elevator (Deduct $2.64 for no included elevator)</t>
  </si>
  <si>
    <t>Bridge crane, 10 TN, 50 FT span</t>
  </si>
  <si>
    <t>Craneway, 10 TN, 100 FT x 2 = 200 FT</t>
  </si>
  <si>
    <t>Dock bumpers, 10 lf, 1 EA</t>
  </si>
  <si>
    <t>Dock leveler, hydraulic, 1 EA</t>
  </si>
  <si>
    <t>Dock seal, 10" projection, 1 EA</t>
  </si>
  <si>
    <t>Dock shelter, 1 EA</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</si>
  <si>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</si>
  <si>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</si>
  <si>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The average area for this FAC is 10,153 SF.
The Occupancy Group assigned is B, Business.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</si>
  <si>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</si>
  <si>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1.3 yielding 0 elevators for the maximum number of occupants, applying the Elevator Business Rule.  
</t>
  </si>
  <si>
    <t>One overhead crane is provided, applying the Overhead Crane Business Rule.  A craneway is not included in the building's unit cost.</t>
  </si>
  <si>
    <t>Underwater RDT&amp;E Facility</t>
  </si>
  <si>
    <t>Bridge crane, 10 Ton, 50 FT span</t>
  </si>
  <si>
    <t>Craneway, 10 Ton, 100 FT x 2 = 200 FT</t>
  </si>
  <si>
    <t>Craneway electrical conductor assembly, 200 LF</t>
  </si>
  <si>
    <t>Dock bumpers, 10 LF,  1EA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</si>
  <si>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</si>
  <si>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</si>
  <si>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10,205 SF.
The Occupancy Group assigned is B, Business.
</t>
  </si>
  <si>
    <t xml:space="preserve">International Building Code Group B.  A  fire sprinkler has been incorporated.
</t>
  </si>
  <si>
    <t>RDT&amp;E Technical Service Facility</t>
  </si>
  <si>
    <t xml:space="preserve"> Set Equal to FAC 3101</t>
  </si>
  <si>
    <t>FAC 3101</t>
  </si>
  <si>
    <t>RDT&amp;E Range Building</t>
  </si>
  <si>
    <t>USACE PAX Newsletters 3.2.2, 25 May 2022</t>
  </si>
  <si>
    <t>Range Classroom Building</t>
  </si>
  <si>
    <t xml:space="preserve">Mission Command Training Center </t>
  </si>
  <si>
    <t>RDT&amp;E Range Facility</t>
  </si>
  <si>
    <t>Underground Administrative Facility (USACE PAX Newsletter, 20 March 2009)</t>
  </si>
  <si>
    <t>Control Tower - open observation deck (USACE PAX Newsletter,
4 April 2017)</t>
  </si>
  <si>
    <t>FAC 1321</t>
  </si>
  <si>
    <t>Communications Facility (Marshall and Swift Valuation, October 2021</t>
  </si>
  <si>
    <t>RDT&amp;E Range Complex</t>
  </si>
  <si>
    <t>Combined ROC/AAR-Digital Range (USACE PAX Newsletter, 04 January 2011)</t>
  </si>
  <si>
    <t>Underground Administrative Facility (USACE PAX Newsletter, 20 Mar 2009)</t>
  </si>
  <si>
    <t>Control Tower - open observation deck (USACE PAX Newsletter,
21 May 2021)</t>
  </si>
  <si>
    <t>8" Thick Reinforced Concrete Pavement, 4,500 PSI, 12-FT pass (USACE PAX Newsletter, 21 May 2021)</t>
  </si>
  <si>
    <t>Communications Facility (Marshall and Swift Valuation / October 2021)</t>
  </si>
  <si>
    <t>Miscellaneous RDT&amp;E Facility</t>
  </si>
  <si>
    <t xml:space="preserve"> Set Equal to FAC 3712</t>
  </si>
  <si>
    <t>FAC 3712</t>
  </si>
  <si>
    <t>RDT&amp;E Area</t>
  </si>
  <si>
    <t xml:space="preserve"> No Replacement Cost Defined</t>
  </si>
  <si>
    <t>Aerodynamic Wind Tunnel</t>
  </si>
  <si>
    <t>Inflated from FY2021; Arnold AFB and
HQ AF/ILEP data, November 2000</t>
  </si>
  <si>
    <t>Construction of new Wind Tunnel</t>
  </si>
  <si>
    <t>Cost from Contract award 47PD0321C0004; construction of Flight Dynamics Research Facility, NASA Langley Research Center, Hampton, VA; September 2021</t>
  </si>
  <si>
    <t>Propulsion Engine Test Cell</t>
  </si>
  <si>
    <t>MILCON</t>
  </si>
  <si>
    <t>Engine Test Cell</t>
  </si>
  <si>
    <t>NA</t>
  </si>
  <si>
    <t>Military Cost Premium not applied as cost derived from MILCON</t>
  </si>
  <si>
    <t>Cost from MILCON project P-670, Construct Jet Engine Test Cell, MCAS New River, FY2008.
Area Cost Factor for Arlington, VA, derived from UFC 3-701-01, 17 March 2022, Table 4-1</t>
  </si>
  <si>
    <t xml:space="preserve">Bulk Liquid Fuel Storage </t>
  </si>
  <si>
    <t>BL</t>
  </si>
  <si>
    <t>PACES 1.4</t>
  </si>
  <si>
    <t>G3060032505</t>
  </si>
  <si>
    <t>Tank, 6558200 L (55000 bbl), Vertical Abv Grd Tank</t>
  </si>
  <si>
    <t>2021 RPAD Average size = 193,936 BL</t>
  </si>
  <si>
    <t xml:space="preserve">Large Bulk Liquid Fuel Storage </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</si>
  <si>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</si>
  <si>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</si>
  <si>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</si>
  <si>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</si>
  <si>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</si>
  <si>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</si>
  <si>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</si>
  <si>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</si>
  <si>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</si>
  <si>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</si>
  <si>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</si>
  <si>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</si>
  <si>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</si>
  <si>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2021 RPAD Average size = 98,843 BL</t>
  </si>
  <si>
    <t>Small Bulk Storage</t>
  </si>
  <si>
    <t>61/6</t>
  </si>
  <si>
    <t>Above Ground Fuel Storage, 1,000 GA, double wall</t>
  </si>
  <si>
    <t>EA to GA</t>
  </si>
  <si>
    <t xml:space="preserve">Horizontal Bulk Storage, 1,500 GA </t>
  </si>
  <si>
    <t>Backfill and Compaction, confined area , medium earth</t>
  </si>
  <si>
    <t>CY to GA</t>
  </si>
  <si>
    <t>53/10</t>
  </si>
  <si>
    <t>Water Well, w/o pump, 130' deep, 5" casing, Average, assume 2 monitoring wells</t>
  </si>
  <si>
    <t>FT to GA</t>
  </si>
  <si>
    <t xml:space="preserve">Geotextile Fabric </t>
  </si>
  <si>
    <t>SY to GA</t>
  </si>
  <si>
    <t>Containment berm assume 60' x 6' x 8' = 2,880 CF = 106.7 CY; for Geotextile fabric area:  1,320 SF = 146.7 SY</t>
  </si>
  <si>
    <t>Bulk Liquid Storage, Other Than Fuel</t>
  </si>
  <si>
    <t>61/3</t>
  </si>
  <si>
    <t>Bolted Steel Water Tank, 30,000 GA</t>
  </si>
  <si>
    <t>GA/EA</t>
  </si>
  <si>
    <t>Aboveground Pre-stressed Concrete Tank, Ground Water Storage Tanks</t>
  </si>
  <si>
    <t>Liquid Fuel Storage Tank - Bulk AGST (Reference Size: 105,000 BL)</t>
  </si>
  <si>
    <t>GA/BL</t>
  </si>
  <si>
    <t>Liquid Oxygen Storage</t>
  </si>
  <si>
    <t>FAC 4122</t>
  </si>
  <si>
    <t>Ammunition Storage, Depot and Arsenal</t>
  </si>
  <si>
    <t>Hi Explosive Magazine w/Crane</t>
  </si>
  <si>
    <t>Ammunition Storage, Installation</t>
  </si>
  <si>
    <t>USACE PAX Newsletter 3.2.2, 30 May 2018</t>
  </si>
  <si>
    <t>General Purpose Magazine w/o Crane</t>
  </si>
  <si>
    <t>Ammunition Storage Shed, Installation</t>
  </si>
  <si>
    <t>USACE PAX Newsletter 3.2.2, 20 May 2020</t>
  </si>
  <si>
    <t>Storage Shed (Covered, not Enclosed)</t>
  </si>
  <si>
    <t>Liquid Propellant Storage, Ammunition Related</t>
  </si>
  <si>
    <t>Welded Steel Pressure Tank, 20,000 GA</t>
  </si>
  <si>
    <t>SF to GA  Conversion</t>
  </si>
  <si>
    <t>Battery Storage, Weapon Related</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</si>
  <si>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</si>
  <si>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</si>
  <si>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</si>
  <si>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</si>
  <si>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</si>
  <si>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</si>
  <si>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</si>
  <si>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</si>
  <si>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</si>
  <si>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</si>
  <si>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The average area for this FAC is 1,822 SY.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</si>
  <si>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</si>
  <si>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</si>
  <si>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</si>
  <si>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</si>
  <si>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UFC 3-600-01, "Fire Protection Engineering for Facilities," 08 August 2016 with Change 6, 6 May 2021</t>
  </si>
  <si>
    <t>Cold Storage, Depot</t>
  </si>
  <si>
    <t>14/24</t>
  </si>
  <si>
    <t>Cold Storage Facility, Class A/B, Average</t>
  </si>
  <si>
    <t>Complete HVAC, Excellent, Sharp Freeze, Extreme Climate</t>
  </si>
  <si>
    <t>Sprinkler, dry, 30,000 SF, Average</t>
  </si>
  <si>
    <t>Cold Storage, Installation</t>
  </si>
  <si>
    <t>Complete HVAC, Good,  Chiller/Freezer, Extreme Climate</t>
  </si>
  <si>
    <t>Sprinkler, dry, 10,000 SF, average</t>
  </si>
  <si>
    <t>Covered Storage Building, Depot</t>
  </si>
  <si>
    <t>Table 2, UFC 3-701-1, 23 May 2018</t>
  </si>
  <si>
    <t>Warehouse/Storage Facilities: Storage Building - Large (&gt; 15,000 SF), High Bay (Stack Height &gt; 16 FT)</t>
  </si>
  <si>
    <t>Covered Storage Shed, Depot</t>
  </si>
  <si>
    <t>USACE PAX Newsletter 3.2.2, 20 March 2020</t>
  </si>
  <si>
    <t>Hazardous Materials Storage, Depot</t>
  </si>
  <si>
    <t>Table 2, UFC 3-701-1, Change 5, October 2012</t>
  </si>
  <si>
    <t>Warehouse/Storage Facilities:  Hazardous / Flammable Storage</t>
  </si>
  <si>
    <t>Controlled Humidity Storage, Depot</t>
  </si>
  <si>
    <t>Cold Storage Facility, Class A/B, Average, Moderate Climate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</si>
  <si>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</si>
  <si>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</si>
  <si>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</si>
  <si>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</si>
  <si>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</si>
  <si>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</si>
  <si>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21,481 SF, based on 374 records in the 2021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</si>
  <si>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</si>
  <si>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</si>
  <si>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</si>
  <si>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</si>
  <si>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</si>
  <si>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</si>
  <si>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</si>
  <si>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</si>
  <si>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(Use same unit cost as CATCODE 21470, Hazardous Waste Storage -  TEMF)</t>
  </si>
  <si>
    <t>Per UM</t>
  </si>
  <si>
    <t>No. of Docks or SF door</t>
  </si>
  <si>
    <t>Overhead door, roll-up, standard 9 FT x 9 FT' door, 6 EA @ 81 SF</t>
  </si>
  <si>
    <t>per SF-door</t>
  </si>
  <si>
    <t>Overhead door, electric operator</t>
  </si>
  <si>
    <t>Dock bumper, horizontal, 10 FT length each door</t>
  </si>
  <si>
    <t>Dock seal, 10-inch projection</t>
  </si>
  <si>
    <t>Sprinkler, Dry System, 20,000K SF, Average</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</si>
  <si>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</si>
  <si>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</si>
  <si>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The average area of this FAC is 21,319 SF, based on the 2020 RPAD.
The International Building Code (IBC) Occupancy Group assigned is B, Business.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</si>
  <si>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</si>
  <si>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1.04; applying the Elevator Business Rule, no elevator is incorporated. 
</t>
  </si>
  <si>
    <t>Vehicle Storage, Covered</t>
  </si>
  <si>
    <t>14/34</t>
  </si>
  <si>
    <t>Storage Garage, Class A-B, Average</t>
  </si>
  <si>
    <t>Storage Silo, Loose Material</t>
  </si>
  <si>
    <t>17/16</t>
  </si>
  <si>
    <t>Material Storage Building, Class S, Average</t>
  </si>
  <si>
    <t>Small Arms Storage, Installation</t>
  </si>
  <si>
    <t>Armory / Weapons Storage Facility</t>
  </si>
  <si>
    <t>Storage and Customer Issue</t>
  </si>
  <si>
    <t>13/28</t>
  </si>
  <si>
    <t>Discount Store, Class A-B, Average</t>
  </si>
  <si>
    <t>13/40</t>
  </si>
  <si>
    <t>Sprinkler, Wet System, 15,000 SF, Average</t>
  </si>
  <si>
    <t>Class B Facility selected for M&amp;S current cost and local multipliers</t>
  </si>
  <si>
    <t>Open Storage, Depot</t>
  </si>
  <si>
    <t>Average Asphalt and Concrete Unit Costs</t>
  </si>
  <si>
    <t>Open Storage, Installation</t>
  </si>
  <si>
    <t>Hospital</t>
  </si>
  <si>
    <t>Inpatient Hospital/Medical Center</t>
  </si>
  <si>
    <t>Varies</t>
  </si>
  <si>
    <t>Medical Laboratory</t>
  </si>
  <si>
    <t>Laboratory Building, Class A-B, Average, including elevators</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</si>
  <si>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</si>
  <si>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</si>
  <si>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</si>
  <si>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The average area for this FAC is 11,372 SF.  
IBC Business Group B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</si>
  <si>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</si>
  <si>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</si>
  <si>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Morgue</t>
  </si>
  <si>
    <t>11/32</t>
  </si>
  <si>
    <t>Mortuary/Funeral Home, Class A-B, Average</t>
  </si>
  <si>
    <t>11/35</t>
  </si>
  <si>
    <t>Veterinary Facility</t>
  </si>
  <si>
    <t>15/28</t>
  </si>
  <si>
    <t>Veterinary Hospital, Class A-B, Average, including elevator (Deduct $4.32/SF for no included elevator)</t>
  </si>
  <si>
    <t>Sprinkler, Wet System, 5,000 SF, Average</t>
  </si>
  <si>
    <t>Medical Warehouse</t>
  </si>
  <si>
    <t>Cold Storage Facility, Class A-B, Average</t>
  </si>
  <si>
    <t>HVAC, Controlled Atmosphere Environmental Buildings, Fruits-Conditioned Air, Moderate Climate</t>
  </si>
  <si>
    <t>Ambulance Shelter</t>
  </si>
  <si>
    <t>Storage Garage, Class B, Average, including elevator</t>
  </si>
  <si>
    <t>Dental Facility</t>
  </si>
  <si>
    <t>Dental Clinic</t>
  </si>
  <si>
    <t>Dispensary And Clinic</t>
  </si>
  <si>
    <t>Medical Clinic (Small, Free Standing &lt; 60,000 SF)</t>
  </si>
  <si>
    <t>Ambulatory Care Clinic</t>
  </si>
  <si>
    <t>Table 2, UFC 3-701-1, Change 5, 3 February 2020</t>
  </si>
  <si>
    <t>Medical Clinic (Large, Free Standing &gt; 60,000 SF)</t>
  </si>
  <si>
    <t>General Administrative Building</t>
  </si>
  <si>
    <t>Administrative Facilities: Multi-Purpose Admin</t>
  </si>
  <si>
    <t>Small Unit Headquarters Building</t>
  </si>
  <si>
    <t>Headquarters/Operations Buildings: Company Level (Lowest Level)</t>
  </si>
  <si>
    <t>Large Unit Headquarters Building</t>
  </si>
  <si>
    <t>Headquarters/Operations Buildings: Brigade/Division Wing HQs
(Upper Level)</t>
  </si>
  <si>
    <t>Printing And Reproduction Plant</t>
  </si>
  <si>
    <t>Industrial, Light Manufacturing, Class B, Average</t>
  </si>
  <si>
    <t>Automated Data Processing Center</t>
  </si>
  <si>
    <t>Table 2, UFC 3-701-1, Change 10, May 2016</t>
  </si>
  <si>
    <t>Administrative Facilities, Data Processing Area Facility (Includes Admin and Storage)</t>
  </si>
  <si>
    <t>Pentagon</t>
  </si>
  <si>
    <t>FY21 PUC</t>
  </si>
  <si>
    <t>Remote Delivery Facility</t>
  </si>
  <si>
    <t>Engineering/Housing Maintenance Shop</t>
  </si>
  <si>
    <t>WHS CATCode is 219252, Engineer Maintenance Facility/Remote Delivery Facility</t>
  </si>
  <si>
    <t>General Administrative Building, High-Rise</t>
  </si>
  <si>
    <t>15/17</t>
  </si>
  <si>
    <t>Office Building, Class A, Good, including elevators</t>
  </si>
  <si>
    <t>Multistory Premium; 1/2% for each story over 3 (Assumed number of stories = 16)</t>
  </si>
  <si>
    <t>Sprinkler, Wet System, 300,000 SF, Good</t>
  </si>
  <si>
    <t>Administrative Building, Underground</t>
  </si>
  <si>
    <t>USACE PAX Newsletter 3.2.2, 20 March 2009</t>
  </si>
  <si>
    <t>Underground Administrative Facility</t>
  </si>
  <si>
    <t>Alternate Joint Communications Center</t>
  </si>
  <si>
    <t>Table 2, UFC 3-701-1, 17 March 2022
USACE PAX Newsletter 3.2.2, 20 March 2009</t>
  </si>
  <si>
    <t>Communications Buildings:  Communications Facility</t>
  </si>
  <si>
    <t>NA;  GUCs are as of October 2020</t>
  </si>
  <si>
    <t>Underground Administrative Facility (USACE PAX Newsletter 3.2.2, 20 March 2009)</t>
  </si>
  <si>
    <t>Administrative Structure, Other Than Buildings</t>
  </si>
  <si>
    <t>Flagpole, 50', Tapered Aluminum, Concrete Foundation</t>
  </si>
  <si>
    <t>66/5</t>
  </si>
  <si>
    <t>Scoreboard, Outdoor, &gt;75 SF</t>
  </si>
  <si>
    <t>64/3</t>
  </si>
  <si>
    <t>Poles for Scoreboard, 8 IN diameter, 15 FT, 2 EA</t>
  </si>
  <si>
    <t>Sub-total Scoreboard and Poles</t>
  </si>
  <si>
    <t>Average of Scoreboard and Flagpole</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</si>
  <si>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</si>
  <si>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</si>
  <si>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</si>
  <si>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</si>
  <si>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</si>
  <si>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Senior NCO, Grade E9, 3 Bedrooms</t>
  </si>
  <si>
    <t>Senior NCO, Grade E7&amp;E8, 3 Bedrooms</t>
  </si>
  <si>
    <t>Junior NCO/Enlisted, Grade E1 - E6, 4 Bedrooms</t>
  </si>
  <si>
    <t>Average Reference Size</t>
  </si>
  <si>
    <t>Family Housing High Rise Building</t>
  </si>
  <si>
    <t xml:space="preserve">Enlisted Family Housing - OCONUS </t>
  </si>
  <si>
    <t>Family Housing Individual Trailer Site</t>
  </si>
  <si>
    <t>Space Modifier
(40 Spaces)</t>
  </si>
  <si>
    <t>63/3</t>
  </si>
  <si>
    <t>Manufactured Housing Park, Average, including utilities, grading, engineering</t>
  </si>
  <si>
    <t>SPACE</t>
  </si>
  <si>
    <t>SPACE to SY</t>
  </si>
  <si>
    <t>Marshall and Swift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</si>
  <si>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</si>
  <si>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</si>
  <si>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</si>
  <si>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</si>
  <si>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</si>
  <si>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</si>
  <si>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Concrete Slab, unreinforced, 100 SF </t>
  </si>
  <si>
    <t>Miscellaneous Family Housing Support Facility</t>
  </si>
  <si>
    <t>17/12</t>
  </si>
  <si>
    <t>Light Commercial Utility Building, Class C, Average</t>
  </si>
  <si>
    <t>Sprinkler, 2500 SF, Wet System, Average</t>
  </si>
  <si>
    <t>Trailer Court Support Facility</t>
  </si>
  <si>
    <t>Office Building, Class C, Average</t>
  </si>
  <si>
    <t>Sprinkler, 3,000 SF, Wet System,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</si>
  <si>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</si>
  <si>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</si>
  <si>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</si>
  <si>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</si>
  <si>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</si>
  <si>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</si>
  <si>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</si>
  <si>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</si>
  <si>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</si>
  <si>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 xml:space="preserve">Unaccompanied Personnel Housing: Barracks - Student Dorms, Advance Training </t>
  </si>
  <si>
    <t>Unaccompanied Housing for Wounded Warriors</t>
  </si>
  <si>
    <t>15/26</t>
  </si>
  <si>
    <t>Convalescent Hospital, Class B, Average, with Elevators</t>
  </si>
  <si>
    <t>Sprinkler, Wet System, average, 75,000 SF</t>
  </si>
  <si>
    <t>Overhead door, roll-up, 81 SF/door (9' X 9'), 2 EA</t>
  </si>
  <si>
    <t>Overhead door electrical operator</t>
  </si>
  <si>
    <t>Dock bumpers, horizontal, 10 LF/door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</si>
  <si>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</si>
  <si>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</si>
  <si>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</si>
  <si>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The average area for this FAC is 63,6780 SF.  
Classified as International Building Code (IBC) Group I (Institutional).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</si>
  <si>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</si>
  <si>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Four (4)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</si>
  <si>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</si>
  <si>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</si>
  <si>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Table 2, UFC 3-701-1, 17 Mach 2022</t>
  </si>
  <si>
    <t xml:space="preserve">Unaccompanied Personnel Housing:  Barracks - Student Dormitories, Advance Training </t>
  </si>
  <si>
    <t>Dining Facility</t>
  </si>
  <si>
    <t>Dining Facility, Enlisted Dining (includes kitchen equipment and installation)</t>
  </si>
  <si>
    <t>Miscellaneous UPH Support Building</t>
  </si>
  <si>
    <t>13/25</t>
  </si>
  <si>
    <t>Laundromat, Class C, Average</t>
  </si>
  <si>
    <t>11/14</t>
  </si>
  <si>
    <t>Dormitory, Class C, Average, including elevator (Deduct $4.56/SF for no included elevator)</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</si>
  <si>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</si>
  <si>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</si>
  <si>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</si>
  <si>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</si>
  <si>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3,329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</si>
  <si>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</si>
  <si>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</si>
  <si>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</si>
  <si>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</si>
  <si>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</si>
  <si>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</si>
  <si>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Table 2, UFC 3-701-1, 1 March 2022</t>
  </si>
  <si>
    <t xml:space="preserve">Parking Garage / Building </t>
  </si>
  <si>
    <t>NA;  GUCs are as of October, 2021</t>
  </si>
  <si>
    <t>Dining Support Facility</t>
  </si>
  <si>
    <t>13/15</t>
  </si>
  <si>
    <t>Restaurants/Cafeterias, Class C, Average</t>
  </si>
  <si>
    <t>Latrine/Shower Facility</t>
  </si>
  <si>
    <t>Shower Room Building, Class C, Average</t>
  </si>
  <si>
    <t>Miscellaneous UPH Support Facility</t>
  </si>
  <si>
    <t>64/4</t>
  </si>
  <si>
    <t>Car Wash Canopy, Class CDS, Average</t>
  </si>
  <si>
    <t>Assumed Size: 40 FT x 20FT</t>
  </si>
  <si>
    <t>Unaccompanied Personnel Housing Carport</t>
  </si>
  <si>
    <t>Officer Unaccompanied Personnel Housing</t>
  </si>
  <si>
    <t>Table 2, UFC 3-701-1 as of April 2017</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</si>
  <si>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</si>
  <si>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</si>
  <si>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</si>
  <si>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</si>
  <si>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</si>
  <si>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</si>
  <si>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</si>
  <si>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</si>
  <si>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</si>
  <si>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Enlisted Unaccompanied Personnel Housing (EUPH)
Tent Pad</t>
  </si>
  <si>
    <t xml:space="preserve">Inflation Adjustment by MILCON Index 
</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</si>
  <si>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</si>
  <si>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</si>
  <si>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</si>
  <si>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</si>
  <si>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</si>
  <si>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</si>
  <si>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Fire Station, Community</t>
  </si>
  <si>
    <t>N/A; GUCs are as of October 2021</t>
  </si>
  <si>
    <t>Prison/Confinement Facility</t>
  </si>
  <si>
    <t>Correctional Facility, Class C, Average; does not include elevator</t>
  </si>
  <si>
    <t>Overhead door, Rollup, Manual Operation, 81 SF/door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</si>
  <si>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</si>
  <si>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</si>
  <si>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</si>
  <si>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</si>
  <si>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</si>
  <si>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</si>
  <si>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</si>
  <si>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The average area for this FAC is 15,884 SF.  
This type of facility is classified by International Building Code (IBC) as Group I-3, Institutional Prisons, Jails, Detention Centers, etc.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</si>
  <si>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</si>
  <si>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No elevators have been included in consonance with the Elevator Business Rule.  The average number of stories for this FAC is 1.26.
The ACA Design Guide identifies the incorporation of a truck loading dock for use by the maintenance department, for supplies deliveries and sanitation (laundry) .
</t>
  </si>
  <si>
    <t xml:space="preserve">The ACA Design Guide provides broad guidance for exterior and interior materials .   </t>
  </si>
  <si>
    <t>Police Station</t>
  </si>
  <si>
    <t>Police Station, Class C, Average, without elevator</t>
  </si>
  <si>
    <t xml:space="preserve">No UFC criteria exist for component material.  
Applying the M&amp;S Selection Business Rule, the FAC is MVS Class C, Average Quality.
</t>
  </si>
  <si>
    <t xml:space="preserve">The average area for this FAC is 6,220 SF.  
</t>
  </si>
  <si>
    <t xml:space="preserve">International Building Code (IBC) Occupancy Group I, Institutional.
A fire sprinkler has been incorporated, applying the Fire Sprinkler Business Rule.
</t>
  </si>
  <si>
    <t xml:space="preserve">No UFC requirement exists for the incorporation of a loading dock.
The average number of floors is 1.23.   
No elevator has been included in the estimated cost in consonance with the Elevator Business Rule.
</t>
  </si>
  <si>
    <t xml:space="preserve">No overhead crane is provided, applying the Overhead Crane Business Rule
</t>
  </si>
  <si>
    <t>Drug and Alcohol Abuse Center</t>
  </si>
  <si>
    <t>15/22</t>
  </si>
  <si>
    <t>Medical Office Building, Class C, Average</t>
  </si>
  <si>
    <t>Bread/Pastry Kitchen</t>
  </si>
  <si>
    <t>14/40</t>
  </si>
  <si>
    <t>Bakery Plant; Class C, D, &amp; S; including heating and/or cooling (Marshall and Swift Valuation, October 2017)</t>
  </si>
  <si>
    <t>Sprinkler, 40,000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</si>
  <si>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</si>
  <si>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</si>
  <si>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</si>
  <si>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</si>
  <si>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</si>
  <si>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</si>
  <si>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</si>
  <si>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</si>
  <si>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</si>
  <si>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</si>
  <si>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</si>
  <si>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</si>
  <si>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</si>
  <si>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</si>
  <si>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</si>
  <si>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Average, per LF, 10 LF per hood,  4 EA</t>
  </si>
  <si>
    <t>Restaurant Hood and Duct, Dry chemical system fire extinguisher, per nozzle, Average, 2 nozzles per 4 EA range hoods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</si>
  <si>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</si>
  <si>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</si>
  <si>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The average area for this FAC is 4,477 SF. 
</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</si>
  <si>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</si>
  <si>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</si>
  <si>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</si>
  <si>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Non-Exchange Eating Facility</t>
  </si>
  <si>
    <t>Set Equal to FAC 7331</t>
  </si>
  <si>
    <t>Open Mess and Club Facility</t>
  </si>
  <si>
    <t>13/14</t>
  </si>
  <si>
    <t>Restaurant, Class C, Average</t>
  </si>
  <si>
    <t>Range hood, Complete, per LF, 10 LF, 2 EA</t>
  </si>
  <si>
    <t>Restaurant Hood and Duct, Dry Chemical Fire Protection System , 4 nozzles, per nozzle, Average</t>
  </si>
  <si>
    <t>13/39</t>
  </si>
  <si>
    <t>Elevator, Passenger, 2-3 story, Average (Add $7,800 per stop, 2 stops)</t>
  </si>
  <si>
    <t>Elevator, Freight, 2-3 story, Average (Add $17,300 per stop, 2 stops, power doors)</t>
  </si>
  <si>
    <t>Overhead door, Rollup, 81 SF/door</t>
  </si>
  <si>
    <t>Overhead door, Electric operator, EA</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</si>
  <si>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</si>
  <si>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</si>
  <si>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</si>
  <si>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r>
      <t xml:space="preserve">The average area for this FAC is 13,681SF. 
IBC occupancy group classification is A (A-2, Assembly uses for food and/or drink consumption). </t>
    </r>
    <r>
      <rPr>
        <b/>
        <sz val="11"/>
        <rFont val="Calibri"/>
        <family val="2"/>
        <scheme val="minor"/>
      </rPr>
      <t xml:space="preserve"> </t>
    </r>
    <r>
      <rPr>
        <sz val="11"/>
        <rFont val="Calibri"/>
        <family val="2"/>
        <scheme val="minor"/>
      </rPr>
      <t xml:space="preserve">
</t>
    </r>
  </si>
  <si>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</si>
  <si>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Although no design criteria requires the incorporation of a loading dock, the likelihood of food deliveries drives the additional of one dock in the PUC calculation.
Two elevators (one passenger, one freight) are provided in consonance with the Elevator Business Rule.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</si>
  <si>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</si>
  <si>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</si>
  <si>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</si>
  <si>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</si>
  <si>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</si>
  <si>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</si>
  <si>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</si>
  <si>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</si>
  <si>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Central laundry and dry cleaning plant, average cost (Marshall and Swift Valuation, October 2017)</t>
  </si>
  <si>
    <t>Loading Dock, steel piers</t>
  </si>
  <si>
    <t>Loading Dock Roof, Good canopy structure with lighting and finished soffit</t>
  </si>
  <si>
    <t>Sprinkler, 5,000 SF, Wet system, Average</t>
  </si>
  <si>
    <t>Clothing Sales Store</t>
  </si>
  <si>
    <t>Set Equal to FAC 7346</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</si>
  <si>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</si>
  <si>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</si>
  <si>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</si>
  <si>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</si>
  <si>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</si>
  <si>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</si>
  <si>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</si>
  <si>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</si>
  <si>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</si>
  <si>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</si>
  <si>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</si>
  <si>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 International Plumbing Code. </t>
  </si>
  <si>
    <t xml:space="preserve">The average area for this FAC is 14,611  SF. 
</t>
  </si>
  <si>
    <t xml:space="preserve">Use classification M (Mercantile).
The IBC requires an automatic sprinkler when the fire area exceeds 12,000 SF.  Therefore a sprinkler was provided for this facility. 
</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</si>
  <si>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1.21.
</t>
  </si>
  <si>
    <t xml:space="preserve">No UFC criteria exist for component material.  Any suitable material is permitted by the International Building Code.
</t>
  </si>
  <si>
    <t>Bank and Credit Union</t>
  </si>
  <si>
    <t>15/21</t>
  </si>
  <si>
    <t>Bank - Branches, Class C, Average, including elevator (Deduct $2.67/SF for no included elevator)</t>
  </si>
  <si>
    <t>Car Wash Facility</t>
  </si>
  <si>
    <t>RPAD Ave Size</t>
  </si>
  <si>
    <t>64/5</t>
  </si>
  <si>
    <t>Self-Serve Car Wash, C, Average</t>
  </si>
  <si>
    <t>Commissary</t>
  </si>
  <si>
    <t>13/20</t>
  </si>
  <si>
    <t>Supermarket, Class C, Average</t>
  </si>
  <si>
    <t>Elevator, Passenger, 2-3 stories, Average, 1 EA (Add $7,800 per stop, 2 stops)</t>
  </si>
  <si>
    <t>Overhead door, roll-up, 81 SF/door, 8 EA</t>
  </si>
  <si>
    <t>Overhead door electrical operator, 8 EA</t>
  </si>
  <si>
    <t>Dock bumper, Horizontal, per LF, 10 LF/door, 8 EA</t>
  </si>
  <si>
    <t>Dock leveler, 8 EA</t>
  </si>
  <si>
    <t>Dock seal, 10" projection, 8 EA</t>
  </si>
  <si>
    <t>Dock shelter,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</si>
  <si>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</si>
  <si>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</si>
  <si>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t xml:space="preserve">The average area for this FAC is 60,755 SF.   
</t>
  </si>
  <si>
    <t xml:space="preserve">IBC use group M (Mercantile).
The IBC requires an automatic sprinkler when the fire area exceeds 12,000 SF, which is the case for the commissary.  A sprinkler is included in the PUC.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</si>
  <si>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1.23.</t>
  </si>
  <si>
    <t>Car Wash Structure</t>
  </si>
  <si>
    <t>Education Center</t>
  </si>
  <si>
    <t>Current Cost Adjustment</t>
  </si>
  <si>
    <t>18/14</t>
  </si>
  <si>
    <t>Classroom, Class C, Average</t>
  </si>
  <si>
    <t>Sprinkler, Wet System, Average, 15,000 SF</t>
  </si>
  <si>
    <t>% &gt; 12,000 SF</t>
  </si>
  <si>
    <t>18/35</t>
  </si>
  <si>
    <t xml:space="preserve">  </t>
  </si>
  <si>
    <t>$/SF</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</si>
  <si>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</si>
  <si>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for Multi-Disciplinary and Facility Specific Design (4 Series) is not provided for this type of facility.  
</t>
  </si>
  <si>
    <t xml:space="preserve">UFC criteria do not exist for component material.  
</t>
  </si>
  <si>
    <t xml:space="preserve">The average area for this FAC is 12,2794 SF.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</si>
  <si>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103/317 = 32.5%.
</t>
  </si>
  <si>
    <t>Two (2) elevators have been included in consonance with the Elevator Business Rule.  Average number of floors above ground is 1.61.</t>
  </si>
  <si>
    <t>Dependent School - CONUS</t>
  </si>
  <si>
    <t>Weighted Unit Cost</t>
  </si>
  <si>
    <t>Dependent School Facility - CONUS</t>
  </si>
  <si>
    <t>Dependent School Support Facility</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</si>
  <si>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</si>
  <si>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</si>
  <si>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</si>
  <si>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</si>
  <si>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</si>
  <si>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</si>
  <si>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 xml:space="preserve">The average area for this FAC is 5,779 SF.  
</t>
  </si>
  <si>
    <t xml:space="preserve">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26/214 = 12.1% 
</t>
  </si>
  <si>
    <t>No elevator has been included in consonance with the Elevator Business Rule.</t>
  </si>
  <si>
    <t xml:space="preserve">No UFCs exist for component material.   </t>
  </si>
  <si>
    <t>Nursery and Child Care Facility</t>
  </si>
  <si>
    <t>UFC 3-701-01, Table 2, 17 March 2022</t>
  </si>
  <si>
    <t>Child Development Center, Under 6 Years Old</t>
  </si>
  <si>
    <t>Family Service Center</t>
  </si>
  <si>
    <t>15/31</t>
  </si>
  <si>
    <t>Community Service Building, Class C, Average</t>
  </si>
  <si>
    <t>Sprinkler, Wet System, Average, 10,000 SF</t>
  </si>
  <si>
    <t>Homeless Support Facility</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</si>
  <si>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</si>
  <si>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</si>
  <si>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</si>
  <si>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</si>
  <si>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</si>
  <si>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</si>
  <si>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</si>
  <si>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</si>
  <si>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</si>
  <si>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</si>
  <si>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</si>
  <si>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</si>
  <si>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</si>
  <si>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</si>
  <si>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</si>
  <si>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</si>
  <si>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18/23</t>
  </si>
  <si>
    <t>Fieldhouse, Class C, Good</t>
  </si>
  <si>
    <t>Sprinkler, Wet System, Good, 30,000 SF</t>
  </si>
  <si>
    <t>Exchange Support Facility</t>
  </si>
  <si>
    <t>Distribution Warehouse, Class C, Average</t>
  </si>
  <si>
    <t>14/32</t>
  </si>
  <si>
    <t>Service (Repair) Garage, Class C, Average</t>
  </si>
  <si>
    <t xml:space="preserve">Average of four building types </t>
  </si>
  <si>
    <t>Sprinkler, Wet System, Average, 5,000 SF</t>
  </si>
  <si>
    <t>Exchange Warehouse</t>
  </si>
  <si>
    <t xml:space="preserve">Reference Size </t>
  </si>
  <si>
    <t>Warehouse/Storage Facility: General Purpose - Large
( &gt;15,000 SF),  Low-Bay (Stack Height &lt; 16 FT)</t>
  </si>
  <si>
    <t>Private Vehicle Inspection Facility</t>
  </si>
  <si>
    <t>Service Garage, Class C, Average</t>
  </si>
  <si>
    <t>Sprinkler, Wet System, Average, 3,000 SF, Wet System</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</si>
  <si>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</si>
  <si>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</si>
  <si>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</si>
  <si>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</si>
  <si>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</si>
  <si>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</si>
  <si>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</si>
  <si>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</si>
  <si>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</si>
  <si>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</si>
  <si>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</si>
  <si>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</si>
  <si>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</si>
  <si>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</si>
  <si>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</si>
  <si>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</si>
  <si>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</si>
  <si>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</si>
  <si>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</si>
  <si>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The average area for this FAC is 7,609 SF.  
</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</si>
  <si>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PUC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337/1,500, or22.5%. 
</t>
  </si>
  <si>
    <t>Indoor Skating Rink</t>
  </si>
  <si>
    <t>16/20</t>
  </si>
  <si>
    <t>Ice Skating Rink, Class C, Average</t>
  </si>
  <si>
    <t>Indoor Physical Fitness Facility</t>
  </si>
  <si>
    <t>Indoor Swimming Pool</t>
  </si>
  <si>
    <t>Natatorium, Class C, Average</t>
  </si>
  <si>
    <t xml:space="preserve">Sprinkler, Wet System, Average, 15,000 SF </t>
  </si>
  <si>
    <t>Auditorium and Theater Facility</t>
  </si>
  <si>
    <t>16/13</t>
  </si>
  <si>
    <t>Theater, Cinema, Class C, Average</t>
  </si>
  <si>
    <t>65/10</t>
  </si>
  <si>
    <t>Theater seats, neighborhood theater type, upholstered; assume 1,000 seats</t>
  </si>
  <si>
    <t xml:space="preserve">EA </t>
  </si>
  <si>
    <t xml:space="preserve">EA to SF </t>
  </si>
  <si>
    <t>Community Activities / Conference Center</t>
  </si>
  <si>
    <t>Community Recreation Center, Class C, Good</t>
  </si>
  <si>
    <t>Transient  Lodging</t>
  </si>
  <si>
    <t>USACE PAX Newsletter 3.2.2, Various Dates</t>
  </si>
  <si>
    <t>Inflation Adjustment                        by MILCON Index</t>
  </si>
  <si>
    <t>Transient Training Officers Quarters (Newsletter, 20 March 2020)</t>
  </si>
  <si>
    <t>Senior Enlisted Officers Quarters, Transient (Newsletter, 16 May 2016)</t>
  </si>
  <si>
    <t>Recreational Lodging</t>
  </si>
  <si>
    <t>12/9</t>
  </si>
  <si>
    <t>Motel, Class C, Average</t>
  </si>
  <si>
    <t>Transient And Recreational Lodging Support Facility</t>
  </si>
  <si>
    <t>Stable</t>
  </si>
  <si>
    <t>17/36</t>
  </si>
  <si>
    <t xml:space="preserve">Stable, Class C, Average </t>
  </si>
  <si>
    <t>Boathouse</t>
  </si>
  <si>
    <t>Boat Storage Building, Class S (substitute for C), Average</t>
  </si>
  <si>
    <t>MWR Sales and Rental Building</t>
  </si>
  <si>
    <t>Sprinkler, 3,000 SF, wet, average</t>
  </si>
  <si>
    <t>MWR Storage Building</t>
  </si>
  <si>
    <t xml:space="preserve">Storage Building, Unheated </t>
  </si>
  <si>
    <t>General Purpose (GP) Warehouse, Installation, Low-Bay, Up to 16 FT Stack Height, &lt; 15,000 SF</t>
  </si>
  <si>
    <t>Recreational Support Building</t>
  </si>
  <si>
    <t>Mechanical Building, Class "S" (Marshall And Swift Valuation, October 2017)</t>
  </si>
  <si>
    <t>Sprinkler, Wet, 2,500 SF, Average</t>
  </si>
  <si>
    <t>Extra Hazard</t>
  </si>
  <si>
    <t>Retail Kennel</t>
  </si>
  <si>
    <t>15/27</t>
  </si>
  <si>
    <t>Kennel, Class C,  Good</t>
  </si>
  <si>
    <t>Sprinkler, Wet, 3,000 SF, Average</t>
  </si>
  <si>
    <t>66/4</t>
  </si>
  <si>
    <t>Outdoor Kennel Run, $5.08 per SF (Wire Mesh on Steel Posts [Wall Area]),  20 FT *40 FT Enclosure, 8 FT high, 960 SF</t>
  </si>
  <si>
    <t>Outdoor Kennel Run, Mesh Cover (Roof Area), 800 SF @ $6.06/SF</t>
  </si>
  <si>
    <t>Gate, Kennel Run, 4 Each</t>
  </si>
  <si>
    <t>Playground</t>
  </si>
  <si>
    <t>Unit Cost (SF)</t>
  </si>
  <si>
    <t>Playground for Preschool Children, Small</t>
  </si>
  <si>
    <t>Playground for Preschool Children, Medium</t>
  </si>
  <si>
    <t>Playground for School Age Children, Small</t>
  </si>
  <si>
    <t>Playground for Youth Center</t>
  </si>
  <si>
    <t>Outdoor Swimming Pool</t>
  </si>
  <si>
    <t>66/7</t>
  </si>
  <si>
    <t xml:space="preserve">Poured Concrete Pool, 13,455 SF </t>
  </si>
  <si>
    <t>Deduct 20% for gunnite pools</t>
  </si>
  <si>
    <t>Decking, 11,238 SF, 4" concrete, unreinforced</t>
  </si>
  <si>
    <t>Add for mesh reinforcing for deck</t>
  </si>
  <si>
    <t>Fence, 6 FT, #9 wire, per LF (Add $2.22/LF for Rails)</t>
  </si>
  <si>
    <t>LF/EA</t>
  </si>
  <si>
    <t>Gates, 5 FT wide, 6 FT high, 4 EA</t>
  </si>
  <si>
    <t>Golf Course</t>
  </si>
  <si>
    <t>Average of</t>
  </si>
  <si>
    <t>67/1</t>
  </si>
  <si>
    <t>Class III, Typical Private Club, 18 holes, per hole</t>
  </si>
  <si>
    <t>Hole</t>
  </si>
  <si>
    <t>Holes/EA</t>
  </si>
  <si>
    <t>Class III, Typical Private Club, 9 holes, per hole</t>
  </si>
  <si>
    <t>Golf Driving Range</t>
  </si>
  <si>
    <t>67/2</t>
  </si>
  <si>
    <t xml:space="preserve">Lighted driving range, assume 20 stations </t>
  </si>
  <si>
    <t>Station</t>
  </si>
  <si>
    <t>Stations/EA</t>
  </si>
  <si>
    <t>Golf Pitch and Putt Course</t>
  </si>
  <si>
    <t>Pitch and putt course, Average, 9 holes</t>
  </si>
  <si>
    <t>Outdoor Recreation Area</t>
  </si>
  <si>
    <t>Inflated from FY2021;
Fairfax County VA Park Authority</t>
  </si>
  <si>
    <t xml:space="preserve">Outdoor Recreation Area	</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</si>
  <si>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</si>
  <si>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</si>
  <si>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</si>
  <si>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</si>
  <si>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</si>
  <si>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</si>
  <si>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</si>
  <si>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</si>
  <si>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Marshall and Swift Valuation, October 2021;
USACE PAX Newsletter 3.2.2, 25 May 2022</t>
  </si>
  <si>
    <t xml:space="preserve"> Section/
CATCODE</t>
  </si>
  <si>
    <t>Average of 1 Tennis Court and 2  Basketball courts</t>
  </si>
  <si>
    <t>67/7</t>
  </si>
  <si>
    <t>Tennis Court, 7,200 SF (with apron), concrete, net, striping</t>
  </si>
  <si>
    <t>Lighting (Assume 50% lighting)</t>
  </si>
  <si>
    <t>Fencing</t>
  </si>
  <si>
    <t>Subtotal</t>
  </si>
  <si>
    <t>67/3</t>
  </si>
  <si>
    <t>Synthetic Basketball Court (94 FT x 50 FT with a 10 FT apron)</t>
  </si>
  <si>
    <t xml:space="preserve">Asphalt Concrete (AC) pavement for the Basketball Court (3 IN thick plant mix AC @ $19.60/CY)
</t>
  </si>
  <si>
    <t>Basketball Backstop, with pole</t>
  </si>
  <si>
    <t>per court</t>
  </si>
  <si>
    <t>Assume 2 basketball courts / 5% deduction for multiple courts</t>
  </si>
  <si>
    <t>Athletic Field</t>
  </si>
  <si>
    <t xml:space="preserve">Design Size </t>
  </si>
  <si>
    <t>Multipurpose Athletics Field (360' x 160')</t>
  </si>
  <si>
    <t>Running Track</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</si>
  <si>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</si>
  <si>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</si>
  <si>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</si>
  <si>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</si>
  <si>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</si>
  <si>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</si>
  <si>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</si>
  <si>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</si>
  <si>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</si>
  <si>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</si>
  <si>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</si>
  <si>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</si>
  <si>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</si>
  <si>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 space)</t>
  </si>
  <si>
    <t>Car Space</t>
  </si>
  <si>
    <t>Car Spaces / EA</t>
  </si>
  <si>
    <t>Assume 75 Cars</t>
  </si>
  <si>
    <t>Recreational Camp and Trailer Park</t>
  </si>
  <si>
    <t># of Spaces Modifier (40 Spaces)</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</si>
  <si>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</si>
  <si>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</si>
  <si>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</si>
  <si>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</si>
  <si>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</si>
  <si>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</si>
  <si>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</si>
  <si>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</si>
  <si>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</si>
  <si>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</si>
  <si>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</si>
  <si>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</si>
  <si>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</si>
  <si>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</si>
  <si>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</si>
  <si>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</si>
  <si>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</si>
  <si>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</si>
  <si>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</si>
  <si>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</si>
  <si>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</si>
  <si>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Goal posts, per pair</t>
  </si>
  <si>
    <t>Total for football</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</si>
  <si>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</si>
  <si>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</si>
  <si>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</si>
  <si>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</si>
  <si>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</si>
  <si>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</si>
  <si>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</si>
  <si>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</si>
  <si>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</si>
  <si>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</si>
  <si>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The average quantity for this FAC is 1.42 EA.
This FAC does not represent a building and therefore has no International Building Code Occupancy Group.</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</si>
  <si>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</si>
  <si>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</si>
  <si>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</si>
  <si>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</si>
  <si>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</si>
  <si>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</si>
  <si>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</si>
  <si>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Monument and Memorial</t>
  </si>
  <si>
    <t>Inflated from FY2021;
Weighted average by Service FY2000 reported PRV</t>
  </si>
  <si>
    <t>Cemetery</t>
  </si>
  <si>
    <t>Columbarium</t>
  </si>
  <si>
    <t>Mausoleum, Niche, Average</t>
  </si>
  <si>
    <t>Niche</t>
  </si>
  <si>
    <t>Niche / CF</t>
  </si>
  <si>
    <t>Niche's do not come in standard size; Niches at Arlington National Cemetery are 10"W x 14"H x 19"D, or 1.54 CF</t>
  </si>
  <si>
    <t>Pentagon Memorial</t>
  </si>
  <si>
    <t>WHS MILCON Project Cost</t>
  </si>
  <si>
    <t>Project Cost Line Item for 184 Memorials</t>
  </si>
  <si>
    <t>Memorials</t>
  </si>
  <si>
    <t>Cost per Memorial Unit</t>
  </si>
  <si>
    <t>Military Cost Premium not multiplied as cost derived from MILCON</t>
  </si>
  <si>
    <t>Electrical Power Source</t>
  </si>
  <si>
    <t>KW</t>
  </si>
  <si>
    <t>Standby power, complete with controls, 1000 KW, Diesel Drive</t>
  </si>
  <si>
    <t>Stand-By/Emergency Power</t>
  </si>
  <si>
    <t>Unit Cost (EA)</t>
  </si>
  <si>
    <t>Reference Size (KW)</t>
  </si>
  <si>
    <t>Standby Generator, Diesel, 3 Phase / 4 Wire, 277/480 Volts,
75 KW</t>
  </si>
  <si>
    <t>KW/EA</t>
  </si>
  <si>
    <t>Standby Generator, Diesel, 3 Phase / 4 Wire, 277/480 Volts,
125 KW</t>
  </si>
  <si>
    <t>Standby Generator, Diesel, 3 Phase / 4 Wire, 277/480 Volts,
200 KW</t>
  </si>
  <si>
    <t>Standby Generator, Diesel, 3 Phase / 4 Wire, 277/480 Volts,
300 KW</t>
  </si>
  <si>
    <t>Standby Generator, Diesel, 3 Phase / 4 Wire, 277/480 Volts,
400 KW</t>
  </si>
  <si>
    <t>Standby Generator, Diesel, 3 Phase / 4 Wire, 277/480 Volts,
500 KW</t>
  </si>
  <si>
    <t>Standby Generator, Diesel, 3 Phase / 4 Wire, 277/480 Volts,
750 KW</t>
  </si>
  <si>
    <t>Electrical Power Source, Hydroelectric</t>
  </si>
  <si>
    <t>MW</t>
  </si>
  <si>
    <t>Generating Plant, Hydropower</t>
  </si>
  <si>
    <t>KW to MW</t>
  </si>
  <si>
    <t>No assets in the 2019 RPAD</t>
  </si>
  <si>
    <t>Electrical Power Source, Wind Generated</t>
  </si>
  <si>
    <t>Wind power turbine</t>
  </si>
  <si>
    <t>Electrical Power Source, Photovoltaic</t>
  </si>
  <si>
    <t>Number</t>
  </si>
  <si>
    <t>54/5</t>
  </si>
  <si>
    <t>Solar Module, 300 W, High Cost</t>
  </si>
  <si>
    <t>Watts</t>
  </si>
  <si>
    <t>KW per system</t>
  </si>
  <si>
    <t xml:space="preserve">Industrial Inverter, 3-Phase, grid-tie, 300 KW, High Cost </t>
  </si>
  <si>
    <t>Charge Controller, 60 amp, 20 each, High Cost</t>
  </si>
  <si>
    <t>Amp</t>
  </si>
  <si>
    <t>Industrial Deep-Cycle Battery Pack, 24 volt, High Cost</t>
  </si>
  <si>
    <t>Volt</t>
  </si>
  <si>
    <t>Electrical Power Distribution Line, Overhead</t>
  </si>
  <si>
    <t>H-Frame Distribution Lines, 15-69 KV, Short Lines with Cross Arms and Insulators</t>
  </si>
  <si>
    <t>to LF</t>
  </si>
  <si>
    <t>Overhead Lines below 15 KV, with Cross Arms and Insulators</t>
  </si>
  <si>
    <t>Exterior Lighting, Pole</t>
  </si>
  <si>
    <t>Street light, underground  wiring, 200' O.C.</t>
  </si>
  <si>
    <t>Electrical Power Distribution Line, Underground</t>
  </si>
  <si>
    <t>Unit Cost (LF)</t>
  </si>
  <si>
    <t>Direct Burial, #1/0 - 3/C, 600 Volts DB, SEU Copper Conductor, Excavation and Backfill</t>
  </si>
  <si>
    <t>Underground Ductbanks, 1-Way, 4" Diameter PVC, Encased Burial, including Excavation, Cast-in-Place Concrete, Backfill</t>
  </si>
  <si>
    <t>Underground Ductbanks, 2-Way, 4" Diameter PVC, Encased Burial, including Excavation, Cast-in-Place Concrete, Backfill</t>
  </si>
  <si>
    <t>Underground Ductbanks, 4-Way, 4" Diameter PVC, Encased Burial, including Excavation, Cast-in-Place Concrete, Backfill</t>
  </si>
  <si>
    <t>Underground Ductbanks, 6-Way, 6" Diameter PVC, Encased Burial, including Excavation, Cast-in-Place Concrete, Backfill</t>
  </si>
  <si>
    <t>Electric Vehicle Charge Facility</t>
  </si>
  <si>
    <t>No RPAD Data</t>
  </si>
  <si>
    <t>Industry Study, 2019</t>
  </si>
  <si>
    <t>Level</t>
  </si>
  <si>
    <t>Type of Charger</t>
  </si>
  <si>
    <t>Chargers per Pedestal</t>
  </si>
  <si>
    <t>KW/Charger</t>
  </si>
  <si>
    <t>Per-Charger Cost for Equipment</t>
  </si>
  <si>
    <t>Per-Charger Cost for Installation</t>
  </si>
  <si>
    <t>$/KW</t>
  </si>
  <si>
    <t>Level 1</t>
  </si>
  <si>
    <t>Non-networked</t>
  </si>
  <si>
    <t xml:space="preserve">One </t>
  </si>
  <si>
    <t>Level I Average</t>
  </si>
  <si>
    <t>Two</t>
  </si>
  <si>
    <t>Level 2</t>
  </si>
  <si>
    <t>Networked</t>
  </si>
  <si>
    <t>Level II Average</t>
  </si>
  <si>
    <t>DC fast</t>
  </si>
  <si>
    <t>Networked 50 kW</t>
  </si>
  <si>
    <t>Networked 150 kW</t>
  </si>
  <si>
    <t>Level III Average</t>
  </si>
  <si>
    <t>Networked 350 kW</t>
  </si>
  <si>
    <t xml:space="preserve">Notes: Based on Industry data, population weighting is 10% Level I, 75% Level II, 15% Level III
Primary Source: Estimating electric vehicle charging  infrastructure costs across major U.S. metropolitan areas by Michael Nicholas
Alternate Source: Plug-In Electric Vehicle and Infrastructure Analysis; Idaho National Laboratory
Alternate Source: Pulling Back the Veil on EV Charging Station Costs; Rocky Mountain Institute
</t>
  </si>
  <si>
    <t xml:space="preserve">• MILCON Cost Premium Business Rule
</t>
  </si>
  <si>
    <t>Electrical Power Substation</t>
  </si>
  <si>
    <t>KV</t>
  </si>
  <si>
    <t>PACES 1.4; UFC 3-550-01, September 2016,
with Change 3, 01 November 2019</t>
  </si>
  <si>
    <t>A1030010105</t>
  </si>
  <si>
    <t>203.2 mm(8") Slab On Grade 27,579 kPa(4000 PSI)</t>
  </si>
  <si>
    <t>D5010010104</t>
  </si>
  <si>
    <t>800 Amp Main Transformer (750 KVA Transformer, Secondary)</t>
  </si>
  <si>
    <t>D5010050612</t>
  </si>
  <si>
    <t>Enclosed Cir Bkr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</si>
  <si>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</si>
  <si>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</si>
  <si>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</si>
  <si>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</si>
  <si>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</si>
  <si>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</si>
  <si>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</si>
  <si>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</si>
  <si>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</si>
  <si>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</si>
  <si>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</si>
  <si>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</si>
  <si>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</si>
  <si>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</si>
  <si>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</si>
  <si>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</si>
  <si>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</si>
  <si>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</si>
  <si>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</si>
  <si>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</si>
  <si>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</si>
  <si>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</si>
  <si>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</si>
  <si>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</si>
  <si>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</si>
  <si>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</si>
  <si>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</si>
  <si>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</si>
  <si>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</si>
  <si>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Transmission to Distribution Substation, 3 Phase to 3 Phase above ground designed to average RPAD inventory size/rating
PACES Input Parameters:
Project Location = Fort Myer, VA (ACF= 1.00)
Midpoint of Construction: 1 October 2021
SIOH =  0 %
Contingency = 0 %
Planning and Design = 0 %</t>
  </si>
  <si>
    <t>Electrical Power Switching Station</t>
  </si>
  <si>
    <t>Enclosed Circuit Breaker 600V 225A</t>
  </si>
  <si>
    <t>Switching Station, 3 Phase to 3 Phase above ground designed to average RPAD inventory size/rating
PACES Input Parameters:
Project Location = Fort Myer, VA (ACF= 1.00)
Midpoint of Construction: 1 October 2021
SIOH =  0 %
Contingency = 0 %
Planning and Design = 0 %</t>
  </si>
  <si>
    <t>Electrical Power Transformers</t>
  </si>
  <si>
    <t>Transformer, 500 kVA, Oil Filled, 15 kV W/ TAPS, 480 V Secondary,  3 Phase</t>
  </si>
  <si>
    <t>EA/KV</t>
  </si>
  <si>
    <t>Transformer, 1,000 kVA, Oil Filled, 15 kV W/ TAPS, 480 V Secondary, 3 Phase</t>
  </si>
  <si>
    <t>Transformer, 2,000 KVA, Oil Filled, 15 kV W/ TAPS, 480 V Secondary, 3 Phase</t>
  </si>
  <si>
    <t>Lightning Protection System, Standalone</t>
  </si>
  <si>
    <t>Utility Pole, 40' High</t>
  </si>
  <si>
    <t>Grounding Rod, Complete, Good</t>
  </si>
  <si>
    <t>Lightning Terminal Point</t>
  </si>
  <si>
    <t>Cable, Lightning Protection, 80 FT</t>
  </si>
  <si>
    <t>FT/EA</t>
  </si>
  <si>
    <t xml:space="preserve">54/2 </t>
  </si>
  <si>
    <t>Insulator and Cable</t>
  </si>
  <si>
    <t>By FAC definition, "EA" refers to 1 pole/support structure within a lightning protection system.  Assume Poles are 40' tall.</t>
  </si>
  <si>
    <t>Heat Source</t>
  </si>
  <si>
    <t>BH</t>
  </si>
  <si>
    <t>Feature</t>
  </si>
  <si>
    <t>1 Boiler Horsepower (BHP) = 33,475 BH</t>
  </si>
  <si>
    <t>BH/BHP</t>
  </si>
  <si>
    <t>BHP = average size</t>
  </si>
  <si>
    <t>BHP</t>
  </si>
  <si>
    <t>Cost per BH = ($/BHP)*BHP/BH</t>
  </si>
  <si>
    <t>/BH</t>
  </si>
  <si>
    <t>per BH</t>
  </si>
  <si>
    <t>62/5</t>
  </si>
  <si>
    <t>Steel stack, 36 " diameter, 3/8", including foundation, 30 FT high (Cost per foot of height)</t>
  </si>
  <si>
    <t>UM changed for FY17 at direction of the OASD(S) Real Property Categorization Panel</t>
  </si>
  <si>
    <t xml:space="preserve">UFCs cited above direct the user to the ASME code for construction (fabrication) of a heat source. </t>
  </si>
  <si>
    <t xml:space="preserve">The average quantity for this FAC is 42,885,137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</si>
  <si>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</si>
  <si>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</si>
  <si>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</si>
  <si>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</si>
  <si>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</si>
  <si>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 xml:space="preserve">Common Conduit Underground (UGND) - Combined Steam (ST) Supply &amp; Condensate (CNDS) Return (RTN) Pipes, Prefabricated Black Steel (PBS) Pipe, Insulated (INSL) Cases), including Fittings (FTG) and Testing (TST) and Steam Manholes @ 250 FT On Center (O.C.), 3 FT Deep Excavation  and Backfill </t>
  </si>
  <si>
    <t>2 IN ST Supply &amp; 1-1/4 IN CNDS Return PBS Pipe, in 12-3/4 IN INSL Case with Manholes (MH) @ 250 FT On Center ( O.C.)</t>
  </si>
  <si>
    <t>1-1/2 IN ST Supply &amp; 1-1/2 IN CNDS Return, in 10-3/4 IN INSL Case with MH @ 250 FT  O.C.</t>
  </si>
  <si>
    <t>1-1/4" IN ST Supply &amp; 1-1/2 IN CNDS Return, in 10-3/4 IN INSL Case with MH @ 250' O.C.</t>
  </si>
  <si>
    <t>Average Common Conduit ST Lines, UGND</t>
  </si>
  <si>
    <t xml:space="preserve">Single Conduit - ST or High Pressure Water (HPW) PBS Pipe with INSL Case on Supports, including FTG and TST </t>
  </si>
  <si>
    <t>1-1/4 IN PBS ST Pipe in 12-3/4 IN INSL Case on Supports</t>
  </si>
  <si>
    <t>2 IN PBS ST Pipe in 12-3/4 IN INSL Case on Supports</t>
  </si>
  <si>
    <t>3 IN PBS ST Pipe in 14 IN INSL Case on Supports</t>
  </si>
  <si>
    <t xml:space="preserve">4 IN PBS ST Pipe in 14 IN INSL Case on Supports </t>
  </si>
  <si>
    <t>6 IN PBS ST Pipe in 18 IN INSL Case on  Supports</t>
  </si>
  <si>
    <t>Concrete Trench with Cover for ST and HW Piping: 18 IN Deep X
24 IN Wide X 6 IN Thick Wall with Concrete Cover</t>
  </si>
  <si>
    <t>Average Single Conduit ST or HPW Pipes, UGND</t>
  </si>
  <si>
    <t>Common Conduit  - Combined Hot Water (HW) Supply &amp; Return (RTN) Pipes, PBS, INSL Case, including Excavation, Backfill, FTG and TST</t>
  </si>
  <si>
    <t>1 IN HW &amp; 1 IN RTN Pipe in 10-3/4 IN PBS INSL Case</t>
  </si>
  <si>
    <t xml:space="preserve">1-1/2 IN HW &amp; 1-1/2 IN RTN Pipe in 10-3/4 PBS INSL Case </t>
  </si>
  <si>
    <t>2 IN HW &amp; 2 IN RTN Pipe in 10-3/4 IN PBS INSL Case</t>
  </si>
  <si>
    <t>3 IN HW &amp; 3 IN RTN Pipe in 16 IN PBS INSL Case</t>
  </si>
  <si>
    <t>4 IN HW &amp; 4 IN RTN Pipe in 10 IN PBS INSL Case</t>
  </si>
  <si>
    <t>Average Common Conduit HW Pipes, UGND</t>
  </si>
  <si>
    <t>Average PUC</t>
  </si>
  <si>
    <t>Heat Gas Production Plant</t>
  </si>
  <si>
    <t>Air Compressor, 20 HP</t>
  </si>
  <si>
    <t>EA to BH</t>
  </si>
  <si>
    <t>Welded Steel Pressure Tank, 45,000 GA</t>
  </si>
  <si>
    <t>62/3</t>
  </si>
  <si>
    <t>Utility Piping, Pressure Pipe, 4" Steel, 520 FT Total Length</t>
  </si>
  <si>
    <t>Total to BH</t>
  </si>
  <si>
    <t>Valves, Steel, Heavy Duty, 4", 4 EA</t>
  </si>
  <si>
    <t>Heat Gas Storage</t>
  </si>
  <si>
    <t>Welded Steel Pressure Tank, complete installation, 12,000 gal</t>
  </si>
  <si>
    <t>Heat Gas Distribution Line</t>
  </si>
  <si>
    <t>Gas Main, 4" plastic</t>
  </si>
  <si>
    <t>Gas Main, 3" Steel</t>
  </si>
  <si>
    <t>Refrigeration and Air Conditioning Source</t>
  </si>
  <si>
    <t>TR</t>
  </si>
  <si>
    <t>53/5</t>
  </si>
  <si>
    <t>Engineered System, installation, power,
connections, and all ancillary item, 200 TR</t>
  </si>
  <si>
    <t>Engineered System, installation, power,
connections, and all ancillary items, 300 TR</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</si>
  <si>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</si>
  <si>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</si>
  <si>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 xml:space="preserve">Unified Facilities Guide Specifications (UFGS), listed below, provide guidance for the selection of materials.
</t>
  </si>
  <si>
    <t xml:space="preserve">The average quantity for this FAC is 483 TR (tons of refrigeration).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</si>
  <si>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</si>
  <si>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</si>
  <si>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</si>
  <si>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Return Line, Same as above</t>
  </si>
  <si>
    <t>Valve, Steel, General Duty,  6", 1 per 316 FT block</t>
  </si>
  <si>
    <t>EA to LF</t>
  </si>
  <si>
    <t>Sewage Treatment</t>
  </si>
  <si>
    <t>KG</t>
  </si>
  <si>
    <t>Sewage Treatment Plant, Large, Municipal, 1M-5M GA/Day</t>
  </si>
  <si>
    <t>GA to KG</t>
  </si>
  <si>
    <t xml:space="preserve">Unified Facilities Criteria (UFC) 3-240-02, "Domestic Wastewater Treatment," provides design criteria for this FAC
</t>
  </si>
  <si>
    <t xml:space="preserve">No fire suppression system is specified for sewage treatment.  
</t>
  </si>
  <si>
    <t xml:space="preserve">• M&amp;S Selection Business Rule
• Fire Sprinkler Business Rule
• Overhead Crane Business Rule
• MILCON Cost Premium Business Rule
</t>
  </si>
  <si>
    <t>Industrial Waste Treatment</t>
  </si>
  <si>
    <t>Sewage Treatment Plant, Large, Municipal, 1M to 5M GPD</t>
  </si>
  <si>
    <t>Water Separation Facility</t>
  </si>
  <si>
    <t>17/39</t>
  </si>
  <si>
    <t>Waste System Separator, High Cost</t>
  </si>
  <si>
    <t>EA to KG</t>
  </si>
  <si>
    <t>Septic Tank and Drain Field</t>
  </si>
  <si>
    <t>Septic tank, installed, connected, 10,000 GA</t>
  </si>
  <si>
    <t>Drain field factor 1.25 x tank cost</t>
  </si>
  <si>
    <t>Grinder pump system</t>
  </si>
  <si>
    <t>Septic Lagoon and Settlement Ponds</t>
  </si>
  <si>
    <t>17/43</t>
  </si>
  <si>
    <t>Lagoon, Open pit, Concrete</t>
  </si>
  <si>
    <t>CF to GA</t>
  </si>
  <si>
    <t>Agitator &amp; pump</t>
  </si>
  <si>
    <t>Sewage Lift Stations</t>
  </si>
  <si>
    <t>Sewage Lift Station, 200,000 GPD</t>
  </si>
  <si>
    <t>Sewage Lift Station, 288,000 GPD (200 GPM)</t>
  </si>
  <si>
    <t>Sewer and Industrial Waste Line</t>
  </si>
  <si>
    <t>Average Size of Inventory</t>
  </si>
  <si>
    <t>Sewer main, 9 FT Average depth, 8 IN plastic pipe</t>
  </si>
  <si>
    <t>Sewer lateral, 5 FT average depth, 6 IN vitrified clay</t>
  </si>
  <si>
    <t>Average of main and lateral</t>
  </si>
  <si>
    <t>Sewer clean outs, 60 FT o.c., EA</t>
  </si>
  <si>
    <t>60 FT o.c.</t>
  </si>
  <si>
    <t>Sewer manholes, 400 FT o.c., EA</t>
  </si>
  <si>
    <t>400 FT o.c.</t>
  </si>
  <si>
    <t xml:space="preserve">The average quantity for this FAC is 11,392 LF.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</si>
  <si>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 xml:space="preserve">No fire suppression system is specified for underground sewage/industrial waste lines.  
</t>
  </si>
  <si>
    <t xml:space="preserve">Standards, in the form of guide specifications, Manual of Practice and a Unified Facilities Criteria, are cited above. </t>
  </si>
  <si>
    <t xml:space="preserve">Marshall and Swift Valuation, October 2017;
Army Public Works Technical Bulletin
(PWTB) 200-1-68, 31 December 2009
</t>
  </si>
  <si>
    <t xml:space="preserve">Waste transfer and recycling buildings with tipping floor and small office, excluding equipment. Class C/D/S </t>
  </si>
  <si>
    <t xml:space="preserve">
</t>
  </si>
  <si>
    <t>2021 RPCS changed the Unit of Measure (UM) from EA to SF.  The UM was changed to SF for the PUC calculation.</t>
  </si>
  <si>
    <t>Incinerator</t>
  </si>
  <si>
    <t>62/6</t>
  </si>
  <si>
    <t>Incinerator, 2000 LB/HR extrapolated</t>
  </si>
  <si>
    <t>Feeder</t>
  </si>
  <si>
    <t>EA to TH</t>
  </si>
  <si>
    <t>Chimney, 12" round, per foot, assume 50 ft</t>
  </si>
  <si>
    <t>FT to TH</t>
  </si>
  <si>
    <t>Service entrance, 3 Ph, 400 A</t>
  </si>
  <si>
    <t>Safety switch, 400 A</t>
  </si>
  <si>
    <t>Switchgear, 400 A, Commercial</t>
  </si>
  <si>
    <t>Circuit breakers, 400-600 A, 2 EA,240-480v</t>
  </si>
  <si>
    <t>Sanitary Landfill</t>
  </si>
  <si>
    <t>Private Sector Bid Prices</t>
  </si>
  <si>
    <t>Landfill Construction, Franklin Ohio, 2019</t>
  </si>
  <si>
    <t>Landfill Construction,Chautauqua County, NY 2021</t>
  </si>
  <si>
    <t>Landfill Construction,White City Oregon, 2018</t>
  </si>
  <si>
    <t>Cost from municipal contract price, Franklin, Ohio, 2019
Area Cost Factors  derived from USACE PAX 3.2.1</t>
  </si>
  <si>
    <t>Hazardous Waste Landfill</t>
  </si>
  <si>
    <t>FY14 Navy Military Construction Program</t>
  </si>
  <si>
    <t>FAC 8333 Sanitary Landfill</t>
  </si>
  <si>
    <t>Haz Design Factor</t>
  </si>
  <si>
    <t>Military Cost Premium not added because reference cost taken from adjacent FAC</t>
  </si>
  <si>
    <t>Water Treatment Facility</t>
  </si>
  <si>
    <t>Water Treatment Plant, Medium, 750K - 1M GPD</t>
  </si>
  <si>
    <t>GPD</t>
  </si>
  <si>
    <t xml:space="preserve">No fire suppression system is specified for water treatment facilities.  
</t>
  </si>
  <si>
    <t xml:space="preserve">Standards, in the form of guide specifications, Manual of Practice and a UFC, are cited above. </t>
  </si>
  <si>
    <t>Water Storage, Potable</t>
  </si>
  <si>
    <t>Reservoir, Potable Water, Steel Storage Tank, Ground Level, 250,000 GA</t>
  </si>
  <si>
    <t>Reservoir, Potable Water, Steel Storage Tank, Ground Level, 500,000 GA</t>
  </si>
  <si>
    <t>Water Well, Potable</t>
  </si>
  <si>
    <t>9" casing, Average, 200 FT, $56.00/FT</t>
  </si>
  <si>
    <t>17/57</t>
  </si>
  <si>
    <t>Pump, vertical turbine, 600 GPM, 10 HP</t>
  </si>
  <si>
    <t>GPM to KG</t>
  </si>
  <si>
    <t>600 GPM = 864 KG assume service factor of 75% (conversion factor = 648)</t>
  </si>
  <si>
    <t>Desalinization Plant</t>
  </si>
  <si>
    <t xml:space="preserve"> Inflated From FY2021;
California Energy Commission Study </t>
  </si>
  <si>
    <t>Water Distribution Line, Potable</t>
  </si>
  <si>
    <t>Water main, 6 IN ductile iron</t>
  </si>
  <si>
    <t>Water main, 6 IN plastic</t>
  </si>
  <si>
    <t>Water lateral, 1 IN</t>
  </si>
  <si>
    <t>Average of mains and lateral</t>
  </si>
  <si>
    <t>The average quantity for this FAC is 14,346 LF.
This FAC does not represent a building and therefore has no International Building Code Occupancy Group.</t>
  </si>
  <si>
    <t xml:space="preserve">No fire suppression system is specified for potable water distribution lines.  
</t>
  </si>
  <si>
    <t>Water Pump Facility, Potable</t>
  </si>
  <si>
    <t>Reference Size (GPM)</t>
  </si>
  <si>
    <t>Water Pump, Non-Potable, 1,000 GPM, 4-IN Diesel Pump</t>
  </si>
  <si>
    <t>1,000 GM to KG</t>
  </si>
  <si>
    <t>Water Pump, Non-Potable, 2,000 GPM, 6-IN Diesel Pump</t>
  </si>
  <si>
    <t>2,000 GM to KG</t>
  </si>
  <si>
    <t>Water Pump, 1,000 GPM, 5-IN Electric Pump</t>
  </si>
  <si>
    <t>Water Source, Fire Protection</t>
  </si>
  <si>
    <t>Water Pump, 500 GPM, 4-IN Diesel Pump, 125 PSI, 78 HP, Including Controller, Fittings, &amp; Relief Valve, No Building</t>
  </si>
  <si>
    <t>EA to GM</t>
  </si>
  <si>
    <t>Water Pump, 1,000 GPM, 4-IN Diesel Pump, 100 PSI, 89 HP, Including Controller, Fittings, &amp; Relief Valve, No Building</t>
  </si>
  <si>
    <t>Water Pump, 2,000 GPM, 6-IN Diesel Pump, 100 PSI, 167 HP, Including Controller, Fittings, &amp; Relief Valve, No Building</t>
  </si>
  <si>
    <t>Water Pump, 1,000 GPM, 5-IN Electric Pump, 100 PSI, 86 HP, 3,500 RPM, Including Controller, Fittings, &amp; Relief Valve, No Building</t>
  </si>
  <si>
    <t>Water Distribution Line, Fire Protection</t>
  </si>
  <si>
    <t>Water main, 6-IN plastic</t>
  </si>
  <si>
    <t>Water main, 6-in steel</t>
  </si>
  <si>
    <t>Fire hydrants, 300 FT on center, EA</t>
  </si>
  <si>
    <t>Assume 100% of system has hydrants</t>
  </si>
  <si>
    <t>Water Impoundment, Fire Protection</t>
  </si>
  <si>
    <t>MG</t>
  </si>
  <si>
    <t>Water Pump Facility, Fire Protection</t>
  </si>
  <si>
    <t>Water Tank, Fire Protection</t>
  </si>
  <si>
    <t>Set equal to FAC 8413</t>
  </si>
  <si>
    <t>Water Storage, Non Potable</t>
  </si>
  <si>
    <t>Welded steel, surface reservoir, 750,000 GA, $0.85/GA</t>
  </si>
  <si>
    <t>Welded steel, surface reservoir, 1,000,000 GA, $0.85/GA</t>
  </si>
  <si>
    <t>Tank, Elevated, High Stress, 1,000,000 GA, 75 FT height</t>
  </si>
  <si>
    <t>Reservoir, Water</t>
  </si>
  <si>
    <t>Water Distribution Line, Non-Potable</t>
  </si>
  <si>
    <t>Set Equal to FAC 8421</t>
  </si>
  <si>
    <t>Water Pump Facility, Non-Potable</t>
  </si>
  <si>
    <t>KG/Day</t>
  </si>
  <si>
    <t>Road, Surfaced</t>
  </si>
  <si>
    <t>Asphalt Road</t>
  </si>
  <si>
    <t>Linear CY</t>
  </si>
  <si>
    <t>CY to SY</t>
  </si>
  <si>
    <t>Backfill &amp; Compaction with Vibrating Roller (Asphalt Road, 18-IN compacted base course)</t>
  </si>
  <si>
    <t>ECY</t>
  </si>
  <si>
    <t>ECY to SY</t>
  </si>
  <si>
    <t>1-1/2-IN Crushed Stone Base, 6-IN Deep, Compacted, without Earthwork</t>
  </si>
  <si>
    <t>Surface Treatment, Tack Coat Emulsion. 15 GA/SY</t>
  </si>
  <si>
    <t>Plant Mix Asphalt, 3-IN Thick, Asphalt Concrete Surface Paving Wearing Course</t>
  </si>
  <si>
    <t>Concrete Road</t>
  </si>
  <si>
    <t>Backfill &amp; Compaction with Vibrating Roller (Concrete Road, 12-IN compacted base course)</t>
  </si>
  <si>
    <t>1-1/2-IN Crushed Stone Base, 4-IN Deep, Compacted, without Earthwork</t>
  </si>
  <si>
    <t>6-IN Thick, Reinforced Concrete Pavement, 4,500 PSI, Fixed Form, 12-IN Pass, Including Joints, Finishings, Curing; no Earthwork</t>
  </si>
  <si>
    <t>Cast-in-Place Concrete Curb and Gutter, 6-IN High, 6-IN Thick,
24-IN wide (24-FT non-divided Roadway)</t>
  </si>
  <si>
    <t>LF to SY</t>
  </si>
  <si>
    <t>Pavement Markings, Acrylic Waterborne, 4-IN wide White or Yellow</t>
  </si>
  <si>
    <t>2021 RPAD: 15,685 assets (81.6 % Asphalt / 18.4% Concrete)</t>
  </si>
  <si>
    <t>Road, Unsurfaced</t>
  </si>
  <si>
    <t>Fine Grading, Granular Subbase for Paving, +/- 1-IN Compaction,
3 passes, 6-IN Lifts</t>
  </si>
  <si>
    <t>Road construction assumes 12-IN clearing and grubbing to reach inorganic base.</t>
  </si>
  <si>
    <t>Vehicle Bridge</t>
  </si>
  <si>
    <t>Bridge, highway, steel median per SF</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</si>
  <si>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</si>
  <si>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</si>
  <si>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The average quantity for this FAC is357 SY (square yards).
This FAC does not represent a building and therefore has no International Building Code Occupancy Group.</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</si>
  <si>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</si>
  <si>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</si>
  <si>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Tunnel</t>
  </si>
  <si>
    <t>Underground walkway, per SF including HVAC and lighting</t>
  </si>
  <si>
    <t>Average dimensions in the 2020 RPAD (37 assets):  Height: 11.9 FT; Length: 751 FT; Width: 21.2 FT.  Average Quantity: 15,104 SF.  Road surface and/or sidewalks not included in PUC.</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</si>
  <si>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</si>
  <si>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</si>
  <si>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</si>
  <si>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</si>
  <si>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</si>
  <si>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</si>
  <si>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</si>
  <si>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</si>
  <si>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</si>
  <si>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</si>
  <si>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</si>
  <si>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The average quantity for this FAC is 12,505 SY.
This FAC does not represent a building and therefore has no International Building Code Occupancy Group.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</si>
  <si>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</si>
  <si>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</si>
  <si>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</si>
  <si>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</si>
  <si>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</si>
  <si>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</si>
  <si>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</si>
  <si>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Sidewalk, Concrete</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</si>
  <si>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</si>
  <si>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</si>
  <si>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</si>
  <si>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Pedestrian Bridge</t>
  </si>
  <si>
    <t>Pedestrian bridge, steel</t>
  </si>
  <si>
    <t xml:space="preserve">The average quantity for this FAC is 112 SY (square yards).  This FAC does not represent a building and therefore has no International Building Code Occupancy Group.
</t>
  </si>
  <si>
    <t xml:space="preserve">No fire suppression system is specified for pedestrian bridges.
</t>
  </si>
  <si>
    <t>Miscellaneous Paved Area</t>
  </si>
  <si>
    <t>space to SY</t>
  </si>
  <si>
    <t>Paving - spaces and drives</t>
  </si>
  <si>
    <t>Planning Factor, average = 315 SF per parking space</t>
  </si>
  <si>
    <r>
      <t xml:space="preserve">The 35  space/SY conversion is 315 SF/space </t>
    </r>
    <r>
      <rPr>
        <sz val="11"/>
        <rFont val="Calibri"/>
        <family val="2"/>
      </rPr>
      <t>÷ 9 SF/SY</t>
    </r>
  </si>
  <si>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</si>
  <si>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</si>
  <si>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The average quantity for this FAC is 2,302 SY.  This FAC does not represent a building and therefore has no International Building Code Occupancy Group.</t>
  </si>
  <si>
    <t xml:space="preserve">No fire suppression system is specified for miscellaneous paved area. 
</t>
  </si>
  <si>
    <t xml:space="preserve">No UFC requirement exists for the incorporation of a loading dock and no elevator is provided as this is neither a facility nor building.
</t>
  </si>
  <si>
    <t xml:space="preserve">Standards, in the form of guide specifications, Manual of Practice and UFCs, are cited above. </t>
  </si>
  <si>
    <t>Parking Garage/Building</t>
  </si>
  <si>
    <t>Traffic Signals</t>
  </si>
  <si>
    <t>Per Intersection</t>
  </si>
  <si>
    <t>-- Loudoun County VA, 1/20</t>
  </si>
  <si>
    <t>-- Palm Beach Cty , FL, 5/19</t>
  </si>
  <si>
    <t xml:space="preserve">-- Plymouth IN, 5/17 </t>
  </si>
  <si>
    <t>-- Detroit, MI, 1/20</t>
  </si>
  <si>
    <t>-- Brevard, FL 5/22</t>
  </si>
  <si>
    <t>-- Moore OK, 1/17</t>
  </si>
  <si>
    <t>-- Lawrence KS, 4/17</t>
  </si>
  <si>
    <t>-- San Leandro CA, 3/22</t>
  </si>
  <si>
    <t>Average Cost</t>
  </si>
  <si>
    <t>Area Cost Factors derived from UFC 3-701-01, 23 March 2022, Data Tables, Table 4-1 CONUS.</t>
  </si>
  <si>
    <t>Railroad Track</t>
  </si>
  <si>
    <t>Railroad Spur, 115#/yard rail, per FT of track</t>
  </si>
  <si>
    <t>LF to Mile</t>
  </si>
  <si>
    <t>25% deduction for rail over 500 FT</t>
  </si>
  <si>
    <t>Railroad Bridge</t>
  </si>
  <si>
    <t>Inflated from FY2021;
Source: American Segmental Bridge Institute</t>
  </si>
  <si>
    <t>Miscellaneous Railroad Facility</t>
  </si>
  <si>
    <t>17/55</t>
  </si>
  <si>
    <t>Railroad Track Scales, 200-TN capacity, reinforced concrete pit &amp; platform, steel scale mechanism</t>
  </si>
  <si>
    <t>Storm Drainage</t>
  </si>
  <si>
    <t>Average of:</t>
  </si>
  <si>
    <t>66/11</t>
  </si>
  <si>
    <t>Pipe, Drainage System, 10",  Average Cost</t>
  </si>
  <si>
    <t>Pipe, Drainage System, 12",  Average Cost</t>
  </si>
  <si>
    <t xml:space="preserve">Average Pipe Cost </t>
  </si>
  <si>
    <t>Storm Manhole, 400 FT o.c.</t>
  </si>
  <si>
    <t>Retaining Structure</t>
  </si>
  <si>
    <t>Concrete Foundation Wall, 6 IN, reinforced, SF</t>
  </si>
  <si>
    <t>SF to LF</t>
  </si>
  <si>
    <t>Hillside retaining wall add 100%</t>
  </si>
  <si>
    <t>Assume height = 8 FT</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</si>
  <si>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</si>
  <si>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</si>
  <si>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</si>
  <si>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</si>
  <si>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</si>
  <si>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</si>
  <si>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</si>
  <si>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</si>
  <si>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</si>
  <si>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</si>
  <si>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</si>
  <si>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</si>
  <si>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</si>
  <si>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</si>
  <si>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</si>
  <si>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</si>
  <si>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</si>
  <si>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</si>
  <si>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</si>
  <si>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</si>
  <si>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</si>
  <si>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</si>
  <si>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</si>
  <si>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 Spread</t>
  </si>
  <si>
    <t>G2050040408</t>
  </si>
  <si>
    <t>Fertilizer, Hydr Spread</t>
  </si>
  <si>
    <t xml:space="preserve">PACES Input Parameters:
Project Location = Fort Myer, VA (ACF= 1.00)
Midpoint of Construction: 1 October 2021
SIOH =  0 % / Contingency = 0 % / Planning and Design = 0 % </t>
  </si>
  <si>
    <t>Average size 5,984 CY extracted from 2021 RPAD</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</si>
  <si>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</si>
  <si>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</si>
  <si>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</si>
  <si>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</si>
  <si>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</si>
  <si>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</si>
  <si>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</si>
  <si>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</si>
  <si>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Assume dike is a trapezoid; 10 FT top, 15 FT sides, 34 FT base.  1 side exposed to water.  198 CF / LF</t>
  </si>
  <si>
    <t xml:space="preserve">   </t>
  </si>
  <si>
    <t>Storm Water Ponds</t>
  </si>
  <si>
    <t>Stormwater Drainage (SD)  Ponds, includes fence, seeding slopes, partial liner and excavation; 1/8-AC, 5-FT deep</t>
  </si>
  <si>
    <t>EA to MG</t>
  </si>
  <si>
    <t>SD Ponds, includes fence, seeding slopes, partial liner and excavation; 1/4-AC, 5-FT deep</t>
  </si>
  <si>
    <t>SD Ponds, includes fence, seeding slopes, partial liner and excavation; 3/8-AC, 5-FT deep</t>
  </si>
  <si>
    <t>SD Ponds, includes fence, seeding slopes, partial liner and excavation; 1/2-AC, 5-FT deep</t>
  </si>
  <si>
    <t>325,851.43 GA in 1 AC-FT</t>
  </si>
  <si>
    <t>,</t>
  </si>
  <si>
    <t>Storm Water Filtration</t>
  </si>
  <si>
    <t>Paving, 4” asphaltic concrete, SF., high cost (Permeable Surface)</t>
  </si>
  <si>
    <t>4” rock base, SF, high cost (Add $1.28 for 8 IN depth of drainage)</t>
  </si>
  <si>
    <t>Sewer laterals, 5 FT average depth, LF. 6 IN vitrified clay,high cost.  Total length is 4 EA 20 FT lengths for 80 LF total length.</t>
  </si>
  <si>
    <t>Storm Water Treatment Structure</t>
  </si>
  <si>
    <t>Polyethylene chamber system, complete, per gallon, high cost</t>
  </si>
  <si>
    <t>GA to GM</t>
  </si>
  <si>
    <t>Pipe drainage system, 10”, per linear foot, high cost, 20 LF</t>
  </si>
  <si>
    <t>LF to GM</t>
  </si>
  <si>
    <t>Chamber size = 14 FT x 6 FT x 2 FT = 5,932 gallons</t>
  </si>
  <si>
    <t>Representative Storm Water Treatment Structure  Flow Rate 1.82 CFS = 816.87 GM
https://biocleanenvironmental.com/wp-content/uploads/2018/06/KF-8-14-72-Standard.pdf</t>
  </si>
  <si>
    <t>Boundary Fence and Wall</t>
  </si>
  <si>
    <t>Chain Link Fence,  #9 wire, 8 FT height, per LF, posts 2 IN" round,    10 FT on center</t>
  </si>
  <si>
    <t>Add for 3-strand barbed wire</t>
  </si>
  <si>
    <t>Add 25 FT wide gate, 1 per 1000 LF</t>
  </si>
  <si>
    <t>Add stainless steel security gate, 1 per 1,000 LF, add 30% for electrically-operated gate</t>
  </si>
  <si>
    <t>Security micro-mesh, $1.10/SF = $8.80/LF for 8' fence height</t>
  </si>
  <si>
    <t>Subtotal before deduction</t>
  </si>
  <si>
    <t>Quantity deduction for &gt;2,000 LF</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</si>
  <si>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</si>
  <si>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</si>
  <si>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</si>
  <si>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The average quantity for this FAC is 3504 LF (linear feet).
This FAC does not represent a building and therefore has no International Building Code Occupancy Group.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</si>
  <si>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</si>
  <si>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</si>
  <si>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</si>
  <si>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Security Fence</t>
  </si>
  <si>
    <t>Chain Link Fence, 2 IN mesh, #7 wire, 12 FT, per LF; posts (2 IN round or "H" posts) set in concrete, 10 FT on centers</t>
  </si>
  <si>
    <t>Add for barbed coils</t>
  </si>
  <si>
    <t>25 FT wide gate, 12 FT high, 1 per 1000 LF</t>
  </si>
  <si>
    <t>Add turn-style, stainless steel, 1 per 1,000 LF, plus 30% for electrically-operated gate</t>
  </si>
  <si>
    <t>Security micro-mesh, $1.14/SF = $13.68/LF for 12 FT fence height</t>
  </si>
  <si>
    <t>Deduction for "large installation" between 4,500 LF and 6,000 LF = 15%</t>
  </si>
  <si>
    <t xml:space="preserve">Unified Facilities Criteria (UFC) 4-022-03  provides design criteria for this FAC.
</t>
  </si>
  <si>
    <t xml:space="preserve">Unified Facilities Guide Specification (UFGS) 32 31 13  provides guidance for the selection of materials.  
</t>
  </si>
  <si>
    <t xml:space="preserve">The average quantity for this FAC is 5,925 LF (linear feet), based on 2,976 records in the 2017 RPAD.
This FAC does not represent a building and therefore has no International Building Code Occupancy Group.
</t>
  </si>
  <si>
    <t xml:space="preserve">No fire suppression system is specified for security fences.  
</t>
  </si>
  <si>
    <t xml:space="preserve">Standards, in the form of guide specifications, and UFC, are cited above. </t>
  </si>
  <si>
    <t>Dam</t>
  </si>
  <si>
    <t>Inflated from FY2021;
R&amp;K research paper for Navy CNIC, August 2011</t>
  </si>
  <si>
    <t>Lock</t>
  </si>
  <si>
    <t>No Records</t>
  </si>
  <si>
    <t>SET TO FAC 8811</t>
  </si>
  <si>
    <t>Navigation Revetments</t>
  </si>
  <si>
    <t>Soil Stabilization, lime</t>
  </si>
  <si>
    <t>Rip rap</t>
  </si>
  <si>
    <t>Assume SY = 1 LF x 9 FT from shore to water</t>
  </si>
  <si>
    <t>Training Dikes/Wing Dams/Pile Dikes</t>
  </si>
  <si>
    <t>SET TO FAC 8714</t>
  </si>
  <si>
    <t>Flood Control Structures</t>
  </si>
  <si>
    <t>SET TO FAC 8714
with Size of 500 LF</t>
  </si>
  <si>
    <t>Flood Control Levee/Floodwall</t>
  </si>
  <si>
    <t>Fish Facilities</t>
  </si>
  <si>
    <t>SET TO FAC 8714
with Size of 400 LF</t>
  </si>
  <si>
    <t>Monitoring Well</t>
  </si>
  <si>
    <t>Water Well, without pump, 130' deep, 5" casing,  Average</t>
  </si>
  <si>
    <t>Utility Building</t>
  </si>
  <si>
    <t>Mechanical Building, Class S (Marshall and Swift Valuation, October 2017)</t>
  </si>
  <si>
    <t>Sprinkler, Dry System, Average, 2,500 SF</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</si>
  <si>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</si>
  <si>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 xml:space="preserve">No UFC criteria exist for component material.  The reference to Marshall and Swift commercial and public utility/governmental utility buildings includes metal and masonry construction. </t>
  </si>
  <si>
    <t xml:space="preserve">The average area for this FAC is 1,418 SF. 
International Building Code (IBC) Occupancy Group H.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</si>
  <si>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</si>
  <si>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</si>
  <si>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</si>
  <si>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Installation Gas Production Plant</t>
  </si>
  <si>
    <t>Armory, Class C, Average, (similar in construction to utility building)</t>
  </si>
  <si>
    <t>Loading Dock, steel piers, heavy slab, steel bumper (Assume 15 FT x 30 FT)</t>
  </si>
  <si>
    <t>Compressor, 20 HP</t>
  </si>
  <si>
    <t>Welded Steel Pressure Tank, 15,000 GA, 7 FT x 54 FT</t>
  </si>
  <si>
    <t>Average size in inventory = 1,105 SF (85 FT x 13 FT)</t>
  </si>
  <si>
    <t>Installation Gas Storage</t>
  </si>
  <si>
    <t>Welded Steel Pressure Tank, 9,000 GA, 7 FT X 35 FT</t>
  </si>
  <si>
    <t>Vehicle Scales</t>
  </si>
  <si>
    <t>Truck scales, Fixed, 50 Ton</t>
  </si>
  <si>
    <t>Miscellaneous Pump Station</t>
  </si>
  <si>
    <t>Industrial Pump, 8 IN suction x 6 IN discharge, 60 HP, 1,750 RPM</t>
  </si>
  <si>
    <t>Utility Vault / Utility Tunnel, Medium Soil, 5" -7" wall, CF</t>
  </si>
  <si>
    <t>CF to EA</t>
  </si>
  <si>
    <t>Hazardous Waste Storage Or Disposal Facility</t>
  </si>
  <si>
    <t>Main Storage Area</t>
  </si>
  <si>
    <t>14/26</t>
  </si>
  <si>
    <t xml:space="preserve">Warehouse, Class C, Average, 5,000 SF </t>
  </si>
  <si>
    <t>Hazardous Material Drum Storage System; 2,000 LBS pneumatic hoist, and drum lift, 78- to 156-drum capacity, 100 drums assumed</t>
  </si>
  <si>
    <t xml:space="preserve">per drum </t>
  </si>
  <si>
    <t>Drum to EA</t>
  </si>
  <si>
    <t>Sprinkler, average, wet, high hazard, 5,000 SF</t>
  </si>
  <si>
    <t>15% extra hazard occupancies</t>
  </si>
  <si>
    <t>Overhead door, roll-up, std. 9 FT x 9 FT = 81 SF</t>
  </si>
  <si>
    <t>each</t>
  </si>
  <si>
    <t>Dock bumper, 10 FT length</t>
  </si>
  <si>
    <t>Dock seal, 10 IN projection</t>
  </si>
  <si>
    <t>Satellite Storage</t>
  </si>
  <si>
    <t>Hazardous Material Storage Cabinet meeting OSHA 1910.106 and NFPA 30 codes, 18-gauge steel, Double wall construction, manual close hinged doors</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</si>
  <si>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</si>
  <si>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</si>
  <si>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</si>
  <si>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</si>
  <si>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</si>
  <si>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</si>
  <si>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</si>
  <si>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Utility Vaults</t>
  </si>
  <si>
    <t>Utility Vault / Utility Tunnel, Medium Soil, 5 - 7 IN walls, CF, including lighting and drainage</t>
  </si>
  <si>
    <t>Assumed Size: 9 FT high, 10 FT x 10 FT (900 CF)</t>
  </si>
  <si>
    <t>Loading Platform/Ramp</t>
  </si>
  <si>
    <t>Loading ramp, per SF, paved ramp, steel railing, for forklift</t>
  </si>
  <si>
    <t>Assume Size for EA = 12 FT wide x 30 FT long = 360 SF</t>
  </si>
  <si>
    <t>Installation Gas Distribution Line</t>
  </si>
  <si>
    <t>Gas main, 4" plastic</t>
  </si>
  <si>
    <t>Gas main, 3" steel</t>
  </si>
  <si>
    <t>Utility Tunnel</t>
  </si>
  <si>
    <t>Percentage of Inventory</t>
  </si>
  <si>
    <t>Utility tunnel, 3" - 5" wall, medium soil, 5 FTx7 FT cross-section</t>
  </si>
  <si>
    <t>CF to LF</t>
  </si>
  <si>
    <t>Utility tunnel, 3" -5" wall, medium soil, 1 FT x 2 FT cross-section</t>
  </si>
  <si>
    <t>Assume larger Tunnel = 12% of inventory</t>
  </si>
  <si>
    <t>Scaled Average</t>
  </si>
  <si>
    <t>Utility Channels</t>
  </si>
  <si>
    <t>Utility tunnel, 3" - 5" wall, medium soil, 2 FT x 2 FT cross-section</t>
  </si>
  <si>
    <t>Utility tunnel, 5" - 7" wall, medium soil, 2 FT x 4 FT cross-section</t>
  </si>
  <si>
    <t>Utility tunnel, 7" - 10" wall, medium soil, 4 FT x 4 FT cross-section</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</si>
  <si>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</si>
  <si>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3-430-09  provides design criteria for this FAC.
</t>
  </si>
  <si>
    <t xml:space="preserve">Unified Facilities Guide Specification (UFGS) 33 63 13.19  provides guidance for the selection of materials.  
</t>
  </si>
  <si>
    <t>The average quantity for this FAC is 14,788 LF (linear feet).
This FAC does not represent a building and therefore has no International Building Code Occupancy Group.</t>
  </si>
  <si>
    <t xml:space="preserve">No fire suppression system is specified for utility channel.
</t>
  </si>
  <si>
    <t xml:space="preserve">No UFC requirement exists for the incorporation of a loading dock and no elevator is provided as this is not a facility nor building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</si>
  <si>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</si>
  <si>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</si>
  <si>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</si>
  <si>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</si>
  <si>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Concrete Water Tank, 20,000 GA</t>
  </si>
  <si>
    <t>Lagoon, Concrete</t>
  </si>
  <si>
    <t>Liquid Manure Tank, Rectangular, Covered</t>
  </si>
  <si>
    <t>Horizontal Bulk Storage Tank, Steel, 1,500 GA</t>
  </si>
  <si>
    <t xml:space="preserve">Horizontal Tank, Plastic, 2,500 GA  </t>
  </si>
  <si>
    <t>Liquid Manure Tank, Round, Covered</t>
  </si>
  <si>
    <t>Reservoir, Cut and Fill, Concrete</t>
  </si>
  <si>
    <t>Vertical Welded Tank, 30,000 GA</t>
  </si>
  <si>
    <t>Prorating of CATCODEs within FAC 8951 detailed below</t>
  </si>
  <si>
    <t xml:space="preserve">The UFCs and CFR Parts cited above provide guidance on material selection.   
</t>
  </si>
  <si>
    <t>The average quantity for this FAC is 509,860 GA.  There are 3,175 records in the 2019 RPAD.
This FAC does not represent a building and therefore has no International Building Code Occupancy Group.</t>
  </si>
  <si>
    <t xml:space="preserve">No fire suppression system is specified for FAC.
</t>
  </si>
  <si>
    <t xml:space="preserve">No UFC requirement exists for the incorporation of a loading dock and no elevator is provided as the category codes aggregated in this FAC are not buildings.
</t>
  </si>
  <si>
    <t xml:space="preserve">Standards, in the form of guide specifications, Manual of Practice and Unified Facilities Criteria, are cited above. </t>
  </si>
  <si>
    <t>• M&amp;S Selection Business Rule
• MILCON Cost Premium Business Rule</t>
  </si>
  <si>
    <t>2021 Legend
Source:  UFC 3-701-01, May 2018, with Change 8, February 2021</t>
  </si>
  <si>
    <t>USACE PAX Military Construction (MILCON) Program Inflation Guide</t>
  </si>
  <si>
    <t>PUCs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01 February 2022, "Inflation Guidance - Fiscal Year (FY) 2023 President's Budget."  Midpoint of construction for FY 2021 PUCs is set to 1 October 2021.  Appendix C of the PAX Newsletter 3.2.2, dated 21 May 2021, (https://www.usace.army.mil/Cost-Engineering/PAX-Newsletter-322-Army-Facility-Unit-Costs/) is based on these same inflation numbers.  Appendix C, Note 1 provides guidance to "use 2.0% per fiscal year for projection beyond FY 2026."</t>
  </si>
  <si>
    <t>Referenced PAX NEWSLETTER 3.2.2 for CATCODE Unit Cost</t>
  </si>
  <si>
    <t xml:space="preserve"> Reference Date of Unit Cost</t>
  </si>
  <si>
    <t>FISCAL YEAR (FY)</t>
  </si>
  <si>
    <t>DoD SPI Index (Table 4-2, UFC 3-701-1)
(Notes 1, 2)</t>
  </si>
  <si>
    <t>Budget Guidance for Future Inflation
(Note 3)</t>
  </si>
  <si>
    <t>Escalation Rate
for FY2021 PUCs
(Note 4)</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</si>
  <si>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</si>
  <si>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</si>
  <si>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</si>
  <si>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</si>
  <si>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</si>
  <si>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</si>
  <si>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</si>
  <si>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</si>
  <si>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</si>
  <si>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</si>
  <si>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</si>
  <si>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PAX Newsletter, 20 March 2020</t>
  </si>
  <si>
    <t>PAX Newsletter, 21 May 2021</t>
  </si>
  <si>
    <t>PAX Newsletter, 25 May 2022</t>
  </si>
  <si>
    <r>
      <t xml:space="preserve">Notes from Table 4-2, </t>
    </r>
    <r>
      <rPr>
        <b/>
        <i/>
        <sz val="11"/>
        <rFont val="Calibri"/>
        <family val="2"/>
        <scheme val="minor"/>
      </rPr>
      <t xml:space="preserve">Military Construction Escalation Rates, </t>
    </r>
    <r>
      <rPr>
        <b/>
        <sz val="11"/>
        <rFont val="Calibri"/>
        <family val="2"/>
        <scheme val="minor"/>
      </rPr>
      <t>UFC 3-701-01, 17 March 2022</t>
    </r>
  </si>
  <si>
    <t xml:space="preserve">Note 1: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</si>
  <si>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2:  The historical values in this table were corrected with this publication. This correction fixes an earlier error: one quarter for the Turner Index in 2007 had been omitted and had caused all the previous quarters to be moved up one row. The proposed series corrects this error and is consistent with quarterly timings for the RLB and Turner indexes: each quarterly release in January, April, July, and October covers construction prices for the previous three months.</t>
  </si>
  <si>
    <t>Note 3: Inflation rates for military construction budget authority per "Inflation Guidance – Fiscal Year (FY) 2023 President's Budget"  published by USD (Comptroller) on 01 February 2022.</t>
  </si>
  <si>
    <t xml:space="preserve">Note 4:  The escalation factor for each year is the cumulative (compounded) annual inflation rate from FY22.  Use these factors to escalate PUCs from previous years as necessary.  </t>
  </si>
  <si>
    <r>
      <t xml:space="preserve">Incorporating Military Cost Premium (MCP) into PRV Unit Costs (PUCs)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</si>
  <si>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</si>
  <si>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</si>
  <si>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</si>
  <si>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</si>
  <si>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</si>
  <si>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</si>
  <si>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</si>
  <si>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</si>
  <si>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</si>
  <si>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</si>
  <si>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</si>
  <si>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</si>
  <si>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</si>
  <si>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</si>
  <si>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</si>
  <si>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</si>
  <si>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</si>
  <si>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</si>
  <si>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FAC Title</t>
  </si>
  <si>
    <t>RPA Type</t>
  </si>
  <si>
    <t>COMMUNICATIONS FACILITY</t>
  </si>
  <si>
    <t>S</t>
  </si>
  <si>
    <t>AIRCRAFT NAVIGATION FACILITY</t>
  </si>
  <si>
    <t>COMMUNICATION LINES</t>
  </si>
  <si>
    <t>LS</t>
  </si>
  <si>
    <t>AIRFIELD LIGHTING</t>
  </si>
  <si>
    <t>SHIP NAVIGATION FACILITY</t>
  </si>
  <si>
    <t>HELIUM STORAGE FACILITY</t>
  </si>
  <si>
    <t>SHIP OPERATIONS BUILDING</t>
  </si>
  <si>
    <t>B</t>
  </si>
  <si>
    <t>PHOTO/TV PRODUCTION BUILDING</t>
  </si>
  <si>
    <t>OPERATIONS SUPPORT LAB</t>
  </si>
  <si>
    <t>OPERATIONS SUPPLY BUILDING</t>
  </si>
  <si>
    <t>SECURITY FORCE BUILDING</t>
  </si>
  <si>
    <t>AIRCRAFT FIRING-IN BUTT</t>
  </si>
  <si>
    <t>NUCLEAR WEAPONS SUPPORT FACILITY</t>
  </si>
  <si>
    <t>EXPLOSIVES RAILWAY HOLDING YARD</t>
  </si>
  <si>
    <t>REVETMENT</t>
  </si>
  <si>
    <t>PIER/WHARF ACCESS TRESTLE</t>
  </si>
  <si>
    <t>SHORE EROSION PREVENTION FACILITY</t>
  </si>
  <si>
    <t>SMALL CRAFT BERTHING</t>
  </si>
  <si>
    <t>SMALL CRAFT BUILDING</t>
  </si>
  <si>
    <t>MISCELLANEOUS WATERFRONT FACILITY</t>
  </si>
  <si>
    <t>WATER LAUNCH RAMP</t>
  </si>
  <si>
    <t>HARBOR MARINE IMPROVEMENTS</t>
  </si>
  <si>
    <t>TRAINING POOL AND TANK</t>
  </si>
  <si>
    <t>ENCLOSED FIRE FIGHTER TRAINER FACILITY</t>
  </si>
  <si>
    <t>PARADE AND DRILL FIELD</t>
  </si>
  <si>
    <t>GENERAL PURPOSE SMALL ARMS RANGE</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</si>
  <si>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</si>
  <si>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</si>
  <si>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</si>
  <si>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</si>
  <si>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</si>
  <si>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</si>
  <si>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</si>
  <si>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</si>
  <si>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</si>
  <si>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</si>
  <si>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</si>
  <si>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</si>
  <si>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</si>
  <si>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</si>
  <si>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</si>
  <si>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</si>
  <si>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</si>
  <si>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</si>
  <si>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</si>
  <si>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</si>
  <si>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</si>
  <si>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</si>
  <si>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</si>
  <si>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</si>
  <si>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</si>
  <si>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</si>
  <si>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</si>
  <si>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</si>
  <si>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</si>
  <si>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</si>
  <si>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</si>
  <si>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</si>
  <si>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</si>
  <si>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UNENCLOSED FIRE FIGHTER TRAINER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</si>
  <si>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</si>
  <si>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</si>
  <si>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</si>
  <si>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</si>
  <si>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</si>
  <si>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</si>
  <si>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</si>
  <si>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</si>
  <si>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</si>
  <si>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ICBM PROCESSING FACILITY</t>
  </si>
  <si>
    <t>SHIP MAINTENANCE DRY DOCK</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</si>
  <si>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</si>
  <si>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</si>
  <si>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</si>
  <si>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</si>
  <si>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</si>
  <si>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</si>
  <si>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</si>
  <si>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</si>
  <si>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</si>
  <si>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</si>
  <si>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AIRCRAFT PRODUCTION STRUCTURE</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</si>
  <si>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</si>
  <si>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</si>
  <si>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</si>
  <si>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</si>
  <si>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</si>
  <si>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</si>
  <si>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</si>
  <si>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</si>
  <si>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</si>
  <si>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</si>
  <si>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</si>
  <si>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</si>
  <si>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</si>
  <si>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</si>
  <si>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</si>
  <si>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</si>
  <si>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</si>
  <si>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</si>
  <si>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</si>
  <si>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</si>
  <si>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</si>
  <si>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</si>
  <si>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</si>
  <si>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AERODYNAMIC WIND TUNNEL</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</si>
  <si>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</si>
  <si>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</si>
  <si>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</si>
  <si>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</si>
  <si>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</si>
  <si>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</si>
  <si>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</si>
  <si>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</si>
  <si>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</si>
  <si>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</si>
  <si>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</si>
  <si>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</si>
  <si>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</si>
  <si>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</si>
  <si>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</si>
  <si>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</si>
  <si>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</si>
  <si>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</si>
  <si>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</si>
  <si>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GENERAL ADMIN BUILDING, HIGH-RISE</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</si>
  <si>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</si>
  <si>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</si>
  <si>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</si>
  <si>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</si>
  <si>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</si>
  <si>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</si>
  <si>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</si>
  <si>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</si>
  <si>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</si>
  <si>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</si>
  <si>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</si>
  <si>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</si>
  <si>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</si>
  <si>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</si>
  <si>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UNACCOMPANIED PERSONNEL HOUSING CARPORT</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</si>
  <si>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</si>
  <si>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</si>
  <si>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</si>
  <si>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</si>
  <si>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</si>
  <si>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</si>
  <si>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</si>
  <si>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</si>
  <si>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</si>
  <si>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</si>
  <si>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</si>
  <si>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</si>
  <si>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</si>
  <si>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</si>
  <si>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</si>
  <si>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</si>
  <si>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</si>
  <si>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</si>
  <si>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</si>
  <si>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</si>
  <si>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CAR WASH STRUCTURE</t>
  </si>
  <si>
    <t>EDUCATION CENTER</t>
  </si>
  <si>
    <t>SCHOOL PLAYGROUNDS</t>
  </si>
  <si>
    <t>RELIGIOUS EDUCATION FACILITY</t>
  </si>
  <si>
    <t>FAMILY SERVICE CENTER</t>
  </si>
  <si>
    <t>FORESTRY GUARD STATION</t>
  </si>
  <si>
    <t>LOCKER ROOM</t>
  </si>
  <si>
    <t>MISCELLANEOUS PERSONNEL SHELTER</t>
  </si>
  <si>
    <t>PUBLIC RESTROOM/SHOWER</t>
  </si>
  <si>
    <t>CEREMONIAL HALL</t>
  </si>
  <si>
    <t>EXCHANGE SUPPORT FACILITY</t>
  </si>
  <si>
    <t>PRIVATE VEHICLE INSECTION STATION</t>
  </si>
  <si>
    <t>1.O21</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</si>
  <si>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</si>
  <si>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</si>
  <si>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</si>
  <si>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</si>
  <si>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</si>
  <si>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</si>
  <si>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</si>
  <si>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</si>
  <si>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</si>
  <si>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</si>
  <si>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COMMUNITY ACTIVIES / CONFERENCE CENTER</t>
  </si>
  <si>
    <t>RECREATIONAL LODGING</t>
  </si>
  <si>
    <t>TRANSIENT AND RECREATIONAL LODGING SUPPORT FACILITY</t>
  </si>
  <si>
    <t>STABLE</t>
  </si>
  <si>
    <t>BOATHOUSE</t>
  </si>
  <si>
    <t>MISCELLANEOUS MWR FACILITY</t>
  </si>
  <si>
    <t>RECREATIONAL SUPPORT BUILDING</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</si>
  <si>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</si>
  <si>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</si>
  <si>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</si>
  <si>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</si>
  <si>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</si>
  <si>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</si>
  <si>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</si>
  <si>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</si>
  <si>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</si>
  <si>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</si>
  <si>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</si>
  <si>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</si>
  <si>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</si>
  <si>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</si>
  <si>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</si>
  <si>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</si>
  <si>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</si>
  <si>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ELECTRICAL POWER SOURCE</t>
  </si>
  <si>
    <t>ELECTRICAL POWER SOURCE HYDROELECTRIC</t>
  </si>
  <si>
    <t>ELECTRICAL POWER SOURCE, WIND GENERATED</t>
  </si>
  <si>
    <t>ELECTRICAL POWER SOURCE, PHOTOVOLTAIC</t>
  </si>
  <si>
    <t>EXTERIOR LIGHTING, POLE</t>
  </si>
  <si>
    <t>ELECTRIC VEHICLE CHARGE FACILITY</t>
  </si>
  <si>
    <t>LIGHTNING PROTECTION SYSTEM, STAND-ALONE</t>
  </si>
  <si>
    <t>HEAT SOURCE</t>
  </si>
  <si>
    <t>MB</t>
  </si>
  <si>
    <t>HEAT GAS PRODUCTION PLANT</t>
  </si>
  <si>
    <t>HEAT GAS STORAGE</t>
  </si>
  <si>
    <t>HEAT GAS DISTRIBUTION LINE</t>
  </si>
  <si>
    <t>REFRIGERATION AND AIR CONDITIONING SOURCE</t>
  </si>
  <si>
    <t>CHILLED WATER AND REFRIGERANT DISTRIBUTION LINE</t>
  </si>
  <si>
    <t>SEWAGE TREATMENT</t>
  </si>
  <si>
    <t>INDUSTRIAL WASTE TREATMENT</t>
  </si>
  <si>
    <t>WATER SEPARATION FACILITY</t>
  </si>
  <si>
    <t>SEPTIC TANK AND DRAIN FIELD</t>
  </si>
  <si>
    <t>SEPTIC LAGOON AND SETTLEMENT PONDS</t>
  </si>
  <si>
    <t>SEWER AND INDUSTRIAL WASTE LINE</t>
  </si>
  <si>
    <t>REFUSE COLLECTION AND RECYCLING FACILITY</t>
  </si>
  <si>
    <t>INCINERATOR</t>
  </si>
  <si>
    <t>SANITARY LANDFILL</t>
  </si>
  <si>
    <t>HAZARDOUS WASTE LANDFILL</t>
  </si>
  <si>
    <t>WATER TREATMENT FACILITY</t>
  </si>
  <si>
    <t>WATER STORAGE, POTABLE</t>
  </si>
  <si>
    <t>WATER WELL, POTABLE</t>
  </si>
  <si>
    <t>DESALINIZATION PLANT</t>
  </si>
  <si>
    <t>WATER DISTRIBUTION LINE, POTABLE</t>
  </si>
  <si>
    <t>WATER DISTRIBUTION LINE, FIRE PROTECTION</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</si>
  <si>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</si>
  <si>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</si>
  <si>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</si>
  <si>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</si>
  <si>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</si>
  <si>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</si>
  <si>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</si>
  <si>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</si>
  <si>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</si>
  <si>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</si>
  <si>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</si>
  <si>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</si>
  <si>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</si>
  <si>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</si>
  <si>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</si>
  <si>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</si>
  <si>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</si>
  <si>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</si>
  <si>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STORM WATER FILTRATION</t>
  </si>
  <si>
    <t>STORM WATER TREATMENT STUCTURE</t>
  </si>
  <si>
    <t>BOUNDARY FENCE AND WALL</t>
  </si>
  <si>
    <t>SECURITY FENCE</t>
  </si>
  <si>
    <t>NAVIGATION REVETMENTS</t>
  </si>
  <si>
    <t>MONITORING WELL</t>
  </si>
  <si>
    <t>UTILITY BUILDING</t>
  </si>
  <si>
    <t>INSTALLATION GAS PRODUCTION PLANT</t>
  </si>
  <si>
    <t>INSTALLATION GAS STORAGE</t>
  </si>
  <si>
    <t>VEHICLE SCALES</t>
  </si>
  <si>
    <t>MISCELLANEOUS PUMP STATION</t>
  </si>
  <si>
    <t>HAZARDOUS WASTE STORAGE OR DISPOSAL FACILITY</t>
  </si>
  <si>
    <t>UTILITY VAULTS</t>
  </si>
  <si>
    <t>LOADING PLATFORM/RAMP</t>
  </si>
  <si>
    <t>MISCELLANEOUS UTILITY FACILITY</t>
  </si>
  <si>
    <t>INSTALLATION GAS DISTRIBUTION LINE</t>
  </si>
  <si>
    <t>UTILITY TUNNEL</t>
  </si>
  <si>
    <t>UTILIITY CHANNEL</t>
  </si>
  <si>
    <t>MISCELLANEOUS STORAGE TANK AND BASIN</t>
  </si>
  <si>
    <t>Notes:</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</si>
  <si>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</si>
  <si>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</si>
  <si>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</si>
  <si>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</si>
  <si>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</si>
  <si>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</si>
  <si>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</si>
  <si>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</si>
  <si>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</si>
  <si>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</si>
  <si>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</si>
  <si>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</si>
  <si>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</si>
  <si>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</si>
  <si>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</si>
  <si>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</si>
  <si>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</si>
  <si>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</si>
  <si>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</si>
  <si>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</si>
  <si>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</si>
  <si>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Marshall and Swift (M&amp;S) Building Class and Type Selection Business Rule for PRV Unit Cost (PUC)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</si>
  <si>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</si>
  <si>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</si>
  <si>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</si>
  <si>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</si>
  <si>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</si>
  <si>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</si>
  <si>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</si>
  <si>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</si>
  <si>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</si>
  <si>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</si>
  <si>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</si>
  <si>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Facilities designed to mitigate explosive overpressures, or high rises: FACs 1491, 2121, 2123, 2125, 2136, 2152, 2153, 2154, 2161,2162, 2163, 2211, 2221, 2251, 2252, 2261, 2262, 3151, 3161, 3181, 4212, 4231, 6107.</t>
  </si>
  <si>
    <t>Reinforced concrete columns and beams, fire-resistant construction.</t>
  </si>
  <si>
    <t>Concrete or concrete on steel deck, fireproofed.</t>
  </si>
  <si>
    <t>Facilities designed for industrial, storage, or medical purposes, except those in Class A.  FACs in 1000, 2000, 3000, 4000, and 5000 series.</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</si>
  <si>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</si>
  <si>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</si>
  <si>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</si>
  <si>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</si>
  <si>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</si>
  <si>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</si>
  <si>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</si>
  <si>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</si>
  <si>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</si>
  <si>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</si>
  <si>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</si>
  <si>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</si>
  <si>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</si>
  <si>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</si>
  <si>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</si>
  <si>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</si>
  <si>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</si>
  <si>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</si>
  <si>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Footnotes:</t>
  </si>
  <si>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</si>
  <si>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</si>
  <si>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t>2021 Elevator Business Rule</t>
  </si>
  <si>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</si>
  <si>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</si>
  <si>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</si>
  <si>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</si>
  <si>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</si>
  <si>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(Col E +
Col F) -1</t>
  </si>
  <si>
    <t>Col G/
(Col E+F)</t>
  </si>
  <si>
    <t># Pers per SF by Occupanc
(Note 4)</t>
  </si>
  <si>
    <t>Max
Occupancy =
Col C / Col I</t>
  </si>
  <si>
    <t xml:space="preserve">Col I * Col J =
# of Passengers </t>
  </si>
  <si>
    <t>Col J/200 Passengers per car  =   #  of Elevators (Note 5)</t>
  </si>
  <si>
    <t># of Elevators
(Rounded)
(Note 6)</t>
  </si>
  <si>
    <t>I</t>
  </si>
  <si>
    <t>F</t>
  </si>
  <si>
    <t>H</t>
  </si>
  <si>
    <t xml:space="preserve"> BIOSAFTY LEVEL 3 LABORATORY</t>
  </si>
  <si>
    <t>W</t>
  </si>
  <si>
    <t>R</t>
  </si>
  <si>
    <t>M</t>
  </si>
  <si>
    <t>E</t>
  </si>
  <si>
    <t>All areas above are gross size and derived from the 2020  Real Property Assets Database (RPAD)</t>
  </si>
  <si>
    <t>IBC Occupancy Types from 2018 International Building Code, "Use and Occupancy Classification", Chapter 3</t>
  </si>
  <si>
    <t>Average number of floors above/below ground are from the 2020 RPAD</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</si>
  <si>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</si>
  <si>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</si>
  <si>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</si>
  <si>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</si>
  <si>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Occupancy</t>
  </si>
  <si>
    <t>Requirement</t>
  </si>
  <si>
    <t>A (A-1,-3, -4)</t>
  </si>
  <si>
    <t>&gt;12,000 SF</t>
  </si>
  <si>
    <t>A-2</t>
  </si>
  <si>
    <t>&gt;5,000 SF or Occupant load &gt;100 or fire area on a floor other than level of discharge</t>
  </si>
  <si>
    <t>Ambulatory Care</t>
  </si>
  <si>
    <t>4 or more  patients incapable of self-preservation</t>
  </si>
  <si>
    <t>&gt;5,000 SF</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</si>
  <si>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</si>
  <si>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</si>
  <si>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</si>
  <si>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</si>
  <si>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</si>
  <si>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</si>
  <si>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</si>
  <si>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</si>
  <si>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</si>
  <si>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</si>
  <si>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</si>
  <si>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</si>
  <si>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</si>
  <si>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 xml:space="preserve"> - Ambulatory care facilities: Note – these are buildings or portions of buildings used for medical, surgical, psychiatric, nursing or similar care on a less than 24 hour basis to individuals who are rendered incapable of self-preservation by the services provided</t>
  </si>
  <si>
    <t xml:space="preserve"> - Banks, electronic data processing</t>
  </si>
  <si>
    <t xml:space="preserve"> - Laboratories for testing and research</t>
  </si>
  <si>
    <t xml:space="preserve"> - Professional services (architects, engineers, attorneys, dentists, physicians, etc)</t>
  </si>
  <si>
    <t xml:space="preserve"> -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</si>
  <si>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</si>
  <si>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</si>
  <si>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</si>
  <si>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</si>
  <si>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</si>
  <si>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</si>
  <si>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</si>
  <si>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</si>
  <si>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</si>
  <si>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</si>
  <si>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 xml:space="preserve"> - Department stores</t>
  </si>
  <si>
    <t xml:space="preserve"> - Drug stores</t>
  </si>
  <si>
    <t xml:space="preserve"> - Markets</t>
  </si>
  <si>
    <t xml:space="preserve"> - Motor fuel dispensing facilities</t>
  </si>
  <si>
    <t xml:space="preserve"> -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</si>
  <si>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</si>
  <si>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</si>
  <si>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</si>
  <si>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</si>
  <si>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</si>
  <si>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</si>
  <si>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</si>
  <si>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</si>
  <si>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</si>
  <si>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</si>
  <si>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</si>
  <si>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1.  International Building Code, Chapter 9, Section 903, International Code Council, 2018</t>
  </si>
  <si>
    <t>2.  For H Occupancies, add extra hazard premium cost and early suppression system and early suppression pump</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</si>
  <si>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</si>
  <si>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</si>
  <si>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</si>
  <si>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Loading Dock Footnote</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</si>
  <si>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</si>
  <si>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</si>
  <si>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</si>
  <si>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</si>
  <si>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</si>
  <si>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</si>
  <si>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</si>
  <si>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</si>
  <si>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</si>
  <si>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</si>
  <si>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</si>
  <si>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</si>
  <si>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</si>
  <si>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</si>
  <si>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</si>
  <si>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</si>
  <si>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</si>
  <si>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Tot</t>
  </si>
  <si>
    <t>DEPENDENT SCHOOL SUPPORT FACILITY</t>
  </si>
  <si>
    <t>Marine Loading Arm</t>
  </si>
  <si>
    <t>G3060046102</t>
  </si>
  <si>
    <t>G2060902721</t>
  </si>
  <si>
    <t>G2060902723</t>
  </si>
  <si>
    <t>Arresting System - Bak12/Bak14 B/G (Below Ground)</t>
  </si>
  <si>
    <t>Arresting System - Bak12/61QS2 B/G (Below Ground)</t>
  </si>
  <si>
    <t>Aircraft Blast Deflector</t>
  </si>
  <si>
    <t>G2060902710</t>
  </si>
  <si>
    <t>Blast Deflector</t>
  </si>
  <si>
    <t>$1,141,908.93</t>
  </si>
  <si>
    <t>$1,503,514.37</t>
  </si>
  <si>
    <t>$115,873.84</t>
  </si>
  <si>
    <t>Average size extracted from 2021 RPAD (212 assets); average length = 117.7 LF; average width = 81.3 LF.</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</si>
  <si>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
IBC, 2021 Edition.</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</si>
  <si>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3, 10 May 2019.
Commercial Real Estate Development Association, NAIOP Research Foundation, “NAIOP Terms and Definitions;" https://www.naiop.org/en/Research/Terms-and-Definitions.
UFGS-11 13 19.13, "Loading Dock Levelers,"  August 2009
IBC, 2021 edition</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</si>
  <si>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2.22 yielding 1 elevator for the maximum number of occupants applying  the Elevator Business Rule.  
The Marshall and Swift building selected for this FAC includes elevators as part of the unit price.
</t>
  </si>
  <si>
    <t xml:space="preserve">UFC 4-179-01, "Design: Navy Firefighting School Facilities," 16 January 2004
NFPA 1402, "Guide to Building Fire Service Training Centers," 2019 Edition
</t>
  </si>
  <si>
    <t xml:space="preserve">The USACE HNC RTLP Fact Sheet, August 2021.
The USACE HNC RTLP, Program Information, https://www.hnc.usace.army.mil/Missions/Installation-Support-and-Programs-Management/Range-and-Training-Land-Program/Range-Design-Guide/.
U.S. Army TC 25-8, "Training Ranges," 2 November 2021                                                                                                                                                                                                                                                                                                                                                                            
</t>
  </si>
  <si>
    <t xml:space="preserve">USACE PAX Newsletter 3.2.2, 25 May 2022
USACE PAX Newsletter 3.2.2, 6 April 2017                                         </t>
  </si>
  <si>
    <t>Inflated from 2021;
Marshall and Swift Valuation, October 2020</t>
  </si>
  <si>
    <t>Inflated from 2021:
Marshall and Swift Valuation, October 2020</t>
  </si>
  <si>
    <t>Inflated from FY2021;
MTMC Stony Point Data FY 2000</t>
  </si>
  <si>
    <t>Inflated from 2021:
Marshall and Swift Valuation, October 2020;
USACE PAX Newsletter 3.2.2, 21 May 2021</t>
  </si>
  <si>
    <t>USACE PAX Newsletter 3.2.2, 16 May 2016;
UFC 4-214-03, 17 March 2018</t>
  </si>
  <si>
    <t xml:space="preserve">Inflated from FY2021; Set equal to FAC 1452
 AFCESA Cost Handbook FY1999 </t>
  </si>
  <si>
    <t>PACES 1.4;
UFC 3-260-01, 04 Feb 2019, with Change 1, 05 May 2020; UFC 3-260-02, 30 June 2001</t>
  </si>
  <si>
    <t>PACES 1.4;  UFC 3-535-01,
11 April 2017, with Change 3, 21 May 2021</t>
  </si>
  <si>
    <t>Inflated from 2021;
Marshall and Swift Valuation; October 2020</t>
  </si>
  <si>
    <t>UFC 4-440-01, "Warehouse and Storage Facilities," 01 October 2014, with Change 1, 01 April 2019
NFPA 13, "Standard for the Installation of Fire Sprinkler Systems," 2022
UFC 3-600-01, "Fire Protection Engineering for Facilities," 08 August 2016 with Change 5, 06 May 2021
Commercial Real Estate Development Association, NAIOP Research Foundation, “NAIOP Terms and Definitions;" https://www.naiop.org/en/Research/Terms-and-Definitions.
IBC, 2021 edition</t>
  </si>
  <si>
    <t>UFC 3-201-01, "Civil Engineering," 01 April 2018, with Change 5, 01 April 2021
UFC 3-220-10, "Soil Mechanics," 01 February 2022
UFC 3-220-01, "Geotechnical Engineering," 1 November 2012, with Change 1, 03 November 2021
UFC 3-600-01, "Fire Protection Engineering for Facilities," 08 August 2016 with Change 6, 6 May 2021</t>
  </si>
  <si>
    <t>USACE PAX Newsletter 3.2.2, 06 April 2017</t>
  </si>
  <si>
    <t>USACE PAX Newsletter 3.2.2, 04 January 2011</t>
  </si>
  <si>
    <t>Inflated from FY2021;
Marshall and Swift Valuation, October 2020</t>
  </si>
  <si>
    <t xml:space="preserve">Inflated from FY2021; Service-provided PRV </t>
  </si>
  <si>
    <t xml:space="preserve">UFC 3-101-01, "Architecture," 16 December 2020, with Change 1, 05 January 2021.
UFC 4-200-xx (Series), Maintenance and Production Facilities, various dates.
</t>
  </si>
  <si>
    <t xml:space="preserve">NFPA 13, Standard for the Installation of Fire Sprinkler Systems, 2022.
UFC 3-600-01, "Fire Protection Engineering for Facilities," 08 August 2016, with Change 6, 06 May 2021.
Commercial Real Estate Development Association, NAIOP Research Foundation, “NAIOP Terms and Definitions;" https://www.naiop.org/en/Research/Terms-and-Definitions.
IBC, 2021 edition
</t>
  </si>
  <si>
    <t xml:space="preserve">Commercial Real Estate Development Association, NAIOP Research Foundation, “NAIOP Terms and Definitions;" https://www.naiop.org/en/Research/Terms-and-Definitions.
UFGS-11 13 19.13, "Loading Dock Levelers," August 2009, with Change 1, May 2019.
WBGD Federal Green Construction Guide for Specifiers, Section 11 13 00 (11160), "Loading Dock Equipment," 04 January 2010.
IBC, 2021 edition.                                                                                                </t>
  </si>
  <si>
    <t>Refuse Collection and Recycling Structure</t>
  </si>
  <si>
    <t xml:space="preserve">UFC 1-200-01, "DoD Building Code," 08 October 2019, with Change 1, 01 October 2020
UFC 3-600-01, "Fire Protection Engineering for Facilities," 08 August 2016, with Change 6, 06 May 2021
IBC, 2021 edition
</t>
  </si>
  <si>
    <t xml:space="preserve">UFC 3-101-01, "Architecture," 16 December 2020, with Change 1, 05 January 2021.
UFC 4-300-xx (Series), Research, Development, Test and Evaluation Facilities
Commercial Real Estate Development Association, NAIOP Research Foundation, “NAIOP Terms and Definitions: North American Office and Industrial Market, pg. 12.
UFGS-11 13 19.13, "Loading Dock Levelers," August 2009, with Change 1, May 2019
</t>
  </si>
  <si>
    <t xml:space="preserve">UFC 1-200-01, “DoD Building Code (General Building Requirements),” 20 June 2016, with Change 1, 01 February 2018
UFC 3-600-01, "Fire Protection Engineering for Facilities," 08 August 2016, with Change 6, 06 March 2021
IBC, 2021 edition
Commercial Real Estate Development Association, NAIOP Research Foundation, “NAIOP Terms and Definitions: North American Office and Industrial Market, pg. 12.
UFGS-11 13 19.13, "Loading Dock Levelers," August 2009, with Change 1, May 2019
</t>
  </si>
  <si>
    <t xml:space="preserve">UFC 1-200-01, “DoD Building Code,” 8 October 2019, with Change 1, 1 October 2020 
UFC 3-600-01, "Fire Protection Engineering for Facilities," 8 August 2016, with Change 6, 6 March 2021
IBC, 2021 edition
</t>
  </si>
  <si>
    <t>UFC 3-101-01, "Architecture," 16 December 2020, with Change 1, 5 January 2021.
Commercial Real Estate Development Association, NAIOP Research Foundation, “NAIOP Terms and Definitions: North American Office and Industrial Market, pg. 12.
UFGS-11 13 19.13, "Loading Dock Levelers," August 2009, with Change 1, May 2019
IBC, 2021 edition</t>
  </si>
  <si>
    <t xml:space="preserve">UFC 1-200-01, “DoD Building Code,” 18 October 2019, with Change 1, 1 October 2020.
UFC 3-600-01, "Fire Protection Engineering for Facilities," 08 August 2016, with Change 6, 06 May 2021.
IBC, 2021 edition
</t>
  </si>
  <si>
    <t xml:space="preserve"> UFC 3-101-01, "Architecture," 16 December 2020, with Change 1, 05 January 2021.
 Commercial Real Estate Development Association, NAIOP Research Foundation, “NAIOP Terms and Definitions: North American Office and Industrial Market," pg. 12.
UFGS-11 13 19.13, "Loading Dock Levelers," August 2009, with Change 1, May 2019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</si>
  <si>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1 loading dock assembly is provided.   
The guide specification for design of a loading dock is contained in the Unified Facilities Guide Specification. 
The average number of floors is 1.90 yielding 1 elevators for the maximum number of occupants applying the Elevator Business Rule. The Marshall and Swift RDT&amp;E building, type 392, Class B building includes an elevator in the basic square foot cost.
</t>
  </si>
  <si>
    <t xml:space="preserve">UFC 3-101-01, "Architecture," 16 December 2020, with Change 1, 05 January 2021.
Commercial Real Estate Development Association, NAIOP Research Foundation, “NAIOP Terms and Definitions: North American Office and Industrial Market," pg. 12.
UFGS-11 13 19.13, "Loading Dock Levelers," August 2009, with Change 1, May 2019
</t>
  </si>
  <si>
    <t xml:space="preserve">USACE PAX Newsletters 3.2.2;
Marshall and Swift Valuation, October 2021
</t>
  </si>
  <si>
    <t>USACE PAX Newsletter 3.2.2, 4 January 2011;
Navy FY2008 Military Construction Program</t>
  </si>
  <si>
    <t>RPAD Average Size from 2021 RPAD average facility dimensions (263.8 FT * 101.8 FT)' by 251'); 15 Asset Allocations.</t>
  </si>
  <si>
    <t xml:space="preserve">Marshall &amp; Swift Valuation, October 2021:
USACE PAX Newsletter 3.2.2, 25 May 2022;
USACE PAX Newsletter 3.2.2, 04 Jan 2011
</t>
  </si>
  <si>
    <t>Inflated from FY2021;
FY2006 PACES and RS Means</t>
  </si>
  <si>
    <t>UFC 4-440-01, "Warehouse and Storage Facilities," 01 October 2014.
NFPA 13, "Standard for the Installation of Fire Sprinkler Systems," 2016 Edition.
UFC 3-600-01, "Fire Protection Engineering for Facilities," 08 August 2016 with Change 6, 06 May 2021.
Commercial Real Estate Development Association, NAIOP Research Foundation, “NAIOP Terms and Definitions: North American Office and Industrial Market."
IBC, 2021 edition.</t>
  </si>
  <si>
    <t xml:space="preserve">UFC 3-600-01, "Fire Protection Engineering for Facilities," 08 August 2016 with Change 6, 06 May 2021
UFC 4-440-01, "Warehouse and Storage Facilities," 01 October 2014, with Change 1, 01 April 2019.
NFPA Standard 13, "Standard for the Installation of Fire Sprinkler Systems," 2022
Commercial Real Estate Development Association, NAIOP Research Foundation, “Commercial Real Estate Terms and Definitions," 2017.
UFGS-11 13 19.13, "Loading Dock Levelers," August 2009, with Change 1, May 2019
IBC, 2021 edition                         </t>
  </si>
  <si>
    <t xml:space="preserve">UFC 1-200-01, “DoD Building Code,” 8 October 2019, with Change 1, 01 October 2020
UFC 3-600-01, "Fire Protection Engineering for Facilities," 08 August 2016 with Change 6, 06 May 2021.
IBC, 2021 edition
</t>
  </si>
  <si>
    <t>Inflated from 2021;
WHS-reported Construction Cost</t>
  </si>
  <si>
    <t xml:space="preserve">UFC 4-510-01, "Design: Military Medical Facilities,"  30 May 2019, with Change 1, 04 December  2019. 
UFC 4-720-01 "Lodging Facilities," 13 February 2012. Per DoD requirements, provide accessible rooms per Table F224.2 of the ABA Accessibility Standard for DoD facilities.
FC 4-721-10N, "Navy and Marine Corps Unaccompanied Housing," 1 November 2012, with Change 6, 1 May 2015. 
UFC 3-600-01, "Fire Protection Engineering for Facilities," 8 August 2016 with Change 6, 6 May 2021.
IBC, 2021 Edition.
UFC 3-101-01, "Architecture," 16 December 2020, with Change 1, 05 January 2022.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</si>
  <si>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1 April 2015. 
UFC 3-600-01, "Fire Protection Engineering for Facilities," 08 August 2016, with Change 6, 06 May 2021.
IBC, 2021 Edition. 
</t>
  </si>
  <si>
    <t>IBC, 2021 Edition</t>
  </si>
  <si>
    <t>Facilities designed to:
1.	protect equipment or other assets from effects of weather
2.	facilities used for utility or industrial purpose in the 8000 FAC series</t>
  </si>
  <si>
    <r>
      <t xml:space="preserve">[2] Selection of FACs based upon structural design, and materials used in construction.  Due to design and construction differences between DoD and the commercial sector, not every FAC will fit exactly in the categories outlined above.  There are FACs within a DoD asset class (1000, 2000...) that are more appropriately mapped to a different M&amp;S Building Class based on materials or design.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</si>
  <si>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Inflated from 2021;
Marshall and Swift Valuation, October 2021</t>
  </si>
  <si>
    <t xml:space="preserve">IBC, 2021 edition
</t>
  </si>
  <si>
    <t xml:space="preserve">Army Regulation AR 215-1, “Military Morale, Welfare and Recreation Programs and Nonappropriated Fund Instrumentalities," Appendix E, "Construction Funding for Military Morale, Welfare, and Recreation Facilities," 24 September 2010.
IBC, 2021 edition
</t>
  </si>
  <si>
    <t xml:space="preserve">IBC, 2021 edition.
NFPA Codes
</t>
  </si>
  <si>
    <t xml:space="preserve">IBC, 2021.
Commercial Real Estate Development Association, NAIOP Research Foundation, “NAIOP Terms and Definitions: North American Office and Industrial Market, pg. 12.
UFGS-11 13 19.13, August 2009, with Change 1, May 2019.
</t>
  </si>
  <si>
    <t xml:space="preserve">UFC 3-600-01, "Fire Protection Engineering for Facilities," 8 August 2016 with Change 6, 6 May 2021
NFPA Publication 101, Life Safety Code, 2021 edition 
IBC, 2021 edition 
</t>
  </si>
  <si>
    <t xml:space="preserve">UFC 3-600-01, "Fire Protection Engineering for Facilities," 08 August 2016 with Change 6, 06 May 2021.
NFPA Publication 101, Life Safety Code, 2021 edition 
IBC, 2021 Edition 
</t>
  </si>
  <si>
    <t xml:space="preserve"> UFC 3-600-01, "Fire Protection Engineering for Facilities," 08 August 2016 with Change 6, 06 May 2021
 NFPA Publication 101, Life Safety Code, 2021 edition 
 IBC, 2021 edition
</t>
  </si>
  <si>
    <t>Unified Facilities Criteria (UFC) 4-750-02N (Inactive) provides design criteria for outdoor sports and recreation facilities</t>
  </si>
  <si>
    <t xml:space="preserve">UFGS 11 68 13, “Playground Equipment,” 01 August 2017 
UFGS 32 18 16.13, “Playground Protective Surfacing,” 01 August 2017
UFGS 32 31 13, “Chain Link Fences and Gates," 01 November 2021
UFGS 32 92 19, “Seeding,” 01 August 2017
UFGS 32 93 00, “Exterior Plants,” 01 August 2017 
Jogging Trail Design size 10,560 ft x 6 ft
FAC 7542 has 2,443 records, of which 1,362 are Air Force; 116 are Navy; and, 965 are Army.
</t>
  </si>
  <si>
    <t>Cost from MILCON project DD Form 1354; constructed in 2008.  
Area adjustment = Marshall and Swift Local Multiplier (Class C) for Arlington, VA (1.07) / 2019 DoD Area Cost Factor for Arlington, VA. (1.01).
184 Memorial Units (EA) at the Pentagon Memorial.</t>
  </si>
  <si>
    <t xml:space="preserve">American Society of Mechanical Engineers (ASME) Boiler and Pressure Vessel Code (BPVC) Section IV (2015)  governs the construction of the boiler (heat source).
Heat source controls are governed by ASME CSD-1-2015.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</si>
  <si>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Marshall &amp; Swift cost are for standard gas- and light-oil-fired boilers, complete with pumps, controls and gauges, 15 LB pressure for steam, 30 LB for water.  Cost does  not include flue piping, electric wiring, pad, gas or oil piping or storage tanks.
ASME Boiler and Pressure Vessel (BPVC), 2021
Controls and Safety Devices for Automatically Fired Boilers, 2015
UFC 3-410-01, “Heating, Ventilation and Air Conditioning Systems," 01 July 2013, with Change 8, 21 July 2021
UFC 3-430-02FA, “Central Steam Boiler Plants," 15 May 2003, with Change 1, 01 December 2007
UFC 3-430-08N, “Central Heating Plants,” 16 January 2004
UFC 3-600-01, "Fire Protection Engineering for Facilities," 08 August 2016 with Change 6, 06 May 2021
NFPA 850, "Recommended Practice for Fire Protection for Electric Generating Plants and High Voltage Direct Current Converter Stations," 2015 edition</t>
  </si>
  <si>
    <t xml:space="preserve">UFC 3-401-01, “Mechanical Engineering,” of 1 July 2013 with Change 1, October 2015
UFC 3-600-01, "Fire Protection Engineering For Facilities," 8 August 2016 with Change 6, 06 May 2021
UFC 4-826-10, “Design: Refrigeration Systems for Cold Storage,” 10 July 2002
UFGS 23 64 00, “Packaged Water Chillers, Absorption Type,” 01 November 2016
UFGS 23 64 10, “Water Chillers, Vapor Compression Type,” 01 November 2016
UFGS 42 22 13.00 40, “Centrifugal Process Chillers and Coolers,” 01 August 2017
UFGS 42 22 16.00 40, “Reciprocating Process Chillers and Coolers,” 01 May 2017
NFPA 850, "Recommended Practice for Fire Protection for Electrical Generating Plants and High Voltage D Converter Stations,"01  6.6.1, 2015. 
</t>
  </si>
  <si>
    <t xml:space="preserve">The average quantity for this FAC is 1,341 KG.  The standard industry unit of measure is MGD, millions of gallons per day.  
This FAC does not represent a building and therefore has no International Building Code Occupancy Group.
</t>
  </si>
  <si>
    <t>UFC 3-240-02, “Domestic Wastewater Treatment,” 01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(Archived - no replacement)
UFGS 46 73 10, “Floating Cover for Sludge-Digestion Tanks,” February 2011 (Archived - no replacement)</t>
  </si>
  <si>
    <t xml:space="preserve">Unified Facilities Guide Specifications (UFGS) provide guidance for the selection of materials; see references in Footnotes below.
</t>
  </si>
  <si>
    <t xml:space="preserve">UFC 3-240-01 and American Society of Civil Engineers (ASCE) Manual of Practice (MOP) 60 provide design criteria for this FAC.
</t>
  </si>
  <si>
    <t xml:space="preserve">UFGS 33 30 00  provides guidance for the selection of materials.  
</t>
  </si>
  <si>
    <t xml:space="preserve">UFC 3-240-01, “Wastewater Collection”, 1 November 2012, with Change 2, 1 January 2019.
UFGS 33 30 00, “Sanitary Sewerage,” May 2018.
ASCE MOP 60, "Gravity Sanitary Sewer Design and Construction," 2nd Edition, January 1, 2007.
</t>
  </si>
  <si>
    <t xml:space="preserve">UFC 3-230-03  provides design criteria for this FAC.
</t>
  </si>
  <si>
    <t xml:space="preserve">UFC 3-230-03  and UFGS 02 51 13  provide guidance for the selection of materials.  
</t>
  </si>
  <si>
    <t>The average quantity for this FAC is 931 KG.
This FAC does not represent a building and therefore has no International Building Code Occupancy Group.</t>
  </si>
  <si>
    <t xml:space="preserve">UFC 3-230-03, “Water Treatment,” 01 November 2012, with Change 2, 01 May 2020.
UFGS 02 51 13, "Precipitation/Coagulation/Flocculation Water Treatment," 01 May 2010.                                                                                                                                                                                                                                                                                                                                                                      UFGS 33 30 00, “Sanitary Sewerage,” 01 May 2018. 
</t>
  </si>
  <si>
    <t xml:space="preserve">UFC 3-230-01  provides design criteria for this FAC.
</t>
  </si>
  <si>
    <t xml:space="preserve">UFGS 33 11 00  provides guidance for the selection of materials.  
</t>
  </si>
  <si>
    <t xml:space="preserve">UFC 3-230-01, “Water Storage, Distribution, and Transmission," 01 September 2018, with Change 3, 01 July 2021.
UFGS 33 11 00, “Water Utility Distribution Piping,”  01 February 2018.
</t>
  </si>
  <si>
    <t>UFC 3-250-01, “Pavement Design for Roads and Parking Areas,"  14 November 2016.
UFC 3-250-09FA, “Aggregate Surfaced Roads and Airfield Areas,” 16 January 2004.
UFGS 32 13 13.06 , “Portland Cement Concrete Pavement for Roads and Site Facilities,” 01 May 2020.
UFGS 32 17 23, “Pavement Markings," August 2016, with Change 5, November 2018.</t>
  </si>
  <si>
    <t xml:space="preserve">UFC 3-250-01, “Pavement Design for Roads and Parking Areas,"  14 November 2016.
UFC 3-250-09FA, “Aggregate Surfaced Roads and Airfield Areas,” 16 January 2004.
UFGS 32 13 13.06 , “Portland Cement Concrete Pavement for Roads and Site Facilities,” May 2020.
</t>
  </si>
  <si>
    <t xml:space="preserve">UFC 3-201-01  provides design criteria for this FAC. 
</t>
  </si>
  <si>
    <t xml:space="preserve">Material guidance is provided in UFC 3-201-01 and UFGS 32 16 13.
</t>
  </si>
  <si>
    <t xml:space="preserve">UFC 3-201-01, “Civil Engineering,” 1 April 2018, with Change 5, 01 April 2021. 
UFGS 32 16 13, “Concrete Sidewalks and Curbs and Gutters,” May 2018.
</t>
  </si>
  <si>
    <t xml:space="preserve">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</si>
  <si>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UFC 3-201-01, “Civil Engineering,” 1 April 2018, with Change 5, 01 April 2021.
AASHTO, "Standard Specifications for Highway Bridges," 17th  edition, 2002
AASHTO, "LRFD Design Specification," U.S. Customary Units, 8th Edition, September 2017 (LRFD = Load and Resistance Factor Design).</t>
  </si>
  <si>
    <t>UFC 3-250-01, “Pavement Design for Roads and Parking Areas",  14 November 2016.
UFC 3-250-09FA, “Aggregate Surfaced Roads and Airfield Areas,” 16 January 2004.
UFGS 32 13 13.06 , “Portland Cement Concrete Pavement for Roads and Site Facilities,” 01 May 2020.
UFGS 32 17 23, “Pavement Markings," August 2016, with Change 5, November 2018.</t>
  </si>
  <si>
    <t>UFC 4-022-01, “Security Engineering:  Entry Control Facilities/Access Control Points, 27 July 2017.  
UFC 4-022-03, “Security Fences and Gates,” 1 October 2013.
ASCE 7-10, "Minimum Design Loads for Buildings and Other Structures,"  Third Printing, 2013.
UFGS 32 31 26, “Wire Fences and Gates,” November 2021.                                                                                                                                                                                                                                                                                                                    UFGS 32 31 13, “Chain Link Fences and Gates,”  November 
UFGS 32 32 23.13, “Segmental Concrete Block Retaining Wall,” February 2020.</t>
  </si>
  <si>
    <t>UFCs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</si>
  <si>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UFC 3-600-01, "Fire Protection Engineering for Facilities," 08 August 2016 with Change 6, 06 May 2021.
NFPA 850, "Recommended Practice for Fire Protection for Electric Generating Plants and High Voltage Direct Current Converter Stations,"2020. 
IBC, 2021 edition.</t>
  </si>
  <si>
    <t xml:space="preserve">Title 42 United States Code, "The Public Health and Welfare."
40 CFR Parts 261, "Identification and Listing of Hazardous Waste;" 262, "Standards Applicable to Generators of Hazardous Waste;" and, 266, "Standards for the Management of Specific Hazardous Wastes and Specific Types of Hazardous Waste Management Facilities."
DoD Instruction (DoDI) 4715.06, “Environmental Compliance in the United States,” 04 May 2015, incorporating Change 2, 31 August 2018.                                                                                                                                                                                        UFGS 02 81 00, “Transportation and Disposal of Hazardous Materials,” 1 November 2018.
PWTB 200-1-76, “Universal Waste Management and Disposal,” 23 March 2010.
</t>
  </si>
  <si>
    <t xml:space="preserve">UFC 3-460-01, “Design: Petroleum Fuel Facilities,” 16 July 2019, with Change 2, 12 January 2022. 
UFC 3-240-01, “Wastewater Collection and Treatment,”  01 May 2020, with Change 1, 01 January 2021.
UFC 3-201-01, “Civil Engineering,” 01 April 2018, with Change 5, 01 May 2021. 
PWTB 200-1-38, “Guidelines for Complying with the Oil Pollution Prevention Regulation,” 31 October 2006 .
PWTB 200-1-87, “Operation and Maintenance for Central Vehicle Wash Facilities,” 3 March 2011.
40 CFR Part 264, “Standard for Owners and Operators of Hazardous Waste Treatment, Storage and Disposal Facilities.”
40 CFR Part 279, “Standards for the Management of Used Oil.” </t>
  </si>
  <si>
    <t xml:space="preserve">UFC 3-460-01  provides guidance for waste oil storage tank.  UFC 3-240-01 provides general guidance and design criteria for the design of a broad spectrum of wastewater collection and treatment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</si>
  <si>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Average size derived from 2021 RPAD (7 Assets):  1,142.3 FT * 129.7 FT =  (148,156.2  SF)  </t>
  </si>
  <si>
    <t xml:space="preserve">Used only for prestige facilities in FACs 
5100 – hospital
6102 – Large Unit Headquarters
7386 – Ceremonial Hall
7440 - Comm Act/Conf Cntr
7601 – Museum 
</t>
  </si>
  <si>
    <t>Restroom Building, Class C Average</t>
  </si>
  <si>
    <t>Maintenance/Storage Building, Class C, Average</t>
  </si>
  <si>
    <t>Fieldhouse, Class C, Average</t>
  </si>
  <si>
    <t>Sprinkler, Wet System, 5,000 SF, Good</t>
  </si>
  <si>
    <t>Sewage Lift Station, 100 GPM</t>
  </si>
  <si>
    <t>GPD to KG</t>
  </si>
  <si>
    <t>Loading dock (Shipping Dock), 1 EA @ 144 SF, Structural steel or concrete piers &amp; frame; heavy duty floor</t>
  </si>
  <si>
    <t xml:space="preserve">There are 38 assets listed in the 2021 RPAD for FAC 1467.  All are Navy, and predominantly CCN 14915/Fixed Point Utilities System.  Majority of these systems provide Electric Power (FLEDS - Flight Line Electric Distribution System) for aircraft, usually for start up. MEPPS (Mobile Electric Power Plants) are not included as these are generally not Real Property.  </t>
  </si>
  <si>
    <t xml:space="preserve">In the 2021 RPAD, FAC 1499 (2,610 total assets) is comprised primarily of two asset categories (bunkers/safety shelters [871] and towers [1,490]) with 2,361 assets (90.5%) in those categories in the following CATCodes:
• Air Force 149411, Bunker (144 assets); Army 14181, Safety Shelter (662 assets); and Army 14925, Fighting Position (65 assets)
• Army 14940, Tower (1,076 assets); WHS 149400 (1 asset); Air Force 149965, RADAR Tower (43 assets); Air Force 149968, Special Tower (263 assets); Air Force 872845, Security Guard Tower (107 assets) 
</t>
  </si>
  <si>
    <t>Source:  DD 1391s for Magnetic Silencing/Sensing Ranges at three locations
ACFs Determined using March 2022 USACE Area Cost Factors</t>
  </si>
  <si>
    <t>Shipping dock, one 12' x 12' dock, structural steel or concrete piers  (144 SF)</t>
  </si>
  <si>
    <t>Unaccompanied Personnel Housing, Officers Quarters (does not include kitchentte equipment)</t>
  </si>
  <si>
    <t>Large high capacity package industrial boiler proportional cost of 1,000 HP and 6,000 HP boilers</t>
  </si>
  <si>
    <t>Utility Piping, pressure pipe, 6", steel, including trenching and backfill</t>
  </si>
  <si>
    <t>The construction cost of a hazardous waste landfill is determined to be 1.27 times the cost of a sanitary landfill.  Source: Landfill Economics: Getting Down to Business – Part 2 / March 16, 2016 / Daniel P. Duffy.  States now require double liners for landfills and / or utilize a liner with a full site lysimeter system to ensure groundwater protection and contaminant detection. 
Area Cost Factor and Inflation by MILCON index are not required as base cost is referenced to an already adjusted PUC.</t>
  </si>
  <si>
    <t xml:space="preserve">UFC 3-201-01, “Civil Engineering,” 1 April 2018, with Change 5, 01 April 2021.
AASHTO, "Standard Specifications for Highway Bridges," 17th edition, 2002
AASHTO, "LRFD Design Specification," U.S. Customary Units, 8th Edition, September 2017 (LRFD = Load and Resistance Factor Design).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</si>
</sst>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0.000000"/>
    <numFmt numFmtId="174" formatCode="_(&quot;$&quot;* #,##0_);_(&quot;$&quot;* \(#,##0\);_(&quot;$&quot;* &quot;-&quot;??_);_(@_)"/>
    <numFmt numFmtId="175" formatCode="&quot;$&quot;#,##0.00;[Red]&quot;$&quot;#,##0.00"/>
    <numFmt numFmtId="176" formatCode="&quot;$&quot;#,##0.0000_);\(&quot;$&quot;#,##0.0000\)"/>
    <numFmt numFmtId="177" formatCode="_(&quot;$&quot;* #,##0.000_);_(&quot;$&quot;* \(#,##0.000\);_(&quot;$&quot;* &quot;-&quot;??_);_(@_)"/>
    <numFmt numFmtId="178" formatCode="0.00000"/>
    <numFmt numFmtId="179" formatCode="&quot;$&quot;#,##0"/>
    <numFmt numFmtId="180" formatCode="_(&quot;$&quot;* #,##0.000_);_(&quot;$&quot;* \(#,##0.000\);_(&quot;$&quot;* &quot;-&quot;???_);_(@_)"/>
    <numFmt numFmtId="181" formatCode="#,##0.0000_);\(#,##0.0000\)"/>
    <numFmt numFmtId="182" formatCode="[$-409]dd\-mmm\-yy;@"/>
    <numFmt numFmtId="183" formatCode="#,##0.000_);\(#,##0.000\)"/>
    <numFmt numFmtId="184" formatCode="_(* #,##0.0000_);_(* \(#,##0.0000\);_(* &quot;-&quot;????_);_(@_)"/>
    <numFmt numFmtId="185" formatCode="_(&quot;$&quot;* #,##0.0000_);_(&quot;$&quot;* \(#,##0.0000\);_(&quot;$&quot;* &quot;-&quot;????_);_(@_)"/>
    <numFmt numFmtId="186" formatCode="_(* #,##0.00000_);_(* \(#,##0.00000\);_(* &quot;-&quot;??_);_(@_)"/>
    <numFmt numFmtId="187" formatCode="[$$-409]#,##0.00;\([$$-409]#,##0.00\)"/>
    <numFmt numFmtId="188" formatCode="0.0%"/>
    <numFmt numFmtId="189" formatCode="#,##0.0_);\(#,##0.0\)"/>
    <numFmt numFmtId="190" formatCode="_(* #,##0.0_);_(* \(#,##0.0\);_(* &quot;-&quot;?_);_(@_)"/>
    <numFmt numFmtId="191" formatCode="&quot;$&quot;#,##0.0000"/>
    <numFmt numFmtId="192" formatCode="#,##0.0000"/>
    <numFmt numFmtId="193" formatCode="_(&quot;$&quot;* #,##0.0000_);_(&quot;$&quot;* \(#,##0.0000\);_(&quot;$&quot;* &quot;-&quot;??_);_(@_)"/>
  </numFmts>
  <fonts count="77"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b/>
      <sz val="11"/>
      <color rgb="FFFF66CC"/>
      <name val="Calibri"/>
      <family val="2"/>
      <scheme val="minor"/>
    </font>
    <font>
      <sz val="10"/>
      <name val="Arial"/>
      <family val="2"/>
    </font>
    <font>
      <b/>
      <sz val="12"/>
      <name val="Calibri"/>
      <family val="2"/>
      <scheme val="minor"/>
    </font>
    <font>
      <b/>
      <sz val="16"/>
      <name val="Calibri"/>
      <family val="2"/>
      <scheme val="minor"/>
    </font>
    <font>
      <b/>
      <sz val="11"/>
      <name val="Calibri"/>
      <family val="2"/>
    </font>
    <font>
      <b/>
      <i/>
      <sz val="11"/>
      <name val="Calibri"/>
      <family val="2"/>
      <scheme val="minor"/>
    </font>
    <font>
      <sz val="10"/>
      <name val="Calibri"/>
      <family val="2"/>
    </font>
    <font>
      <sz val="7"/>
      <color rgb="FF202124"/>
      <name val="Roboto"/>
    </font>
    <font>
      <sz val="24"/>
      <color rgb="FFFF0000"/>
      <name val="Calibri"/>
      <family val="2"/>
      <scheme val="minor"/>
    </font>
    <font>
      <sz val="11"/>
      <color rgb="FF000000"/>
      <name val="Calibri"/>
      <family val="2"/>
    </font>
    <font>
      <b/>
      <sz val="11"/>
      <name val="Calibri"/>
      <family val="2"/>
    </font>
    <font>
      <sz val="11"/>
      <name val="Calibri"/>
      <family val="2"/>
    </font>
    <font>
      <sz val="11"/>
      <color rgb="FF000000"/>
      <name val="Calibri"/>
      <family val="2"/>
    </font>
  </fonts>
  <fills count="60">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109">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style="thin">
        <color rgb="FF000000"/>
      </top>
      <bottom style="thin">
        <color rgb="FF000000"/>
      </bottom>
      <diagonal/>
    </border>
    <border>
      <left/>
      <right style="thin">
        <color rgb="FF000000"/>
      </right>
      <top style="medium">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bottom style="thin">
        <color rgb="FF000000"/>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thin">
        <color rgb="FF000000"/>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9" fillId="0" borderId="0"/>
    <xf numFmtId="0" fontId="23" fillId="0" borderId="0" applyNumberFormat="0" applyFill="0" applyBorder="0" applyAlignment="0" applyProtection="0"/>
    <xf numFmtId="0" fontId="25" fillId="0" borderId="0"/>
    <xf numFmtId="44" fontId="19" fillId="0" borderId="0" applyFont="0" applyFill="0" applyBorder="0" applyAlignment="0" applyProtection="0"/>
    <xf numFmtId="0" fontId="1" fillId="0" borderId="0"/>
    <xf numFmtId="9" fontId="1" fillId="0" borderId="0" applyFont="0" applyFill="0" applyBorder="0" applyAlignment="0" applyProtection="0"/>
    <xf numFmtId="182" fontId="19" fillId="0" borderId="0"/>
    <xf numFmtId="0" fontId="41" fillId="0" borderId="0" applyNumberFormat="0" applyFill="0" applyBorder="0" applyAlignment="0" applyProtection="0"/>
    <xf numFmtId="0" fontId="12" fillId="0" borderId="0"/>
    <xf numFmtId="9" fontId="12" fillId="0" borderId="0" applyFont="0" applyFill="0" applyBorder="0" applyAlignment="0" applyProtection="0"/>
    <xf numFmtId="0" fontId="44" fillId="0" borderId="0" applyNumberFormat="0" applyFill="0" applyBorder="0" applyAlignment="0" applyProtection="0">
      <alignment vertical="top"/>
      <protection locked="0"/>
    </xf>
    <xf numFmtId="0" fontId="12"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34" fillId="7" borderId="0" applyNumberFormat="0" applyBorder="0" applyAlignment="0" applyProtection="0"/>
    <xf numFmtId="0" fontId="37" fillId="10" borderId="41" applyNumberFormat="0" applyAlignment="0" applyProtection="0"/>
    <xf numFmtId="0" fontId="2" fillId="11" borderId="4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6" borderId="0" applyNumberFormat="0" applyBorder="0" applyAlignment="0" applyProtection="0"/>
    <xf numFmtId="0" fontId="30" fillId="0" borderId="38" applyNumberFormat="0" applyFill="0" applyAlignment="0" applyProtection="0"/>
    <xf numFmtId="0" fontId="31" fillId="0" borderId="39" applyNumberFormat="0" applyFill="0" applyAlignment="0" applyProtection="0"/>
    <xf numFmtId="0" fontId="32" fillId="0" borderId="40"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 fillId="0" borderId="0" applyNumberFormat="0" applyFill="0" applyBorder="0" applyAlignment="0" applyProtection="0"/>
    <xf numFmtId="0" fontId="44" fillId="0" borderId="0" applyNumberFormat="0" applyFill="0" applyBorder="0" applyAlignment="0" applyProtection="0"/>
    <xf numFmtId="0" fontId="35" fillId="9" borderId="41" applyNumberFormat="0" applyAlignment="0" applyProtection="0"/>
    <xf numFmtId="0" fontId="38" fillId="0" borderId="43" applyNumberFormat="0" applyFill="0" applyAlignment="0" applyProtection="0"/>
    <xf numFmtId="0" fontId="42" fillId="8" borderId="0" applyNumberFormat="0" applyBorder="0" applyAlignment="0" applyProtection="0"/>
    <xf numFmtId="0" fontId="19" fillId="0" borderId="0"/>
    <xf numFmtId="0" fontId="45" fillId="0" borderId="0"/>
    <xf numFmtId="0" fontId="1" fillId="0" borderId="0"/>
    <xf numFmtId="0" fontId="1" fillId="0" borderId="0"/>
    <xf numFmtId="0" fontId="1" fillId="0" borderId="0"/>
    <xf numFmtId="0" fontId="1" fillId="0" borderId="0"/>
    <xf numFmtId="0" fontId="19" fillId="0" borderId="0"/>
    <xf numFmtId="0" fontId="19" fillId="0" borderId="0"/>
    <xf numFmtId="0" fontId="45" fillId="0" borderId="0"/>
    <xf numFmtId="0" fontId="1" fillId="0" borderId="0"/>
    <xf numFmtId="0" fontId="45" fillId="0" borderId="0"/>
    <xf numFmtId="0" fontId="45" fillId="0" borderId="0"/>
    <xf numFmtId="0" fontId="12" fillId="0" borderId="0"/>
    <xf numFmtId="0" fontId="12" fillId="0" borderId="0"/>
    <xf numFmtId="0" fontId="12" fillId="0" borderId="0"/>
    <xf numFmtId="0" fontId="1" fillId="12" borderId="45" applyNumberFormat="0" applyFont="0" applyAlignment="0" applyProtection="0"/>
    <xf numFmtId="0" fontId="36" fillId="10" borderId="42" applyNumberFormat="0" applyAlignment="0" applyProtection="0"/>
    <xf numFmtId="9" fontId="19"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0" fontId="4" fillId="0" borderId="46" applyNumberFormat="0" applyFill="0" applyAlignment="0" applyProtection="0"/>
    <xf numFmtId="0" fontId="3" fillId="0" borderId="0" applyNumberForma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12" fillId="0" borderId="0"/>
    <xf numFmtId="0" fontId="1" fillId="0" borderId="0"/>
    <xf numFmtId="44" fontId="1" fillId="0" borderId="0" applyFont="0" applyFill="0" applyBorder="0" applyAlignment="0" applyProtection="0"/>
    <xf numFmtId="9" fontId="12"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1" fillId="0" borderId="0"/>
    <xf numFmtId="0" fontId="1" fillId="0" borderId="0"/>
    <xf numFmtId="0" fontId="12"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45" applyNumberFormat="0" applyFont="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44" fillId="0" borderId="0" applyNumberFormat="0" applyFill="0" applyBorder="0" applyAlignment="0" applyProtection="0"/>
    <xf numFmtId="0" fontId="48" fillId="53" borderId="0" applyNumberFormat="0" applyBorder="0" applyAlignment="0" applyProtection="0"/>
    <xf numFmtId="0" fontId="45" fillId="0" borderId="0"/>
    <xf numFmtId="0" fontId="54" fillId="0" borderId="49" applyNumberFormat="0" applyFill="0" applyAlignment="0" applyProtection="0"/>
    <xf numFmtId="0" fontId="39" fillId="0" borderId="0" applyNumberFormat="0" applyFill="0" applyBorder="0" applyAlignment="0" applyProtection="0"/>
    <xf numFmtId="0" fontId="19" fillId="0" borderId="0"/>
    <xf numFmtId="0" fontId="36" fillId="10" borderId="42" applyNumberFormat="0" applyAlignment="0" applyProtection="0"/>
    <xf numFmtId="0" fontId="5" fillId="24" borderId="0" applyNumberFormat="0" applyBorder="0" applyAlignment="0" applyProtection="0"/>
    <xf numFmtId="0" fontId="48" fillId="52" borderId="0" applyNumberFormat="0" applyBorder="0" applyAlignment="0" applyProtection="0"/>
    <xf numFmtId="0" fontId="42" fillId="8" borderId="0" applyNumberFormat="0" applyBorder="0" applyAlignment="0" applyProtection="0"/>
    <xf numFmtId="0" fontId="57" fillId="42" borderId="47" applyNumberFormat="0" applyAlignment="0" applyProtection="0"/>
    <xf numFmtId="0" fontId="5"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43" fontId="63" fillId="0" borderId="0" applyFont="0" applyFill="0" applyBorder="0" applyAlignment="0" applyProtection="0"/>
    <xf numFmtId="0" fontId="18" fillId="39" borderId="0" applyNumberFormat="0" applyBorder="0" applyAlignment="0" applyProtection="0"/>
    <xf numFmtId="0" fontId="18" fillId="46" borderId="0" applyNumberFormat="0" applyBorder="0" applyAlignment="0" applyProtection="0"/>
    <xf numFmtId="0" fontId="19" fillId="0" borderId="0"/>
    <xf numFmtId="0" fontId="45" fillId="0" borderId="0"/>
    <xf numFmtId="0" fontId="18" fillId="40" borderId="0" applyNumberFormat="0" applyBorder="0" applyAlignment="0" applyProtection="0"/>
    <xf numFmtId="0" fontId="18" fillId="42" borderId="0" applyNumberFormat="0" applyBorder="0" applyAlignment="0" applyProtection="0"/>
    <xf numFmtId="0" fontId="48" fillId="47"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50" fillId="55" borderId="47" applyNumberFormat="0" applyAlignment="0" applyProtection="0"/>
    <xf numFmtId="0" fontId="51" fillId="56" borderId="48" applyNumberFormat="0" applyAlignment="0" applyProtection="0"/>
    <xf numFmtId="0" fontId="19"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9" fillId="0" borderId="0"/>
    <xf numFmtId="0" fontId="19" fillId="0" borderId="0"/>
    <xf numFmtId="0" fontId="19" fillId="0" borderId="0"/>
    <xf numFmtId="0" fontId="62" fillId="0" borderId="0" applyNumberFormat="0" applyFill="0" applyBorder="0" applyAlignment="0" applyProtection="0"/>
    <xf numFmtId="0" fontId="19" fillId="0" borderId="0"/>
    <xf numFmtId="0" fontId="19" fillId="0" borderId="0"/>
    <xf numFmtId="9" fontId="12" fillId="0" borderId="0" applyFont="0" applyFill="0" applyBorder="0" applyAlignment="0" applyProtection="0"/>
    <xf numFmtId="0" fontId="30" fillId="0" borderId="38" applyNumberFormat="0" applyFill="0" applyAlignment="0" applyProtection="0"/>
    <xf numFmtId="0" fontId="32" fillId="0" borderId="40" applyNumberFormat="0" applyFill="0" applyAlignment="0" applyProtection="0"/>
    <xf numFmtId="0" fontId="45" fillId="0" borderId="0"/>
    <xf numFmtId="0" fontId="1" fillId="0" borderId="0"/>
    <xf numFmtId="3" fontId="19" fillId="0" borderId="0" applyFont="0" applyFill="0" applyBorder="0" applyAlignment="0" applyProtection="0"/>
    <xf numFmtId="0" fontId="38" fillId="0" borderId="43" applyNumberFormat="0" applyFill="0" applyAlignment="0" applyProtection="0"/>
    <xf numFmtId="0" fontId="5" fillId="17" borderId="0" applyNumberFormat="0" applyBorder="0" applyAlignment="0" applyProtection="0"/>
    <xf numFmtId="0" fontId="18" fillId="44" borderId="0" applyNumberFormat="0" applyBorder="0" applyAlignment="0" applyProtection="0"/>
    <xf numFmtId="0" fontId="9" fillId="0" borderId="0"/>
    <xf numFmtId="0" fontId="5" fillId="33" borderId="0" applyNumberFormat="0" applyBorder="0" applyAlignment="0" applyProtection="0"/>
    <xf numFmtId="0" fontId="59" fillId="57" borderId="0" applyNumberFormat="0" applyBorder="0" applyAlignment="0" applyProtection="0"/>
    <xf numFmtId="0" fontId="37" fillId="10" borderId="41" applyNumberFormat="0" applyAlignment="0" applyProtection="0"/>
    <xf numFmtId="0" fontId="19" fillId="0" borderId="0"/>
    <xf numFmtId="0" fontId="5" fillId="20" borderId="0" applyNumberFormat="0" applyBorder="0" applyAlignment="0" applyProtection="0"/>
    <xf numFmtId="0" fontId="9" fillId="0" borderId="0"/>
    <xf numFmtId="0" fontId="49" fillId="38" borderId="0" applyNumberFormat="0" applyBorder="0" applyAlignment="0" applyProtection="0"/>
    <xf numFmtId="0" fontId="53" fillId="39" borderId="0" applyNumberFormat="0" applyBorder="0" applyAlignment="0" applyProtection="0"/>
    <xf numFmtId="0" fontId="19" fillId="0" borderId="0"/>
    <xf numFmtId="0" fontId="56" fillId="0" borderId="51" applyNumberFormat="0" applyFill="0" applyAlignment="0" applyProtection="0"/>
    <xf numFmtId="0" fontId="18" fillId="43" borderId="0" applyNumberFormat="0" applyBorder="0" applyAlignment="0" applyProtection="0"/>
    <xf numFmtId="0" fontId="48" fillId="48" borderId="0" applyNumberFormat="0" applyBorder="0" applyAlignment="0" applyProtection="0"/>
    <xf numFmtId="0" fontId="5" fillId="36" borderId="0" applyNumberFormat="0" applyBorder="0" applyAlignment="0" applyProtection="0"/>
    <xf numFmtId="0" fontId="18" fillId="45" borderId="0" applyNumberFormat="0" applyBorder="0" applyAlignment="0" applyProtection="0"/>
    <xf numFmtId="0" fontId="5" fillId="16" borderId="0" applyNumberFormat="0" applyBorder="0" applyAlignment="0" applyProtection="0"/>
    <xf numFmtId="0" fontId="5" fillId="25" borderId="0" applyNumberFormat="0" applyBorder="0" applyAlignment="0" applyProtection="0"/>
    <xf numFmtId="0" fontId="61" fillId="0" borderId="0" applyNumberFormat="0" applyFill="0" applyBorder="0" applyAlignment="0" applyProtection="0"/>
    <xf numFmtId="43" fontId="19" fillId="0" borderId="0" applyFont="0" applyFill="0" applyBorder="0" applyAlignment="0" applyProtection="0"/>
    <xf numFmtId="0" fontId="57" fillId="42" borderId="47" applyNumberFormat="0" applyAlignment="0" applyProtection="0"/>
    <xf numFmtId="0" fontId="18" fillId="37" borderId="0" applyNumberFormat="0" applyBorder="0" applyAlignment="0" applyProtection="0"/>
    <xf numFmtId="0" fontId="18" fillId="38" borderId="0" applyNumberFormat="0" applyBorder="0" applyAlignment="0" applyProtection="0"/>
    <xf numFmtId="0" fontId="50" fillId="55" borderId="47" applyNumberFormat="0" applyAlignment="0" applyProtection="0"/>
    <xf numFmtId="0" fontId="4" fillId="0" borderId="46" applyNumberFormat="0" applyFill="0" applyAlignment="0" applyProtection="0"/>
    <xf numFmtId="0" fontId="48" fillId="51" borderId="0" applyNumberFormat="0" applyBorder="0" applyAlignment="0" applyProtection="0"/>
    <xf numFmtId="0" fontId="34" fillId="7" borderId="0" applyNumberFormat="0" applyBorder="0" applyAlignment="0" applyProtection="0"/>
    <xf numFmtId="0" fontId="3" fillId="0" borderId="0" applyNumberFormat="0" applyFill="0" applyBorder="0" applyAlignment="0" applyProtection="0"/>
    <xf numFmtId="0" fontId="5" fillId="13" borderId="0" applyNumberFormat="0" applyBorder="0" applyAlignment="0" applyProtection="0"/>
    <xf numFmtId="0" fontId="19" fillId="58" borderId="53" applyNumberFormat="0" applyFont="0" applyAlignment="0" applyProtection="0"/>
    <xf numFmtId="0" fontId="31" fillId="0" borderId="39" applyNumberFormat="0" applyFill="0" applyAlignment="0" applyProtection="0"/>
    <xf numFmtId="0" fontId="32" fillId="0" borderId="0" applyNumberFormat="0" applyFill="0" applyBorder="0" applyAlignment="0" applyProtection="0"/>
    <xf numFmtId="0" fontId="43" fillId="0" borderId="0"/>
    <xf numFmtId="0" fontId="18" fillId="41" borderId="0" applyNumberFormat="0" applyBorder="0" applyAlignment="0" applyProtection="0"/>
    <xf numFmtId="0" fontId="33" fillId="6" borderId="0" applyNumberFormat="0" applyBorder="0" applyAlignment="0" applyProtection="0"/>
    <xf numFmtId="0" fontId="48" fillId="54" borderId="0" applyNumberFormat="0" applyBorder="0" applyAlignment="0" applyProtection="0"/>
    <xf numFmtId="0" fontId="35" fillId="9" borderId="41" applyNumberFormat="0" applyAlignment="0" applyProtection="0"/>
    <xf numFmtId="0" fontId="19" fillId="0" borderId="0"/>
    <xf numFmtId="0" fontId="1" fillId="0" borderId="0"/>
    <xf numFmtId="0" fontId="5" fillId="21" borderId="0" applyNumberFormat="0" applyBorder="0" applyAlignment="0" applyProtection="0"/>
    <xf numFmtId="0" fontId="48" fillId="50" borderId="0" applyNumberFormat="0" applyBorder="0" applyAlignment="0" applyProtection="0"/>
    <xf numFmtId="0" fontId="40" fillId="0" borderId="0"/>
    <xf numFmtId="0" fontId="19" fillId="0" borderId="0"/>
    <xf numFmtId="0" fontId="55" fillId="0" borderId="50" applyNumberFormat="0" applyFill="0" applyAlignment="0" applyProtection="0"/>
    <xf numFmtId="0" fontId="58" fillId="0" borderId="52" applyNumberFormat="0" applyFill="0" applyAlignment="0" applyProtection="0"/>
    <xf numFmtId="0" fontId="17" fillId="0" borderId="55" applyNumberFormat="0" applyFill="0" applyAlignment="0" applyProtection="0"/>
    <xf numFmtId="0" fontId="18" fillId="40" borderId="0" applyNumberFormat="0" applyBorder="0" applyAlignment="0" applyProtection="0"/>
    <xf numFmtId="0" fontId="5" fillId="29" borderId="0" applyNumberFormat="0" applyBorder="0" applyAlignment="0" applyProtection="0"/>
    <xf numFmtId="0" fontId="48" fillId="48" borderId="0" applyNumberFormat="0" applyBorder="0" applyAlignment="0" applyProtection="0"/>
    <xf numFmtId="0" fontId="2" fillId="11" borderId="44" applyNumberFormat="0" applyAlignment="0" applyProtection="0"/>
    <xf numFmtId="0" fontId="60" fillId="55" borderId="54" applyNumberFormat="0" applyAlignment="0" applyProtection="0"/>
    <xf numFmtId="0" fontId="5" fillId="32" borderId="0" applyNumberFormat="0" applyBorder="0" applyAlignment="0" applyProtection="0"/>
    <xf numFmtId="0" fontId="18" fillId="43" borderId="0" applyNumberFormat="0" applyBorder="0" applyAlignment="0" applyProtection="0"/>
    <xf numFmtId="0" fontId="12" fillId="0" borderId="0"/>
    <xf numFmtId="0" fontId="1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8" borderId="53" applyNumberFormat="0" applyFont="0" applyAlignment="0" applyProtection="0"/>
    <xf numFmtId="0" fontId="19" fillId="0" borderId="0"/>
    <xf numFmtId="0" fontId="19" fillId="58" borderId="53" applyNumberFormat="0" applyFont="0" applyAlignment="0" applyProtection="0"/>
    <xf numFmtId="0" fontId="50" fillId="55" borderId="47" applyNumberFormat="0" applyAlignment="0" applyProtection="0"/>
    <xf numFmtId="0" fontId="19" fillId="58" borderId="53" applyNumberFormat="0" applyFont="0" applyAlignment="0" applyProtection="0"/>
    <xf numFmtId="0" fontId="60" fillId="55" borderId="54" applyNumberFormat="0" applyAlignment="0" applyProtection="0"/>
    <xf numFmtId="0" fontId="17" fillId="0" borderId="55" applyNumberFormat="0" applyFill="0" applyAlignment="0" applyProtection="0"/>
    <xf numFmtId="0" fontId="17" fillId="0" borderId="55" applyNumberFormat="0" applyFill="0" applyAlignment="0" applyProtection="0"/>
    <xf numFmtId="0" fontId="60" fillId="55" borderId="54" applyNumberFormat="0" applyAlignment="0" applyProtection="0"/>
    <xf numFmtId="0" fontId="57" fillId="42" borderId="47" applyNumberFormat="0" applyAlignment="0" applyProtection="0"/>
    <xf numFmtId="0" fontId="19" fillId="58" borderId="53" applyNumberFormat="0" applyFont="0" applyAlignment="0" applyProtection="0"/>
    <xf numFmtId="0" fontId="12" fillId="0" borderId="0"/>
    <xf numFmtId="0" fontId="19" fillId="58" borderId="53" applyNumberFormat="0" applyFont="0" applyAlignment="0" applyProtection="0"/>
    <xf numFmtId="0" fontId="43" fillId="0" borderId="0"/>
    <xf numFmtId="182" fontId="19" fillId="0" borderId="0"/>
    <xf numFmtId="0" fontId="43" fillId="0" borderId="0"/>
    <xf numFmtId="43" fontId="12" fillId="0" borderId="0" applyFont="0" applyFill="0" applyBorder="0" applyAlignment="0" applyProtection="0"/>
    <xf numFmtId="182" fontId="19" fillId="0" borderId="0"/>
    <xf numFmtId="0" fontId="43" fillId="0" borderId="0"/>
    <xf numFmtId="9" fontId="12" fillId="0" borderId="0" applyFont="0" applyFill="0" applyBorder="0" applyAlignment="0" applyProtection="0"/>
    <xf numFmtId="182" fontId="65" fillId="0" borderId="0"/>
  </cellStyleXfs>
  <cellXfs count="1760">
    <xf numFmtId="0" fontId="0" fillId="0" borderId="0" xfId="0"/>
    <xf numFmtId="0" fontId="0" fillId="0" borderId="0" xfId="0" applyAlignment="1">
      <alignment wrapText="1"/>
    </xf>
    <xf numFmtId="0" fontId="0" fillId="0" borderId="0" xfId="0" applyAlignment="1">
      <alignment vertical="center"/>
    </xf>
    <xf numFmtId="0" fontId="8" fillId="0" borderId="5"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0" fillId="0" borderId="0" xfId="0" applyAlignment="1">
      <alignment horizontal="center" vertical="center"/>
    </xf>
    <xf numFmtId="44" fontId="8" fillId="0" borderId="7" xfId="2" applyFont="1" applyFill="1" applyBorder="1" applyAlignment="1">
      <alignment horizontal="center"/>
    </xf>
    <xf numFmtId="44" fontId="8" fillId="0" borderId="0" xfId="2" applyFont="1" applyBorder="1"/>
    <xf numFmtId="0" fontId="8" fillId="0" borderId="0" xfId="0" applyFont="1"/>
    <xf numFmtId="44" fontId="8" fillId="0" borderId="0" xfId="2" applyFont="1" applyFill="1" applyBorder="1"/>
    <xf numFmtId="44" fontId="8" fillId="0" borderId="0" xfId="2" applyFont="1" applyFill="1"/>
    <xf numFmtId="165" fontId="8" fillId="0" borderId="7" xfId="1" applyNumberFormat="1" applyFont="1" applyFill="1" applyBorder="1" applyAlignment="1">
      <alignment horizontal="center"/>
    </xf>
    <xf numFmtId="165" fontId="8" fillId="0" borderId="0" xfId="1" applyNumberFormat="1" applyFont="1" applyFill="1" applyAlignment="1">
      <alignment horizontal="right" vertical="center"/>
    </xf>
    <xf numFmtId="44" fontId="8" fillId="0" borderId="0" xfId="2" applyFont="1" applyFill="1" applyBorder="1" applyAlignment="1">
      <alignment horizontal="center"/>
    </xf>
    <xf numFmtId="0" fontId="8" fillId="0" borderId="0" xfId="0" applyFont="1" applyAlignment="1">
      <alignment wrapText="1"/>
    </xf>
    <xf numFmtId="0" fontId="8" fillId="0" borderId="0" xfId="0" applyFont="1" applyAlignment="1">
      <alignment horizontal="left" wrapText="1"/>
    </xf>
    <xf numFmtId="0" fontId="8" fillId="0" borderId="0" xfId="0" applyFont="1" applyAlignment="1">
      <alignment horizontal="center" wrapText="1"/>
    </xf>
    <xf numFmtId="165" fontId="8" fillId="0" borderId="12" xfId="1" applyNumberFormat="1" applyFont="1" applyFill="1" applyBorder="1" applyAlignment="1">
      <alignment horizontal="center"/>
    </xf>
    <xf numFmtId="43" fontId="8" fillId="0" borderId="12" xfId="1" applyFont="1" applyFill="1" applyBorder="1" applyAlignment="1">
      <alignment horizontal="center"/>
    </xf>
    <xf numFmtId="165" fontId="8" fillId="0" borderId="12" xfId="1" applyNumberFormat="1" applyFont="1" applyFill="1" applyBorder="1" applyAlignment="1"/>
    <xf numFmtId="43" fontId="8" fillId="0" borderId="12" xfId="1" applyFont="1" applyFill="1" applyBorder="1" applyAlignment="1"/>
    <xf numFmtId="0" fontId="8" fillId="0" borderId="12" xfId="1" applyNumberFormat="1" applyFont="1" applyFill="1" applyBorder="1" applyAlignment="1">
      <alignment horizontal="center"/>
    </xf>
    <xf numFmtId="0" fontId="0" fillId="0" borderId="0" xfId="0" applyAlignment="1">
      <alignment horizontal="left" wrapText="1"/>
    </xf>
    <xf numFmtId="0" fontId="23" fillId="0" borderId="34" xfId="7" applyBorder="1" applyAlignment="1">
      <alignment horizontal="center" vertical="center" wrapText="1"/>
    </xf>
    <xf numFmtId="0" fontId="4" fillId="0" borderId="11" xfId="0" applyFont="1" applyBorder="1" applyAlignment="1">
      <alignment horizontal="center" vertical="center" wrapText="1"/>
    </xf>
    <xf numFmtId="0" fontId="23" fillId="0" borderId="11" xfId="7" applyBorder="1" applyAlignment="1">
      <alignment horizontal="center" vertical="center" wrapText="1"/>
    </xf>
    <xf numFmtId="0" fontId="0" fillId="0" borderId="34" xfId="0" applyBorder="1" applyAlignment="1">
      <alignment vertical="center" wrapText="1"/>
    </xf>
    <xf numFmtId="0" fontId="0" fillId="0" borderId="11" xfId="0" applyBorder="1" applyAlignment="1">
      <alignment vertical="center" wrapText="1"/>
    </xf>
    <xf numFmtId="0" fontId="0" fillId="0" borderId="35" xfId="0" applyBorder="1" applyAlignment="1">
      <alignment vertical="center" wrapText="1"/>
    </xf>
    <xf numFmtId="0" fontId="0" fillId="0" borderId="26" xfId="0" applyBorder="1" applyAlignment="1">
      <alignment vertical="center" wrapText="1"/>
    </xf>
    <xf numFmtId="0" fontId="16"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0" fillId="0" borderId="0" xfId="0" applyAlignment="1">
      <alignment horizontal="left"/>
    </xf>
    <xf numFmtId="0" fontId="4" fillId="0" borderId="0" xfId="0" applyFont="1" applyAlignment="1">
      <alignment horizontal="left"/>
    </xf>
    <xf numFmtId="0" fontId="21" fillId="0" borderId="0" xfId="0" applyFont="1"/>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10" fillId="0" borderId="0" xfId="0" applyFont="1" applyAlignment="1">
      <alignment horizontal="center" wrapText="1"/>
    </xf>
    <xf numFmtId="166" fontId="8" fillId="0" borderId="0" xfId="0" applyNumberFormat="1" applyFont="1" applyAlignment="1">
      <alignment horizontal="center"/>
    </xf>
    <xf numFmtId="166" fontId="8" fillId="0" borderId="0" xfId="0" applyNumberFormat="1" applyFont="1"/>
    <xf numFmtId="0" fontId="8" fillId="2" borderId="18" xfId="0" applyFont="1" applyFill="1" applyBorder="1" applyAlignment="1">
      <alignment horizontal="left"/>
    </xf>
    <xf numFmtId="0" fontId="8" fillId="2" borderId="20" xfId="0" applyFont="1" applyFill="1" applyBorder="1"/>
    <xf numFmtId="0" fontId="8" fillId="2" borderId="20" xfId="0" applyFont="1" applyFill="1" applyBorder="1" applyAlignment="1">
      <alignment horizontal="center"/>
    </xf>
    <xf numFmtId="172" fontId="8" fillId="2" borderId="20" xfId="0" applyNumberFormat="1" applyFont="1" applyFill="1" applyBorder="1" applyAlignment="1">
      <alignment horizontal="center"/>
    </xf>
    <xf numFmtId="166" fontId="10" fillId="2" borderId="26" xfId="0" applyNumberFormat="1" applyFont="1" applyFill="1" applyBorder="1" applyAlignment="1">
      <alignment horizontal="center"/>
    </xf>
    <xf numFmtId="0" fontId="0" fillId="0" borderId="0" xfId="0" applyAlignment="1">
      <alignment vertical="center" wrapText="1"/>
    </xf>
    <xf numFmtId="0" fontId="26" fillId="0" borderId="0" xfId="0" applyFont="1"/>
    <xf numFmtId="165" fontId="8" fillId="0" borderId="0" xfId="1" applyNumberFormat="1" applyFont="1" applyFill="1" applyAlignment="1">
      <alignment horizontal="center"/>
    </xf>
    <xf numFmtId="165" fontId="8" fillId="0" borderId="1" xfId="1" applyNumberFormat="1" applyFont="1" applyFill="1" applyBorder="1" applyAlignment="1">
      <alignment vertical="center"/>
    </xf>
    <xf numFmtId="0" fontId="3" fillId="0" borderId="0" xfId="0" applyFont="1" applyAlignment="1">
      <alignment horizontal="left" vertical="top" wrapText="1"/>
    </xf>
    <xf numFmtId="0" fontId="19" fillId="0" borderId="0" xfId="6" applyAlignment="1">
      <alignment vertical="center" wrapText="1"/>
    </xf>
    <xf numFmtId="0" fontId="64" fillId="0" borderId="0" xfId="0" applyFont="1" applyAlignment="1">
      <alignment horizontal="center" wrapText="1"/>
    </xf>
    <xf numFmtId="44" fontId="8" fillId="0" borderId="0" xfId="2" applyFont="1" applyFill="1" applyAlignment="1"/>
    <xf numFmtId="44" fontId="8" fillId="0" borderId="7" xfId="2" applyFont="1" applyFill="1" applyBorder="1" applyAlignment="1">
      <alignment horizontal="center" vertical="center"/>
    </xf>
    <xf numFmtId="44" fontId="8" fillId="0" borderId="7" xfId="2" applyFont="1" applyFill="1" applyBorder="1" applyAlignment="1">
      <alignment vertical="center"/>
    </xf>
    <xf numFmtId="44" fontId="8" fillId="0" borderId="0" xfId="2" applyFont="1" applyFill="1" applyAlignment="1">
      <alignment vertical="center"/>
    </xf>
    <xf numFmtId="44" fontId="7" fillId="0" borderId="0" xfId="2" applyFont="1" applyFill="1" applyAlignment="1">
      <alignment horizontal="right" vertical="top"/>
    </xf>
    <xf numFmtId="9" fontId="8" fillId="0" borderId="0" xfId="3" applyFont="1" applyFill="1" applyAlignment="1">
      <alignment wrapText="1"/>
    </xf>
    <xf numFmtId="44" fontId="8" fillId="0" borderId="0" xfId="2" applyFont="1" applyFill="1" applyBorder="1" applyAlignment="1"/>
    <xf numFmtId="44" fontId="8" fillId="0" borderId="0" xfId="2" applyFont="1" applyFill="1" applyAlignment="1">
      <alignment wrapText="1"/>
    </xf>
    <xf numFmtId="43" fontId="8" fillId="0" borderId="0" xfId="1" applyFont="1" applyFill="1" applyAlignment="1">
      <alignment horizontal="center"/>
    </xf>
    <xf numFmtId="9" fontId="8" fillId="0" borderId="0" xfId="3" applyFont="1" applyFill="1" applyBorder="1" applyAlignment="1"/>
    <xf numFmtId="44" fontId="8" fillId="0" borderId="0" xfId="2" applyFont="1" applyFill="1" applyAlignment="1">
      <alignment horizontal="center"/>
    </xf>
    <xf numFmtId="44" fontId="8" fillId="0" borderId="13" xfId="2" applyFont="1" applyFill="1" applyBorder="1" applyAlignment="1">
      <alignment horizontal="center"/>
    </xf>
    <xf numFmtId="44" fontId="8" fillId="0" borderId="0" xfId="2" applyFont="1" applyFill="1" applyAlignment="1">
      <alignment horizontal="left" wrapText="1"/>
    </xf>
    <xf numFmtId="7" fontId="8" fillId="0" borderId="13" xfId="2" applyNumberFormat="1" applyFont="1" applyFill="1" applyBorder="1" applyAlignment="1">
      <alignment horizontal="right"/>
    </xf>
    <xf numFmtId="7" fontId="8" fillId="0" borderId="0" xfId="2" applyNumberFormat="1" applyFont="1" applyFill="1" applyAlignment="1">
      <alignment horizontal="right"/>
    </xf>
    <xf numFmtId="7" fontId="8" fillId="0" borderId="13" xfId="2" applyNumberFormat="1" applyFont="1" applyFill="1" applyBorder="1" applyAlignment="1">
      <alignment horizontal="center"/>
    </xf>
    <xf numFmtId="9" fontId="8" fillId="0" borderId="0" xfId="3" applyFont="1" applyFill="1" applyAlignment="1">
      <alignment vertical="center"/>
    </xf>
    <xf numFmtId="44" fontId="8" fillId="0" borderId="12" xfId="2" applyFont="1" applyFill="1" applyBorder="1" applyAlignment="1">
      <alignment horizontal="center"/>
    </xf>
    <xf numFmtId="44" fontId="8" fillId="0" borderId="0" xfId="2" applyFont="1" applyFill="1" applyAlignment="1">
      <alignment horizontal="center" wrapText="1"/>
    </xf>
    <xf numFmtId="44" fontId="8" fillId="0" borderId="0" xfId="2" applyFont="1" applyFill="1" applyBorder="1" applyAlignment="1">
      <alignment wrapText="1"/>
    </xf>
    <xf numFmtId="175" fontId="8" fillId="0" borderId="7" xfId="2" applyNumberFormat="1" applyFont="1" applyFill="1" applyBorder="1" applyAlignment="1">
      <alignment horizontal="center"/>
    </xf>
    <xf numFmtId="5" fontId="8" fillId="0" borderId="7" xfId="2" applyNumberFormat="1" applyFont="1" applyFill="1" applyBorder="1" applyAlignment="1">
      <alignment horizontal="center"/>
    </xf>
    <xf numFmtId="169" fontId="8" fillId="0" borderId="12" xfId="1" applyNumberFormat="1" applyFont="1" applyFill="1" applyBorder="1" applyAlignment="1">
      <alignment horizontal="right"/>
    </xf>
    <xf numFmtId="165" fontId="8" fillId="0" borderId="12" xfId="1" applyNumberFormat="1" applyFont="1" applyFill="1" applyBorder="1" applyAlignment="1">
      <alignment vertical="center"/>
    </xf>
    <xf numFmtId="44" fontId="10" fillId="0" borderId="0" xfId="2" applyFont="1" applyFill="1" applyBorder="1" applyAlignment="1">
      <alignment horizontal="center" vertical="center"/>
    </xf>
    <xf numFmtId="177" fontId="8" fillId="0" borderId="7" xfId="2" applyNumberFormat="1" applyFont="1" applyFill="1" applyBorder="1" applyAlignment="1">
      <alignment horizontal="center"/>
    </xf>
    <xf numFmtId="180" fontId="8" fillId="0" borderId="7" xfId="2" applyNumberFormat="1" applyFont="1" applyFill="1" applyBorder="1" applyAlignment="1">
      <alignment horizontal="center"/>
    </xf>
    <xf numFmtId="180" fontId="8" fillId="0" borderId="7" xfId="2" applyNumberFormat="1" applyFont="1" applyFill="1" applyBorder="1" applyAlignment="1">
      <alignment horizontal="center" vertical="center"/>
    </xf>
    <xf numFmtId="0" fontId="7" fillId="0" borderId="16" xfId="4" applyFont="1" applyBorder="1"/>
    <xf numFmtId="0" fontId="7" fillId="0" borderId="0" xfId="4" applyFont="1"/>
    <xf numFmtId="49" fontId="10" fillId="0" borderId="29" xfId="5" applyNumberFormat="1" applyFont="1" applyBorder="1" applyAlignment="1">
      <alignment horizontal="center" vertical="center" wrapText="1"/>
    </xf>
    <xf numFmtId="49" fontId="10" fillId="0" borderId="3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0" fontId="8" fillId="0" borderId="16" xfId="4" applyFont="1" applyBorder="1" applyAlignment="1">
      <alignment horizontal="center" vertical="top" wrapText="1"/>
    </xf>
    <xf numFmtId="0" fontId="8" fillId="0" borderId="0" xfId="4" applyFont="1" applyAlignment="1">
      <alignment horizontal="center" vertical="top" wrapText="1"/>
    </xf>
    <xf numFmtId="0" fontId="8" fillId="0" borderId="13" xfId="4" applyFont="1" applyBorder="1" applyAlignment="1">
      <alignment horizontal="center"/>
    </xf>
    <xf numFmtId="0" fontId="8" fillId="0" borderId="7" xfId="4" applyFont="1" applyBorder="1" applyAlignment="1">
      <alignment horizontal="center"/>
    </xf>
    <xf numFmtId="0" fontId="8" fillId="0" borderId="15" xfId="4" applyFont="1" applyBorder="1" applyAlignment="1">
      <alignment horizontal="center"/>
    </xf>
    <xf numFmtId="0" fontId="8" fillId="0" borderId="8" xfId="4" applyFont="1" applyBorder="1" applyAlignment="1">
      <alignment horizontal="center"/>
    </xf>
    <xf numFmtId="0" fontId="8" fillId="0" borderId="27" xfId="4" applyFont="1" applyBorder="1" applyAlignment="1">
      <alignment horizontal="center"/>
    </xf>
    <xf numFmtId="166" fontId="8" fillId="3" borderId="27" xfId="4" applyNumberFormat="1" applyFont="1" applyFill="1" applyBorder="1" applyAlignment="1">
      <alignment horizontal="center"/>
    </xf>
    <xf numFmtId="0" fontId="8" fillId="0" borderId="28" xfId="4" applyFont="1" applyBorder="1" applyAlignment="1">
      <alignment horizontal="center"/>
    </xf>
    <xf numFmtId="166" fontId="8" fillId="3" borderId="33" xfId="4" applyNumberFormat="1" applyFont="1" applyFill="1" applyBorder="1" applyAlignment="1">
      <alignment horizontal="center"/>
    </xf>
    <xf numFmtId="0" fontId="20" fillId="3" borderId="27" xfId="0" applyFont="1" applyFill="1" applyBorder="1" applyAlignment="1">
      <alignment horizontal="center"/>
    </xf>
    <xf numFmtId="0" fontId="8" fillId="0" borderId="16" xfId="0" applyFont="1" applyBorder="1"/>
    <xf numFmtId="0" fontId="10" fillId="0" borderId="28" xfId="0" applyFont="1" applyBorder="1" applyAlignment="1">
      <alignment horizontal="center" wrapText="1"/>
    </xf>
    <xf numFmtId="0" fontId="10" fillId="3" borderId="27" xfId="0" applyFont="1" applyFill="1" applyBorder="1" applyAlignment="1">
      <alignment horizont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31" xfId="0" applyFont="1" applyBorder="1" applyAlignment="1">
      <alignment horizontal="center" vertical="center" wrapText="1"/>
    </xf>
    <xf numFmtId="0" fontId="10" fillId="3" borderId="32" xfId="0" applyFont="1" applyFill="1" applyBorder="1" applyAlignment="1">
      <alignment horizontal="center" vertical="center" wrapText="1"/>
    </xf>
    <xf numFmtId="0" fontId="10" fillId="0" borderId="0" xfId="0" applyFont="1"/>
    <xf numFmtId="179" fontId="8" fillId="0" borderId="0" xfId="0" applyNumberFormat="1" applyFont="1"/>
    <xf numFmtId="49" fontId="8" fillId="0" borderId="0" xfId="0" applyNumberFormat="1" applyFont="1"/>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44" fontId="10" fillId="0" borderId="0" xfId="2" applyFont="1" applyFill="1" applyAlignment="1">
      <alignment wrapText="1"/>
    </xf>
    <xf numFmtId="8" fontId="8" fillId="0" borderId="0" xfId="2" applyNumberFormat="1" applyFont="1" applyFill="1" applyBorder="1" applyAlignment="1">
      <alignment horizontal="center" wrapText="1"/>
    </xf>
    <xf numFmtId="8" fontId="8" fillId="0" borderId="0" xfId="2" applyNumberFormat="1" applyFont="1" applyFill="1"/>
    <xf numFmtId="164" fontId="8" fillId="0" borderId="0" xfId="2" applyNumberFormat="1" applyFont="1" applyFill="1"/>
    <xf numFmtId="44" fontId="8" fillId="0" borderId="0" xfId="2" applyFont="1" applyFill="1" applyAlignment="1">
      <alignment horizontal="left"/>
    </xf>
    <xf numFmtId="172" fontId="8" fillId="3" borderId="7" xfId="0" applyNumberFormat="1" applyFont="1" applyFill="1" applyBorder="1" applyAlignment="1">
      <alignment horizontal="center"/>
    </xf>
    <xf numFmtId="0" fontId="0" fillId="3" borderId="0" xfId="0" applyFill="1"/>
    <xf numFmtId="0" fontId="70" fillId="0" borderId="36" xfId="8" applyFont="1" applyBorder="1" applyAlignment="1">
      <alignment horizontal="center" vertical="center" wrapText="1"/>
    </xf>
    <xf numFmtId="37" fontId="8" fillId="0" borderId="0" xfId="1" applyNumberFormat="1" applyFont="1" applyFill="1" applyBorder="1" applyAlignment="1">
      <alignment vertical="center"/>
    </xf>
    <xf numFmtId="164" fontId="8" fillId="0" borderId="0" xfId="2" applyNumberFormat="1" applyFont="1" applyFill="1" applyAlignment="1">
      <alignment horizontal="right"/>
    </xf>
    <xf numFmtId="44" fontId="8" fillId="0" borderId="0" xfId="2" applyFont="1" applyFill="1" applyAlignment="1">
      <alignment horizontal="right"/>
    </xf>
    <xf numFmtId="7" fontId="8" fillId="0" borderId="7" xfId="2" applyNumberFormat="1" applyFont="1" applyFill="1" applyBorder="1" applyAlignment="1">
      <alignment horizontal="right"/>
    </xf>
    <xf numFmtId="7" fontId="10" fillId="0" borderId="0" xfId="2" applyNumberFormat="1" applyFont="1" applyFill="1" applyBorder="1" applyAlignment="1">
      <alignment wrapText="1"/>
    </xf>
    <xf numFmtId="8" fontId="8" fillId="0" borderId="0" xfId="2" applyNumberFormat="1" applyFont="1" applyFill="1" applyBorder="1" applyAlignment="1">
      <alignment wrapText="1"/>
    </xf>
    <xf numFmtId="7" fontId="8" fillId="0" borderId="0" xfId="2" applyNumberFormat="1" applyFont="1" applyFill="1" applyBorder="1" applyAlignment="1">
      <alignment wrapText="1"/>
    </xf>
    <xf numFmtId="44" fontId="8" fillId="0" borderId="0" xfId="2" applyFont="1" applyFill="1" applyBorder="1" applyAlignment="1">
      <alignment horizontal="center" wrapText="1"/>
    </xf>
    <xf numFmtId="8" fontId="8" fillId="0" borderId="0" xfId="2" applyNumberFormat="1" applyFont="1" applyFill="1" applyBorder="1" applyAlignment="1">
      <alignment vertical="top" wrapText="1"/>
    </xf>
    <xf numFmtId="44" fontId="8" fillId="0" borderId="0" xfId="2" applyFont="1" applyFill="1" applyBorder="1" applyAlignment="1">
      <alignment vertical="top" wrapText="1"/>
    </xf>
    <xf numFmtId="44" fontId="8" fillId="0" borderId="0" xfId="2" applyFont="1" applyFill="1" applyBorder="1" applyAlignment="1">
      <alignment horizontal="left" wrapText="1"/>
    </xf>
    <xf numFmtId="44" fontId="8" fillId="0" borderId="0" xfId="2" applyFont="1" applyFill="1" applyBorder="1" applyAlignment="1">
      <alignment horizontal="left" vertical="top" wrapText="1"/>
    </xf>
    <xf numFmtId="164" fontId="8" fillId="0" borderId="0" xfId="2" applyNumberFormat="1" applyFont="1" applyFill="1" applyAlignment="1">
      <alignment horizontal="left"/>
    </xf>
    <xf numFmtId="185" fontId="8" fillId="0" borderId="0" xfId="2" applyNumberFormat="1" applyFont="1" applyFill="1" applyAlignment="1"/>
    <xf numFmtId="165" fontId="8" fillId="0" borderId="0" xfId="1" applyNumberFormat="1" applyFont="1" applyFill="1" applyBorder="1" applyAlignment="1">
      <alignment vertical="center"/>
    </xf>
    <xf numFmtId="0" fontId="8" fillId="0" borderId="65" xfId="0" applyFont="1" applyBorder="1"/>
    <xf numFmtId="44" fontId="8" fillId="0" borderId="65" xfId="2" applyFont="1" applyFill="1" applyBorder="1"/>
    <xf numFmtId="0" fontId="71" fillId="0" borderId="0" xfId="0" applyFont="1"/>
    <xf numFmtId="44" fontId="8" fillId="0" borderId="7" xfId="2" applyFont="1" applyFill="1" applyBorder="1" applyAlignment="1"/>
    <xf numFmtId="0" fontId="8" fillId="0" borderId="16" xfId="0" applyFont="1" applyBorder="1" applyAlignment="1">
      <alignment horizontal="left"/>
    </xf>
    <xf numFmtId="0" fontId="8" fillId="0" borderId="62" xfId="0" applyFont="1" applyBorder="1"/>
    <xf numFmtId="0" fontId="10" fillId="59" borderId="65" xfId="0" applyFont="1" applyFill="1" applyBorder="1" applyAlignment="1">
      <alignment horizontal="center" wrapText="1"/>
    </xf>
    <xf numFmtId="0" fontId="8" fillId="0" borderId="63" xfId="4" applyFont="1" applyBorder="1" applyAlignment="1">
      <alignment horizontal="center"/>
    </xf>
    <xf numFmtId="44" fontId="8" fillId="0" borderId="0" xfId="2" applyFont="1" applyFill="1" applyBorder="1" applyAlignment="1">
      <alignment horizontal="left"/>
    </xf>
    <xf numFmtId="165" fontId="8" fillId="0" borderId="0" xfId="1" applyNumberFormat="1" applyFont="1" applyFill="1" applyAlignment="1"/>
    <xf numFmtId="188" fontId="8" fillId="0" borderId="15" xfId="1" applyNumberFormat="1" applyFont="1" applyFill="1" applyBorder="1" applyAlignment="1">
      <alignment wrapText="1"/>
    </xf>
    <xf numFmtId="7" fontId="8" fillId="0" borderId="0" xfId="2" applyNumberFormat="1" applyFont="1" applyFill="1" applyAlignment="1">
      <alignment vertical="center"/>
    </xf>
    <xf numFmtId="0" fontId="10" fillId="0" borderId="62" xfId="0" applyFont="1" applyBorder="1" applyAlignment="1">
      <alignment horizontal="center" wrapText="1"/>
    </xf>
    <xf numFmtId="0" fontId="10" fillId="0" borderId="63" xfId="0" applyFont="1" applyBorder="1" applyAlignment="1">
      <alignment horizontal="center" wrapText="1"/>
    </xf>
    <xf numFmtId="0" fontId="10" fillId="0" borderId="63" xfId="0" applyFont="1" applyBorder="1" applyAlignment="1">
      <alignment horizontal="center" vertical="center" wrapText="1"/>
    </xf>
    <xf numFmtId="0" fontId="8" fillId="0" borderId="62" xfId="0" applyFont="1" applyBorder="1" applyAlignment="1">
      <alignment horizontal="center"/>
    </xf>
    <xf numFmtId="44" fontId="8" fillId="0" borderId="62" xfId="2" applyFont="1" applyFill="1" applyBorder="1" applyAlignment="1">
      <alignment horizontal="center"/>
    </xf>
    <xf numFmtId="44" fontId="8" fillId="0" borderId="61" xfId="2" applyFont="1" applyFill="1" applyBorder="1" applyAlignment="1">
      <alignment horizontal="center"/>
    </xf>
    <xf numFmtId="44" fontId="3" fillId="0" borderId="0" xfId="2" applyFont="1" applyFill="1" applyAlignment="1"/>
    <xf numFmtId="44" fontId="8" fillId="0" borderId="65" xfId="2" applyFont="1" applyFill="1" applyBorder="1" applyAlignment="1">
      <alignment horizontal="center" vertical="center"/>
    </xf>
    <xf numFmtId="165" fontId="8" fillId="0" borderId="61" xfId="1" applyNumberFormat="1" applyFont="1" applyFill="1" applyBorder="1" applyAlignment="1">
      <alignment vertical="center"/>
    </xf>
    <xf numFmtId="189" fontId="8" fillId="0" borderId="61" xfId="1" applyNumberFormat="1" applyFont="1" applyFill="1" applyBorder="1" applyAlignment="1">
      <alignment vertical="center"/>
    </xf>
    <xf numFmtId="37" fontId="8" fillId="0" borderId="61" xfId="1" applyNumberFormat="1" applyFont="1" applyFill="1" applyBorder="1" applyAlignment="1">
      <alignment vertical="center"/>
    </xf>
    <xf numFmtId="165" fontId="8" fillId="0" borderId="63" xfId="1" applyNumberFormat="1" applyFont="1" applyFill="1" applyBorder="1" applyAlignment="1">
      <alignment vertical="center"/>
    </xf>
    <xf numFmtId="165" fontId="8" fillId="0" borderId="61" xfId="1" applyNumberFormat="1" applyFont="1" applyFill="1" applyBorder="1" applyAlignment="1">
      <alignment horizontal="center" vertical="center"/>
    </xf>
    <xf numFmtId="0" fontId="8" fillId="0" borderId="63" xfId="0" applyFont="1" applyBorder="1" applyAlignment="1">
      <alignment horizontal="center"/>
    </xf>
    <xf numFmtId="44" fontId="8" fillId="0" borderId="61" xfId="2" applyFont="1" applyFill="1" applyBorder="1" applyAlignment="1">
      <alignment vertical="center"/>
    </xf>
    <xf numFmtId="44" fontId="8" fillId="0" borderId="63" xfId="2" applyFont="1" applyFill="1" applyBorder="1" applyAlignment="1">
      <alignment horizontal="center"/>
    </xf>
    <xf numFmtId="44" fontId="8" fillId="0" borderId="61" xfId="2" applyFont="1" applyFill="1" applyBorder="1"/>
    <xf numFmtId="44" fontId="8" fillId="0" borderId="62" xfId="2" applyFont="1" applyFill="1" applyBorder="1" applyAlignment="1">
      <alignment vertical="center"/>
    </xf>
    <xf numFmtId="189" fontId="8" fillId="0" borderId="61" xfId="1" applyNumberFormat="1" applyFont="1" applyFill="1" applyBorder="1" applyAlignment="1">
      <alignment horizontal="center" vertical="center"/>
    </xf>
    <xf numFmtId="2" fontId="8" fillId="0" borderId="62" xfId="0" applyNumberFormat="1" applyFont="1" applyBorder="1" applyAlignment="1">
      <alignment horizontal="center"/>
    </xf>
    <xf numFmtId="44" fontId="8" fillId="0" borderId="62" xfId="2" applyFont="1" applyFill="1" applyBorder="1"/>
    <xf numFmtId="189" fontId="8" fillId="0" borderId="63" xfId="1" applyNumberFormat="1" applyFont="1" applyFill="1" applyBorder="1" applyAlignment="1">
      <alignment horizontal="right" vertical="center"/>
    </xf>
    <xf numFmtId="44" fontId="8" fillId="0" borderId="63" xfId="2" applyFont="1" applyFill="1" applyBorder="1" applyAlignment="1">
      <alignment horizontal="left" wrapText="1"/>
    </xf>
    <xf numFmtId="37" fontId="8" fillId="0" borderId="62" xfId="2" applyNumberFormat="1" applyFont="1" applyFill="1" applyBorder="1"/>
    <xf numFmtId="165" fontId="8" fillId="0" borderId="61" xfId="1" applyNumberFormat="1" applyFont="1" applyFill="1" applyBorder="1" applyAlignment="1">
      <alignment horizontal="center"/>
    </xf>
    <xf numFmtId="7" fontId="8" fillId="0" borderId="63" xfId="2" applyNumberFormat="1" applyFont="1" applyFill="1" applyBorder="1" applyAlignment="1">
      <alignment horizontal="right" wrapText="1"/>
    </xf>
    <xf numFmtId="7" fontId="8" fillId="0" borderId="62" xfId="2" applyNumberFormat="1" applyFont="1" applyFill="1" applyBorder="1"/>
    <xf numFmtId="7" fontId="8" fillId="0" borderId="63" xfId="2" applyNumberFormat="1" applyFont="1" applyFill="1" applyBorder="1" applyAlignment="1">
      <alignment horizontal="center" wrapText="1"/>
    </xf>
    <xf numFmtId="165" fontId="8" fillId="0" borderId="61" xfId="1" applyNumberFormat="1" applyFont="1" applyFill="1" applyBorder="1" applyAlignment="1">
      <alignment horizontal="right" vertical="center"/>
    </xf>
    <xf numFmtId="44" fontId="8" fillId="0" borderId="65" xfId="2" applyFont="1" applyFill="1" applyBorder="1" applyAlignment="1">
      <alignment horizontal="center"/>
    </xf>
    <xf numFmtId="2" fontId="8" fillId="0" borderId="65" xfId="0" applyNumberFormat="1" applyFont="1" applyBorder="1" applyAlignment="1">
      <alignment horizontal="center"/>
    </xf>
    <xf numFmtId="165" fontId="8" fillId="0" borderId="61" xfId="1" applyNumberFormat="1" applyFont="1" applyFill="1" applyBorder="1" applyAlignment="1"/>
    <xf numFmtId="165" fontId="8" fillId="0" borderId="62" xfId="1" applyNumberFormat="1" applyFont="1" applyFill="1" applyBorder="1" applyAlignment="1">
      <alignment horizontal="center"/>
    </xf>
    <xf numFmtId="0" fontId="8" fillId="0" borderId="62" xfId="3" applyNumberFormat="1" applyFont="1" applyFill="1" applyBorder="1" applyAlignment="1">
      <alignment horizontal="center"/>
    </xf>
    <xf numFmtId="44" fontId="8" fillId="0" borderId="61" xfId="2" applyFont="1" applyFill="1" applyBorder="1" applyAlignment="1">
      <alignment horizontal="left"/>
    </xf>
    <xf numFmtId="165" fontId="8" fillId="0" borderId="61" xfId="1" applyNumberFormat="1" applyFont="1" applyFill="1" applyBorder="1" applyAlignment="1">
      <alignment horizontal="center" vertical="top"/>
    </xf>
    <xf numFmtId="43" fontId="8" fillId="0" borderId="61" xfId="1" applyFont="1" applyFill="1" applyBorder="1" applyAlignment="1"/>
    <xf numFmtId="168" fontId="8" fillId="0" borderId="61" xfId="1" applyNumberFormat="1" applyFont="1" applyFill="1" applyBorder="1" applyAlignment="1">
      <alignment horizontal="right" vertical="center"/>
    </xf>
    <xf numFmtId="165" fontId="8" fillId="0" borderId="62" xfId="1" applyNumberFormat="1" applyFont="1" applyFill="1" applyBorder="1" applyAlignment="1"/>
    <xf numFmtId="44" fontId="8" fillId="0" borderId="65" xfId="2" applyFont="1" applyFill="1" applyBorder="1" applyAlignment="1">
      <alignment vertical="center"/>
    </xf>
    <xf numFmtId="165" fontId="8" fillId="0" borderId="65" xfId="1" applyNumberFormat="1" applyFont="1" applyFill="1" applyBorder="1" applyAlignment="1">
      <alignment vertical="center"/>
    </xf>
    <xf numFmtId="43" fontId="8" fillId="0" borderId="61" xfId="1" applyFont="1" applyFill="1" applyBorder="1" applyAlignment="1">
      <alignment horizontal="center"/>
    </xf>
    <xf numFmtId="37" fontId="8" fillId="0" borderId="61" xfId="1" applyNumberFormat="1" applyFont="1" applyFill="1" applyBorder="1" applyAlignment="1">
      <alignment horizontal="center" vertical="center"/>
    </xf>
    <xf numFmtId="190" fontId="8" fillId="0" borderId="61" xfId="1" applyNumberFormat="1" applyFont="1" applyFill="1" applyBorder="1" applyAlignment="1">
      <alignment horizontal="center" vertical="center"/>
    </xf>
    <xf numFmtId="37" fontId="8" fillId="0" borderId="61" xfId="1" applyNumberFormat="1" applyFont="1" applyFill="1" applyBorder="1" applyAlignment="1">
      <alignment horizontal="right" vertical="center"/>
    </xf>
    <xf numFmtId="2" fontId="8" fillId="0" borderId="62" xfId="0" applyNumberFormat="1" applyFont="1" applyBorder="1" applyAlignment="1">
      <alignment horizontal="center" wrapText="1"/>
    </xf>
    <xf numFmtId="0" fontId="8" fillId="0" borderId="62" xfId="2" applyNumberFormat="1" applyFont="1" applyFill="1" applyBorder="1" applyAlignment="1">
      <alignment horizontal="center"/>
    </xf>
    <xf numFmtId="0" fontId="8" fillId="3" borderId="65" xfId="0" applyFont="1" applyFill="1" applyBorder="1" applyAlignment="1">
      <alignment horizontal="center" wrapText="1"/>
    </xf>
    <xf numFmtId="0" fontId="8" fillId="0" borderId="64" xfId="0" applyFont="1" applyBorder="1" applyAlignment="1">
      <alignment horizontal="left"/>
    </xf>
    <xf numFmtId="15" fontId="8" fillId="0" borderId="65" xfId="0" applyNumberFormat="1" applyFont="1" applyBorder="1" applyAlignment="1">
      <alignment horizontal="center"/>
    </xf>
    <xf numFmtId="172" fontId="8" fillId="0" borderId="63" xfId="0" applyNumberFormat="1" applyFont="1" applyBorder="1" applyAlignment="1">
      <alignment horizontal="center"/>
    </xf>
    <xf numFmtId="0" fontId="8" fillId="0" borderId="63" xfId="4" quotePrefix="1" applyFont="1" applyBorder="1" applyAlignment="1">
      <alignment horizontal="center"/>
    </xf>
    <xf numFmtId="165" fontId="10" fillId="0" borderId="68" xfId="1" applyNumberFormat="1" applyFont="1" applyFill="1" applyBorder="1" applyAlignment="1">
      <alignment horizontal="center" vertical="center"/>
    </xf>
    <xf numFmtId="164" fontId="8" fillId="0" borderId="69" xfId="1" applyNumberFormat="1" applyFont="1" applyFill="1" applyBorder="1" applyAlignment="1">
      <alignment horizontal="center" vertical="center"/>
    </xf>
    <xf numFmtId="164" fontId="8" fillId="0" borderId="71" xfId="1" applyNumberFormat="1" applyFont="1" applyFill="1" applyBorder="1" applyAlignment="1">
      <alignment horizontal="center" vertical="center"/>
    </xf>
    <xf numFmtId="164" fontId="8" fillId="0" borderId="67" xfId="1" applyNumberFormat="1" applyFont="1" applyFill="1" applyBorder="1" applyAlignment="1">
      <alignment horizontal="center" vertical="center"/>
    </xf>
    <xf numFmtId="165" fontId="10" fillId="0" borderId="0" xfId="1" applyNumberFormat="1" applyFont="1" applyFill="1" applyBorder="1" applyAlignment="1">
      <alignment horizontal="center" vertical="center"/>
    </xf>
    <xf numFmtId="164" fontId="8" fillId="0" borderId="68" xfId="1" applyNumberFormat="1" applyFont="1" applyFill="1" applyBorder="1" applyAlignment="1">
      <alignment horizontal="center" vertical="center"/>
    </xf>
    <xf numFmtId="8" fontId="8" fillId="0" borderId="0" xfId="2" applyNumberFormat="1" applyFont="1" applyFill="1" applyAlignment="1">
      <alignment horizontal="right"/>
    </xf>
    <xf numFmtId="8" fontId="8" fillId="0" borderId="0" xfId="2" applyNumberFormat="1" applyFont="1" applyFill="1" applyBorder="1"/>
    <xf numFmtId="7" fontId="10" fillId="0" borderId="79" xfId="2" applyNumberFormat="1" applyFont="1" applyFill="1" applyBorder="1" applyAlignment="1">
      <alignment wrapText="1"/>
    </xf>
    <xf numFmtId="7" fontId="8" fillId="0" borderId="79" xfId="2" applyNumberFormat="1" applyFont="1" applyFill="1" applyBorder="1" applyAlignment="1">
      <alignment wrapText="1"/>
    </xf>
    <xf numFmtId="44" fontId="8" fillId="0" borderId="79" xfId="2" applyFont="1" applyFill="1" applyBorder="1" applyAlignment="1">
      <alignment wrapText="1"/>
    </xf>
    <xf numFmtId="44" fontId="8" fillId="0" borderId="81" xfId="2" applyFont="1" applyFill="1" applyBorder="1" applyAlignment="1">
      <alignment horizontal="right"/>
    </xf>
    <xf numFmtId="8" fontId="8" fillId="0" borderId="79" xfId="2" applyNumberFormat="1" applyFont="1" applyFill="1" applyBorder="1" applyAlignment="1">
      <alignment wrapText="1"/>
    </xf>
    <xf numFmtId="44" fontId="8" fillId="0" borderId="81" xfId="2" applyFont="1" applyFill="1" applyBorder="1" applyAlignment="1">
      <alignment horizontal="center"/>
    </xf>
    <xf numFmtId="165" fontId="8" fillId="0" borderId="79" xfId="1" applyNumberFormat="1" applyFont="1" applyFill="1" applyBorder="1" applyAlignment="1"/>
    <xf numFmtId="44" fontId="8" fillId="0" borderId="79" xfId="2" applyFont="1" applyFill="1" applyBorder="1" applyAlignment="1">
      <alignment horizontal="center" wrapText="1"/>
    </xf>
    <xf numFmtId="8" fontId="8" fillId="0" borderId="79" xfId="2" applyNumberFormat="1" applyFont="1" applyFill="1" applyBorder="1" applyAlignment="1">
      <alignment vertical="top" wrapText="1"/>
    </xf>
    <xf numFmtId="44" fontId="8" fillId="0" borderId="79" xfId="2" applyFont="1" applyFill="1" applyBorder="1" applyAlignment="1">
      <alignment vertical="top" wrapText="1"/>
    </xf>
    <xf numFmtId="44" fontId="8" fillId="0" borderId="79" xfId="2" applyFont="1" applyFill="1" applyBorder="1" applyAlignment="1">
      <alignment horizontal="left" wrapText="1"/>
    </xf>
    <xf numFmtId="44" fontId="8" fillId="0" borderId="79" xfId="2" applyFont="1" applyFill="1" applyBorder="1" applyAlignment="1">
      <alignment horizontal="left" vertical="top" wrapText="1"/>
    </xf>
    <xf numFmtId="0" fontId="8" fillId="3" borderId="81" xfId="0" applyFont="1" applyFill="1" applyBorder="1" applyAlignment="1">
      <alignment horizontal="center" wrapText="1"/>
    </xf>
    <xf numFmtId="0" fontId="8" fillId="3" borderId="81" xfId="0" applyFont="1" applyFill="1" applyBorder="1" applyAlignment="1">
      <alignment horizontal="center"/>
    </xf>
    <xf numFmtId="0" fontId="8" fillId="3" borderId="81" xfId="0" applyFont="1" applyFill="1" applyBorder="1"/>
    <xf numFmtId="172" fontId="8" fillId="3" borderId="81" xfId="0" applyNumberFormat="1" applyFont="1" applyFill="1" applyBorder="1" applyAlignment="1">
      <alignment horizontal="center"/>
    </xf>
    <xf numFmtId="44" fontId="8" fillId="0" borderId="7" xfId="2" applyFont="1" applyFill="1" applyBorder="1"/>
    <xf numFmtId="0" fontId="8" fillId="0" borderId="90" xfId="0" applyFont="1" applyBorder="1" applyAlignment="1">
      <alignment horizontal="center"/>
    </xf>
    <xf numFmtId="8" fontId="8" fillId="0" borderId="88" xfId="2" applyNumberFormat="1" applyFont="1" applyFill="1" applyBorder="1"/>
    <xf numFmtId="165" fontId="8" fillId="0" borderId="88" xfId="1" applyNumberFormat="1" applyFont="1" applyFill="1" applyBorder="1" applyAlignment="1">
      <alignment vertical="center"/>
    </xf>
    <xf numFmtId="44" fontId="8" fillId="0" borderId="88" xfId="2" applyFont="1" applyFill="1" applyBorder="1"/>
    <xf numFmtId="44" fontId="8" fillId="0" borderId="88" xfId="2" applyFont="1" applyFill="1" applyBorder="1" applyAlignment="1">
      <alignment horizontal="right"/>
    </xf>
    <xf numFmtId="172" fontId="8" fillId="0" borderId="89" xfId="0" applyNumberFormat="1" applyFont="1" applyBorder="1" applyAlignment="1">
      <alignment horizontal="center"/>
    </xf>
    <xf numFmtId="44" fontId="8" fillId="0" borderId="67" xfId="2" applyFont="1" applyFill="1" applyBorder="1" applyAlignment="1">
      <alignment horizontal="center"/>
    </xf>
    <xf numFmtId="44" fontId="8" fillId="0" borderId="67" xfId="2" applyFont="1" applyFill="1" applyBorder="1"/>
    <xf numFmtId="2" fontId="8" fillId="0" borderId="65" xfId="2" applyNumberFormat="1" applyFont="1" applyFill="1" applyBorder="1" applyAlignment="1">
      <alignment horizontal="center"/>
    </xf>
    <xf numFmtId="165" fontId="8" fillId="0" borderId="1" xfId="1" applyNumberFormat="1" applyFont="1" applyFill="1" applyBorder="1" applyAlignment="1"/>
    <xf numFmtId="165" fontId="8" fillId="0" borderId="1" xfId="1" applyNumberFormat="1" applyFont="1" applyFill="1" applyBorder="1" applyAlignment="1">
      <alignment horizontal="center" vertical="center"/>
    </xf>
    <xf numFmtId="193" fontId="8" fillId="0" borderId="0" xfId="2" applyNumberFormat="1" applyFont="1" applyFill="1" applyAlignment="1"/>
    <xf numFmtId="2" fontId="8" fillId="0" borderId="67" xfId="2" applyNumberFormat="1" applyFont="1" applyFill="1" applyBorder="1" applyAlignment="1">
      <alignment horizontal="center"/>
    </xf>
    <xf numFmtId="0" fontId="10" fillId="0" borderId="94" xfId="0" applyFont="1" applyBorder="1" applyAlignment="1">
      <alignment horizontal="center" wrapText="1"/>
    </xf>
    <xf numFmtId="0" fontId="8" fillId="0" borderId="94" xfId="0" applyFont="1" applyBorder="1" applyAlignment="1">
      <alignment horizontal="center"/>
    </xf>
    <xf numFmtId="44" fontId="8" fillId="0" borderId="94" xfId="2" applyFont="1" applyFill="1" applyBorder="1" applyAlignment="1">
      <alignment vertical="center"/>
    </xf>
    <xf numFmtId="0" fontId="8" fillId="0" borderId="94" xfId="0" applyFont="1" applyBorder="1" applyAlignment="1">
      <alignment horizontal="center" wrapText="1"/>
    </xf>
    <xf numFmtId="8" fontId="8" fillId="0" borderId="94" xfId="2" applyNumberFormat="1" applyFont="1" applyFill="1" applyBorder="1" applyAlignment="1">
      <alignment vertical="center"/>
    </xf>
    <xf numFmtId="8" fontId="8" fillId="0" borderId="94" xfId="2" applyNumberFormat="1" applyFont="1" applyFill="1" applyBorder="1"/>
    <xf numFmtId="44" fontId="8" fillId="0" borderId="94" xfId="2" applyFont="1" applyFill="1" applyBorder="1" applyAlignment="1">
      <alignment horizontal="center" vertical="center"/>
    </xf>
    <xf numFmtId="44" fontId="8" fillId="0" borderId="94" xfId="2" applyFont="1" applyFill="1" applyBorder="1" applyAlignment="1">
      <alignment wrapText="1"/>
    </xf>
    <xf numFmtId="44" fontId="8" fillId="0" borderId="94" xfId="2" applyFont="1" applyFill="1" applyBorder="1"/>
    <xf numFmtId="44" fontId="8" fillId="0" borderId="94" xfId="2" applyFont="1" applyFill="1" applyBorder="1" applyAlignment="1">
      <alignment horizontal="center"/>
    </xf>
    <xf numFmtId="165" fontId="8" fillId="0" borderId="94" xfId="1" applyNumberFormat="1" applyFont="1" applyFill="1" applyBorder="1" applyAlignment="1">
      <alignment vertical="center"/>
    </xf>
    <xf numFmtId="39" fontId="8" fillId="0" borderId="94" xfId="2" applyNumberFormat="1" applyFont="1" applyFill="1" applyBorder="1" applyAlignment="1">
      <alignment horizontal="center"/>
    </xf>
    <xf numFmtId="2" fontId="8" fillId="0" borderId="94" xfId="2" applyNumberFormat="1" applyFont="1" applyFill="1" applyBorder="1" applyAlignment="1">
      <alignment horizontal="center" vertical="center"/>
    </xf>
    <xf numFmtId="2" fontId="8" fillId="0" borderId="94" xfId="2" applyNumberFormat="1" applyFont="1" applyFill="1" applyBorder="1" applyAlignment="1">
      <alignment horizontal="center"/>
    </xf>
    <xf numFmtId="44" fontId="8" fillId="0" borderId="94" xfId="2" applyFont="1" applyFill="1" applyBorder="1" applyAlignment="1"/>
    <xf numFmtId="8" fontId="8" fillId="0" borderId="94" xfId="2" applyNumberFormat="1" applyFont="1" applyFill="1" applyBorder="1" applyAlignment="1"/>
    <xf numFmtId="44" fontId="8" fillId="0" borderId="94" xfId="2" applyFont="1" applyFill="1" applyBorder="1" applyAlignment="1">
      <alignment horizontal="center" wrapText="1"/>
    </xf>
    <xf numFmtId="164" fontId="8" fillId="0" borderId="94" xfId="2" applyNumberFormat="1" applyFont="1" applyFill="1" applyBorder="1" applyAlignment="1">
      <alignment horizontal="right"/>
    </xf>
    <xf numFmtId="164" fontId="8" fillId="0" borderId="94" xfId="2" applyNumberFormat="1" applyFont="1" applyFill="1" applyBorder="1"/>
    <xf numFmtId="165" fontId="8" fillId="0" borderId="94" xfId="1" applyNumberFormat="1" applyFont="1" applyFill="1" applyBorder="1" applyAlignment="1">
      <alignment horizontal="center"/>
    </xf>
    <xf numFmtId="2" fontId="8" fillId="0" borderId="94" xfId="0" applyNumberFormat="1" applyFont="1" applyBorder="1" applyAlignment="1">
      <alignment horizontal="center"/>
    </xf>
    <xf numFmtId="164" fontId="8" fillId="0" borderId="94" xfId="2" applyNumberFormat="1" applyFont="1" applyFill="1" applyBorder="1" applyAlignment="1">
      <alignment horizontal="center"/>
    </xf>
    <xf numFmtId="39" fontId="8" fillId="0" borderId="94" xfId="2" applyNumberFormat="1" applyFont="1" applyFill="1" applyBorder="1" applyAlignment="1">
      <alignment horizontal="right"/>
    </xf>
    <xf numFmtId="39" fontId="8" fillId="0" borderId="94" xfId="2" applyNumberFormat="1" applyFont="1" applyFill="1" applyBorder="1"/>
    <xf numFmtId="167" fontId="8" fillId="0" borderId="94" xfId="1" applyNumberFormat="1" applyFont="1" applyFill="1" applyBorder="1"/>
    <xf numFmtId="186" fontId="8" fillId="0" borderId="94" xfId="1" applyNumberFormat="1" applyFont="1" applyFill="1" applyBorder="1"/>
    <xf numFmtId="39" fontId="8" fillId="0" borderId="94" xfId="1" applyNumberFormat="1" applyFont="1" applyFill="1" applyBorder="1"/>
    <xf numFmtId="44" fontId="8" fillId="0" borderId="94" xfId="2" applyFont="1" applyFill="1" applyBorder="1" applyAlignment="1">
      <alignment horizontal="right"/>
    </xf>
    <xf numFmtId="174" fontId="8" fillId="0" borderId="94" xfId="2" applyNumberFormat="1" applyFont="1" applyFill="1" applyBorder="1"/>
    <xf numFmtId="165" fontId="8" fillId="0" borderId="94" xfId="1" applyNumberFormat="1" applyFont="1" applyFill="1" applyBorder="1" applyAlignment="1">
      <alignment horizontal="center" vertical="center"/>
    </xf>
    <xf numFmtId="8" fontId="8" fillId="0" borderId="94" xfId="2" applyNumberFormat="1" applyFont="1" applyFill="1" applyBorder="1" applyAlignment="1">
      <alignment horizontal="right"/>
    </xf>
    <xf numFmtId="172" fontId="8" fillId="0" borderId="94" xfId="0" applyNumberFormat="1" applyFont="1" applyBorder="1" applyAlignment="1">
      <alignment horizontal="center"/>
    </xf>
    <xf numFmtId="164" fontId="8" fillId="0" borderId="94" xfId="2" applyNumberFormat="1" applyFont="1" applyFill="1" applyBorder="1" applyAlignment="1"/>
    <xf numFmtId="44" fontId="8" fillId="0" borderId="94" xfId="2" applyFont="1" applyFill="1" applyBorder="1" applyAlignment="1">
      <alignment horizontal="left" wrapText="1"/>
    </xf>
    <xf numFmtId="7" fontId="8" fillId="0" borderId="94" xfId="2" applyNumberFormat="1" applyFont="1" applyFill="1" applyBorder="1" applyAlignment="1">
      <alignment horizontal="right"/>
    </xf>
    <xf numFmtId="7" fontId="8" fillId="0" borderId="94" xfId="2" applyNumberFormat="1" applyFont="1" applyFill="1" applyBorder="1"/>
    <xf numFmtId="7" fontId="8" fillId="0" borderId="94" xfId="2" applyNumberFormat="1" applyFont="1" applyFill="1" applyBorder="1" applyAlignment="1">
      <alignment horizontal="center"/>
    </xf>
    <xf numFmtId="165" fontId="8" fillId="0" borderId="94" xfId="1" applyNumberFormat="1" applyFont="1" applyFill="1" applyBorder="1" applyAlignment="1">
      <alignment horizontal="right"/>
    </xf>
    <xf numFmtId="7" fontId="8" fillId="0" borderId="94" xfId="2" applyNumberFormat="1" applyFont="1" applyFill="1" applyBorder="1" applyAlignment="1">
      <alignment horizontal="right" vertical="center"/>
    </xf>
    <xf numFmtId="165" fontId="8" fillId="0" borderId="94" xfId="1" applyNumberFormat="1" applyFont="1" applyFill="1" applyBorder="1" applyAlignment="1">
      <alignment horizontal="right" vertical="center"/>
    </xf>
    <xf numFmtId="8" fontId="8" fillId="0" borderId="94" xfId="2" applyNumberFormat="1" applyFont="1" applyFill="1" applyBorder="1" applyAlignment="1">
      <alignment horizontal="right" vertical="center"/>
    </xf>
    <xf numFmtId="2" fontId="8" fillId="0" borderId="94" xfId="0" applyNumberFormat="1" applyFont="1" applyBorder="1" applyAlignment="1">
      <alignment horizontal="center" vertical="center"/>
    </xf>
    <xf numFmtId="44" fontId="8" fillId="0" borderId="94" xfId="2" applyFont="1" applyFill="1" applyBorder="1" applyAlignment="1">
      <alignment horizontal="center" vertical="center" wrapText="1"/>
    </xf>
    <xf numFmtId="4" fontId="8" fillId="0" borderId="94" xfId="0" applyNumberFormat="1" applyFont="1" applyBorder="1" applyAlignment="1">
      <alignment horizontal="center"/>
    </xf>
    <xf numFmtId="44" fontId="8" fillId="0" borderId="94" xfId="2" applyFont="1" applyFill="1" applyBorder="1" applyAlignment="1">
      <alignment horizontal="left"/>
    </xf>
    <xf numFmtId="8" fontId="8" fillId="0" borderId="94" xfId="2" applyNumberFormat="1" applyFont="1" applyFill="1" applyBorder="1" applyAlignment="1">
      <alignment horizontal="right" wrapText="1"/>
    </xf>
    <xf numFmtId="165" fontId="8" fillId="0" borderId="94" xfId="1" applyNumberFormat="1" applyFont="1" applyFill="1" applyBorder="1" applyAlignment="1">
      <alignment horizontal="left"/>
    </xf>
    <xf numFmtId="44" fontId="10" fillId="0" borderId="94" xfId="2" applyFont="1" applyFill="1" applyBorder="1"/>
    <xf numFmtId="166" fontId="8" fillId="0" borderId="94" xfId="2" applyNumberFormat="1" applyFont="1" applyFill="1" applyBorder="1" applyAlignment="1">
      <alignment horizontal="center"/>
    </xf>
    <xf numFmtId="185" fontId="8" fillId="0" borderId="94" xfId="2" applyNumberFormat="1" applyFont="1" applyFill="1" applyBorder="1"/>
    <xf numFmtId="183" fontId="8" fillId="0" borderId="94" xfId="1" applyNumberFormat="1" applyFont="1" applyFill="1" applyBorder="1" applyAlignment="1">
      <alignment horizontal="center"/>
    </xf>
    <xf numFmtId="167" fontId="8" fillId="0" borderId="94" xfId="1" applyNumberFormat="1" applyFont="1" applyFill="1" applyBorder="1" applyAlignment="1">
      <alignment horizontal="center"/>
    </xf>
    <xf numFmtId="164" fontId="8" fillId="0" borderId="94" xfId="2" applyNumberFormat="1" applyFont="1" applyFill="1" applyBorder="1" applyAlignment="1">
      <alignment horizontal="center" vertical="center"/>
    </xf>
    <xf numFmtId="164" fontId="8" fillId="0" borderId="94" xfId="2" applyNumberFormat="1" applyFont="1" applyFill="1" applyBorder="1" applyAlignment="1">
      <alignment vertical="center" wrapText="1"/>
    </xf>
    <xf numFmtId="8" fontId="8" fillId="0" borderId="94" xfId="2" applyNumberFormat="1" applyFont="1" applyFill="1" applyBorder="1" applyAlignment="1">
      <alignment vertical="center" wrapText="1"/>
    </xf>
    <xf numFmtId="10" fontId="8" fillId="0" borderId="94" xfId="3" applyNumberFormat="1" applyFont="1" applyFill="1" applyBorder="1" applyAlignment="1">
      <alignment horizontal="center" wrapText="1"/>
    </xf>
    <xf numFmtId="0" fontId="10" fillId="59" borderId="94" xfId="0" applyFont="1" applyFill="1" applyBorder="1" applyAlignment="1">
      <alignment horizontal="center" wrapText="1"/>
    </xf>
    <xf numFmtId="15" fontId="8" fillId="0" borderId="94" xfId="0" applyNumberFormat="1" applyFont="1" applyBorder="1" applyAlignment="1">
      <alignment horizontal="center" wrapText="1"/>
    </xf>
    <xf numFmtId="166" fontId="8" fillId="0" borderId="95" xfId="0" applyNumberFormat="1" applyFont="1" applyBorder="1" applyAlignment="1">
      <alignment horizontal="center"/>
    </xf>
    <xf numFmtId="15" fontId="8" fillId="0" borderId="94" xfId="0" applyNumberFormat="1" applyFont="1" applyBorder="1" applyAlignment="1">
      <alignment horizontal="center"/>
    </xf>
    <xf numFmtId="0" fontId="10" fillId="0" borderId="100" xfId="0" applyFont="1" applyBorder="1" applyAlignment="1">
      <alignment horizontal="center" vertical="center" wrapText="1"/>
    </xf>
    <xf numFmtId="0" fontId="8" fillId="0" borderId="94" xfId="0" applyFont="1" applyBorder="1" applyAlignment="1">
      <alignment horizontal="left" indent="1"/>
    </xf>
    <xf numFmtId="0" fontId="8" fillId="0" borderId="94" xfId="4" applyFont="1" applyBorder="1" applyAlignment="1">
      <alignment horizontal="center"/>
    </xf>
    <xf numFmtId="0" fontId="0" fillId="0" borderId="94" xfId="0" applyBorder="1" applyAlignment="1">
      <alignment horizontal="left" vertical="top" wrapText="1"/>
    </xf>
    <xf numFmtId="0" fontId="0" fillId="0" borderId="94" xfId="0" applyBorder="1" applyAlignment="1">
      <alignment horizontal="center" vertical="center" wrapText="1"/>
    </xf>
    <xf numFmtId="1" fontId="8" fillId="0" borderId="94" xfId="0" applyNumberFormat="1" applyFont="1" applyBorder="1" applyAlignment="1">
      <alignment horizontal="center"/>
    </xf>
    <xf numFmtId="0" fontId="26" fillId="0" borderId="94" xfId="0" applyFont="1" applyBorder="1"/>
    <xf numFmtId="37" fontId="0" fillId="0" borderId="94" xfId="1" applyNumberFormat="1" applyFont="1" applyFill="1" applyBorder="1" applyAlignment="1">
      <alignment horizontal="center"/>
    </xf>
    <xf numFmtId="2" fontId="0" fillId="0" borderId="94" xfId="0" applyNumberFormat="1" applyBorder="1" applyAlignment="1">
      <alignment horizontal="center" vertical="center"/>
    </xf>
    <xf numFmtId="2" fontId="8" fillId="4" borderId="94" xfId="0" applyNumberFormat="1" applyFont="1" applyFill="1" applyBorder="1" applyAlignment="1">
      <alignment horizontal="center" vertical="center"/>
    </xf>
    <xf numFmtId="0" fontId="24" fillId="5" borderId="94" xfId="0" applyFont="1" applyFill="1" applyBorder="1" applyAlignment="1">
      <alignment horizontal="center"/>
    </xf>
    <xf numFmtId="0" fontId="0" fillId="0" borderId="94" xfId="0" applyBorder="1" applyAlignment="1">
      <alignment horizontal="center" vertical="center"/>
    </xf>
    <xf numFmtId="0" fontId="8" fillId="0" borderId="97" xfId="0" applyFont="1" applyBorder="1" applyAlignment="1">
      <alignment horizontal="center"/>
    </xf>
    <xf numFmtId="0" fontId="8" fillId="0" borderId="96" xfId="0" applyFont="1" applyBorder="1" applyAlignment="1">
      <alignment horizontal="center"/>
    </xf>
    <xf numFmtId="0" fontId="10" fillId="0" borderId="97" xfId="0" applyFont="1" applyBorder="1" applyAlignment="1">
      <alignment horizontal="center" wrapText="1"/>
    </xf>
    <xf numFmtId="0" fontId="10" fillId="0" borderId="96" xfId="0" applyFont="1" applyBorder="1" applyAlignment="1">
      <alignment horizontal="center" wrapText="1"/>
    </xf>
    <xf numFmtId="0" fontId="8" fillId="0" borderId="97" xfId="0" applyFont="1" applyBorder="1" applyAlignment="1">
      <alignment horizontal="center" wrapText="1"/>
    </xf>
    <xf numFmtId="0" fontId="8" fillId="0" borderId="97" xfId="0" applyFont="1" applyBorder="1" applyAlignment="1">
      <alignment horizontal="left" wrapText="1"/>
    </xf>
    <xf numFmtId="0" fontId="8" fillId="0" borderId="97" xfId="0" applyFont="1" applyBorder="1" applyAlignment="1">
      <alignment horizontal="left"/>
    </xf>
    <xf numFmtId="166" fontId="8" fillId="0" borderId="96" xfId="0" applyNumberFormat="1" applyFont="1" applyBorder="1" applyAlignment="1">
      <alignment horizontal="center"/>
    </xf>
    <xf numFmtId="0" fontId="8" fillId="0" borderId="96" xfId="4" applyFont="1" applyBorder="1" applyAlignment="1">
      <alignment horizontal="center"/>
    </xf>
    <xf numFmtId="2" fontId="8" fillId="0" borderId="63" xfId="2" applyNumberFormat="1" applyFont="1" applyFill="1" applyBorder="1" applyAlignment="1">
      <alignment horizontal="center" vertical="center"/>
    </xf>
    <xf numFmtId="44" fontId="8" fillId="0" borderId="63" xfId="2" applyFont="1" applyFill="1" applyBorder="1"/>
    <xf numFmtId="165" fontId="8" fillId="0" borderId="1" xfId="1" applyNumberFormat="1" applyFont="1" applyFill="1" applyBorder="1" applyAlignment="1">
      <alignment horizontal="right" vertical="center"/>
    </xf>
    <xf numFmtId="164" fontId="8" fillId="0" borderId="0" xfId="2" applyNumberFormat="1" applyFont="1" applyFill="1" applyBorder="1"/>
    <xf numFmtId="165" fontId="8" fillId="0" borderId="91" xfId="1" applyNumberFormat="1" applyFont="1" applyFill="1" applyBorder="1" applyAlignment="1">
      <alignment vertical="center"/>
    </xf>
    <xf numFmtId="164" fontId="8" fillId="0" borderId="79" xfId="2" applyNumberFormat="1" applyFont="1" applyFill="1" applyBorder="1" applyAlignment="1">
      <alignment vertical="top" wrapText="1"/>
    </xf>
    <xf numFmtId="165" fontId="8" fillId="0" borderId="63" xfId="1" applyNumberFormat="1" applyFont="1" applyFill="1" applyBorder="1" applyAlignment="1">
      <alignment horizontal="center" vertical="center"/>
    </xf>
    <xf numFmtId="165" fontId="8" fillId="0" borderId="63" xfId="1" applyNumberFormat="1" applyFont="1" applyFill="1" applyBorder="1" applyAlignment="1">
      <alignment horizontal="right" vertical="center" wrapText="1"/>
    </xf>
    <xf numFmtId="0" fontId="10" fillId="0" borderId="62" xfId="0" applyFont="1" applyFill="1" applyBorder="1" applyAlignment="1">
      <alignment horizontal="center" vertical="center"/>
    </xf>
    <xf numFmtId="0" fontId="10" fillId="0" borderId="63" xfId="0" applyFont="1" applyFill="1" applyBorder="1" applyAlignment="1">
      <alignment horizontal="center" vertical="center"/>
    </xf>
    <xf numFmtId="0" fontId="10" fillId="0" borderId="62" xfId="0" applyFont="1" applyFill="1" applyBorder="1" applyAlignment="1">
      <alignment vertical="center"/>
    </xf>
    <xf numFmtId="0" fontId="10" fillId="0" borderId="63" xfId="0" applyFont="1" applyFill="1" applyBorder="1" applyAlignment="1">
      <alignment vertical="center"/>
    </xf>
    <xf numFmtId="0" fontId="8" fillId="0" borderId="62" xfId="0" applyFont="1" applyFill="1" applyBorder="1" applyAlignment="1">
      <alignment horizontal="center" vertical="center"/>
    </xf>
    <xf numFmtId="0" fontId="8" fillId="0" borderId="63" xfId="0" applyFont="1" applyFill="1" applyBorder="1" applyAlignment="1">
      <alignment vertical="center"/>
    </xf>
    <xf numFmtId="0" fontId="8" fillId="0" borderId="61" xfId="0" applyFont="1" applyFill="1" applyBorder="1" applyAlignment="1">
      <alignment vertical="center" wrapText="1"/>
    </xf>
    <xf numFmtId="0" fontId="8" fillId="0" borderId="0" xfId="0" applyFont="1" applyFill="1"/>
    <xf numFmtId="164" fontId="8" fillId="0" borderId="0" xfId="0" applyNumberFormat="1" applyFont="1" applyFill="1" applyAlignment="1">
      <alignment horizontal="right"/>
    </xf>
    <xf numFmtId="0" fontId="8" fillId="0" borderId="0" xfId="0" applyFont="1" applyFill="1" applyAlignment="1">
      <alignment horizontal="center"/>
    </xf>
    <xf numFmtId="0" fontId="8" fillId="0" borderId="0" xfId="0" applyFont="1" applyFill="1" applyAlignment="1">
      <alignment horizontal="right"/>
    </xf>
    <xf numFmtId="0" fontId="8" fillId="0" borderId="62" xfId="0" applyFont="1" applyFill="1" applyBorder="1" applyAlignment="1">
      <alignment vertical="center" wrapText="1"/>
    </xf>
    <xf numFmtId="0" fontId="8" fillId="0" borderId="63" xfId="0" applyFont="1" applyFill="1" applyBorder="1" applyAlignment="1">
      <alignment horizontal="center" vertical="center" wrapText="1"/>
    </xf>
    <xf numFmtId="0" fontId="8" fillId="0" borderId="0" xfId="0" applyFont="1" applyFill="1" applyAlignment="1">
      <alignment wrapText="1"/>
    </xf>
    <xf numFmtId="0" fontId="8" fillId="0" borderId="63" xfId="0" applyFont="1" applyFill="1" applyBorder="1" applyAlignment="1">
      <alignment horizontal="center" vertical="center"/>
    </xf>
    <xf numFmtId="0" fontId="8" fillId="0" borderId="62" xfId="0" applyFont="1" applyFill="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center"/>
    </xf>
    <xf numFmtId="0" fontId="8" fillId="0" borderId="61" xfId="0" applyFont="1" applyFill="1" applyBorder="1" applyAlignment="1">
      <alignment horizontal="center" vertical="center" wrapText="1"/>
    </xf>
    <xf numFmtId="3" fontId="8" fillId="0" borderId="63" xfId="0" applyNumberFormat="1" applyFont="1" applyFill="1" applyBorder="1" applyAlignment="1">
      <alignment vertical="center" wrapText="1"/>
    </xf>
    <xf numFmtId="0" fontId="8" fillId="0" borderId="0" xfId="0" applyFont="1" applyFill="1" applyAlignment="1">
      <alignment horizontal="center" vertical="center" wrapText="1"/>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vertical="center"/>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0" fillId="0" borderId="94" xfId="0" applyFont="1" applyFill="1" applyBorder="1" applyAlignment="1">
      <alignment horizontal="center" wrapText="1"/>
    </xf>
    <xf numFmtId="0" fontId="10" fillId="0" borderId="65" xfId="0" applyFont="1" applyFill="1" applyBorder="1" applyAlignment="1">
      <alignment horizontal="center" wrapText="1"/>
    </xf>
    <xf numFmtId="0" fontId="10" fillId="0" borderId="65" xfId="0" applyFont="1" applyFill="1" applyBorder="1" applyAlignment="1">
      <alignment horizontal="center"/>
    </xf>
    <xf numFmtId="0" fontId="10" fillId="0" borderId="94" xfId="0" applyFont="1" applyFill="1" applyBorder="1" applyAlignment="1">
      <alignment horizontal="center"/>
    </xf>
    <xf numFmtId="0" fontId="8" fillId="0" borderId="94" xfId="0" applyFont="1" applyFill="1" applyBorder="1" applyAlignment="1">
      <alignment horizontal="center" vertical="center" wrapText="1"/>
    </xf>
    <xf numFmtId="3" fontId="8" fillId="0" borderId="94" xfId="0" applyNumberFormat="1" applyFont="1" applyFill="1" applyBorder="1" applyAlignment="1">
      <alignment vertical="center" wrapText="1"/>
    </xf>
    <xf numFmtId="8" fontId="8" fillId="0" borderId="94" xfId="0" applyNumberFormat="1" applyFont="1" applyFill="1" applyBorder="1" applyAlignment="1">
      <alignment horizontal="right" vertical="center"/>
    </xf>
    <xf numFmtId="8" fontId="8" fillId="0" borderId="94" xfId="0" applyNumberFormat="1" applyFont="1" applyFill="1" applyBorder="1" applyAlignment="1">
      <alignment vertical="center" wrapText="1"/>
    </xf>
    <xf numFmtId="7" fontId="8" fillId="0" borderId="94" xfId="0" applyNumberFormat="1" applyFont="1" applyFill="1" applyBorder="1" applyAlignment="1">
      <alignment horizontal="right" vertical="center"/>
    </xf>
    <xf numFmtId="0" fontId="8" fillId="0" borderId="94" xfId="0" applyFont="1" applyFill="1" applyBorder="1" applyAlignment="1">
      <alignment horizontal="center"/>
    </xf>
    <xf numFmtId="0" fontId="8" fillId="0" borderId="94" xfId="0" applyFont="1" applyFill="1" applyBorder="1"/>
    <xf numFmtId="0" fontId="8" fillId="0" borderId="94" xfId="0" applyFont="1" applyFill="1" applyBorder="1" applyAlignment="1">
      <alignment horizontal="center" vertical="center"/>
    </xf>
    <xf numFmtId="164" fontId="8" fillId="0" borderId="94" xfId="0" applyNumberFormat="1" applyFont="1" applyFill="1" applyBorder="1" applyAlignment="1">
      <alignment horizontal="right" vertical="center"/>
    </xf>
    <xf numFmtId="0" fontId="8" fillId="0" borderId="65" xfId="0" applyFont="1" applyFill="1" applyBorder="1" applyAlignment="1">
      <alignment horizontal="center"/>
    </xf>
    <xf numFmtId="0" fontId="8" fillId="0" borderId="65" xfId="0" applyFont="1" applyFill="1" applyBorder="1" applyAlignment="1">
      <alignment horizontal="left"/>
    </xf>
    <xf numFmtId="0" fontId="8" fillId="0" borderId="65" xfId="0" applyFont="1" applyFill="1" applyBorder="1"/>
    <xf numFmtId="8" fontId="8" fillId="0" borderId="65" xfId="0" applyNumberFormat="1" applyFont="1" applyFill="1" applyBorder="1"/>
    <xf numFmtId="8" fontId="8" fillId="0" borderId="0" xfId="0" applyNumberFormat="1" applyFont="1" applyFill="1"/>
    <xf numFmtId="8" fontId="8" fillId="0" borderId="65" xfId="0" applyNumberFormat="1" applyFont="1" applyFill="1" applyBorder="1" applyAlignment="1">
      <alignment horizontal="center" vertical="center"/>
    </xf>
    <xf numFmtId="0" fontId="8" fillId="0" borderId="65" xfId="0" applyFont="1" applyFill="1" applyBorder="1" applyAlignment="1">
      <alignment horizontal="center" vertical="center"/>
    </xf>
    <xf numFmtId="0" fontId="8" fillId="0" borderId="12" xfId="0" applyFont="1" applyFill="1" applyBorder="1" applyAlignment="1">
      <alignment vertical="center" wrapText="1"/>
    </xf>
    <xf numFmtId="3" fontId="8" fillId="0" borderId="13" xfId="0" applyNumberFormat="1" applyFont="1" applyFill="1" applyBorder="1" applyAlignment="1">
      <alignment vertical="center" wrapText="1"/>
    </xf>
    <xf numFmtId="0" fontId="8" fillId="0" borderId="94" xfId="0" applyFont="1" applyFill="1" applyBorder="1" applyAlignment="1">
      <alignment vertical="center"/>
    </xf>
    <xf numFmtId="187" fontId="8" fillId="0" borderId="94" xfId="0" applyNumberFormat="1" applyFont="1" applyFill="1" applyBorder="1" applyAlignment="1">
      <alignment horizontal="right" vertical="center"/>
    </xf>
    <xf numFmtId="0" fontId="8" fillId="0" borderId="7" xfId="0" applyFont="1" applyFill="1" applyBorder="1"/>
    <xf numFmtId="0" fontId="8" fillId="0" borderId="7" xfId="0" applyFont="1" applyFill="1" applyBorder="1" applyAlignment="1">
      <alignment horizontal="center" vertical="center"/>
    </xf>
    <xf numFmtId="0" fontId="10" fillId="0" borderId="63" xfId="0" applyFont="1" applyFill="1" applyBorder="1" applyAlignment="1">
      <alignment horizontal="center"/>
    </xf>
    <xf numFmtId="8" fontId="8" fillId="0" borderId="94" xfId="0" applyNumberFormat="1" applyFont="1" applyFill="1" applyBorder="1" applyAlignment="1">
      <alignment horizontal="right" vertical="center" wrapText="1"/>
    </xf>
    <xf numFmtId="0" fontId="8" fillId="0" borderId="0" xfId="0" applyFont="1" applyFill="1" applyAlignment="1">
      <alignment horizontal="center" wrapText="1"/>
    </xf>
    <xf numFmtId="0" fontId="8" fillId="0" borderId="94" xfId="0" applyFont="1" applyFill="1" applyBorder="1" applyAlignment="1">
      <alignment horizontal="left" vertical="center" wrapText="1"/>
    </xf>
    <xf numFmtId="4" fontId="8" fillId="0" borderId="94" xfId="0" applyNumberFormat="1" applyFont="1" applyFill="1" applyBorder="1" applyAlignment="1">
      <alignment vertical="center" wrapText="1"/>
    </xf>
    <xf numFmtId="0" fontId="8" fillId="0" borderId="94" xfId="0" applyFont="1" applyFill="1" applyBorder="1" applyAlignment="1">
      <alignment vertical="top" wrapText="1"/>
    </xf>
    <xf numFmtId="7" fontId="8" fillId="0" borderId="94" xfId="2" applyNumberFormat="1" applyFont="1" applyFill="1" applyBorder="1" applyAlignment="1">
      <alignment vertical="center"/>
    </xf>
    <xf numFmtId="0" fontId="8" fillId="0" borderId="62" xfId="0" applyFont="1" applyFill="1" applyBorder="1" applyAlignment="1">
      <alignment vertical="top" wrapText="1"/>
    </xf>
    <xf numFmtId="0" fontId="8" fillId="0" borderId="14" xfId="0" applyFont="1" applyFill="1" applyBorder="1" applyAlignment="1">
      <alignment horizontal="center"/>
    </xf>
    <xf numFmtId="0" fontId="8" fillId="0" borderId="63" xfId="0" applyFont="1" applyFill="1" applyBorder="1"/>
    <xf numFmtId="0" fontId="8" fillId="0" borderId="94" xfId="0" applyFont="1" applyFill="1" applyBorder="1" applyAlignment="1">
      <alignment horizontal="center" vertical="center"/>
    </xf>
    <xf numFmtId="188" fontId="8" fillId="0" borderId="96" xfId="0" applyNumberFormat="1" applyFont="1" applyFill="1" applyBorder="1" applyAlignment="1">
      <alignment wrapText="1"/>
    </xf>
    <xf numFmtId="0" fontId="8" fillId="0" borderId="5" xfId="0" applyFont="1" applyFill="1" applyBorder="1" applyAlignment="1">
      <alignment horizontal="center"/>
    </xf>
    <xf numFmtId="188" fontId="8" fillId="0" borderId="6" xfId="0" applyNumberFormat="1" applyFont="1" applyFill="1" applyBorder="1" applyAlignment="1">
      <alignment wrapText="1"/>
    </xf>
    <xf numFmtId="0" fontId="8" fillId="0" borderId="7" xfId="0" applyFont="1" applyFill="1" applyBorder="1" applyAlignment="1">
      <alignment horizontal="center"/>
    </xf>
    <xf numFmtId="188" fontId="8" fillId="0" borderId="7" xfId="0" applyNumberFormat="1" applyFont="1" applyFill="1" applyBorder="1" applyAlignment="1">
      <alignment wrapText="1"/>
    </xf>
    <xf numFmtId="0" fontId="10" fillId="0" borderId="94" xfId="0" applyFont="1" applyFill="1" applyBorder="1"/>
    <xf numFmtId="7" fontId="10" fillId="0" borderId="94" xfId="2" applyNumberFormat="1" applyFont="1" applyFill="1" applyBorder="1"/>
    <xf numFmtId="188" fontId="8" fillId="0" borderId="94" xfId="0" applyNumberFormat="1" applyFont="1" applyFill="1" applyBorder="1" applyAlignment="1">
      <alignment wrapText="1"/>
    </xf>
    <xf numFmtId="167" fontId="8" fillId="0" borderId="94" xfId="0" applyNumberFormat="1" applyFont="1" applyFill="1" applyBorder="1"/>
    <xf numFmtId="0" fontId="68" fillId="0" borderId="62" xfId="0" applyFont="1" applyFill="1" applyBorder="1" applyAlignment="1">
      <alignment horizontal="center" vertical="center"/>
    </xf>
    <xf numFmtId="0" fontId="68" fillId="0" borderId="63" xfId="0" applyFont="1" applyFill="1" applyBorder="1" applyAlignment="1">
      <alignment horizontal="center" vertical="center"/>
    </xf>
    <xf numFmtId="0" fontId="12" fillId="0" borderId="62" xfId="0" applyFont="1" applyFill="1" applyBorder="1" applyAlignment="1">
      <alignment horizontal="center" vertical="center" wrapText="1"/>
    </xf>
    <xf numFmtId="3" fontId="12" fillId="0" borderId="63" xfId="0" applyNumberFormat="1" applyFont="1" applyFill="1" applyBorder="1" applyAlignment="1">
      <alignment horizontal="center" vertical="center" wrapText="1"/>
    </xf>
    <xf numFmtId="0" fontId="12" fillId="0" borderId="61" xfId="0" applyFont="1" applyFill="1" applyBorder="1" applyAlignment="1">
      <alignment horizontal="center" vertical="center"/>
    </xf>
    <xf numFmtId="0" fontId="12" fillId="0" borderId="63" xfId="0" applyFont="1" applyFill="1" applyBorder="1" applyAlignment="1">
      <alignment horizontal="center" vertical="center"/>
    </xf>
    <xf numFmtId="0" fontId="68" fillId="0" borderId="94" xfId="0" applyFont="1" applyFill="1" applyBorder="1"/>
    <xf numFmtId="0" fontId="68" fillId="0" borderId="94" xfId="0" applyFont="1" applyFill="1" applyBorder="1" applyAlignment="1">
      <alignment wrapText="1"/>
    </xf>
    <xf numFmtId="0" fontId="68" fillId="0" borderId="63" xfId="0" applyFont="1" applyFill="1" applyBorder="1" applyAlignment="1">
      <alignment wrapText="1"/>
    </xf>
    <xf numFmtId="0" fontId="68" fillId="0" borderId="81" xfId="0" applyFont="1" applyFill="1" applyBorder="1" applyAlignment="1">
      <alignment wrapText="1"/>
    </xf>
    <xf numFmtId="0" fontId="68" fillId="0" borderId="17" xfId="0" applyFont="1" applyFill="1" applyBorder="1" applyAlignment="1">
      <alignment wrapText="1"/>
    </xf>
    <xf numFmtId="0" fontId="68" fillId="0" borderId="61" xfId="0" applyFont="1" applyFill="1" applyBorder="1" applyAlignment="1">
      <alignment wrapText="1"/>
    </xf>
    <xf numFmtId="0" fontId="68" fillId="0" borderId="65" xfId="0" applyFont="1" applyFill="1" applyBorder="1"/>
    <xf numFmtId="0" fontId="68" fillId="0" borderId="63" xfId="0" applyFont="1" applyFill="1" applyBorder="1"/>
    <xf numFmtId="0" fontId="12" fillId="0" borderId="7" xfId="0" applyFont="1" applyFill="1" applyBorder="1" applyAlignment="1">
      <alignment wrapText="1"/>
    </xf>
    <xf numFmtId="3" fontId="12" fillId="0" borderId="7" xfId="0" applyNumberFormat="1" applyFont="1" applyFill="1" applyBorder="1" applyAlignment="1">
      <alignment wrapText="1"/>
    </xf>
    <xf numFmtId="0" fontId="12" fillId="0" borderId="13" xfId="0" applyFont="1" applyFill="1" applyBorder="1" applyAlignment="1">
      <alignment wrapText="1"/>
    </xf>
    <xf numFmtId="8" fontId="12" fillId="0" borderId="63" xfId="0" applyNumberFormat="1" applyFont="1" applyFill="1" applyBorder="1"/>
    <xf numFmtId="8" fontId="12" fillId="0" borderId="13" xfId="0" applyNumberFormat="1" applyFont="1" applyFill="1" applyBorder="1" applyAlignment="1">
      <alignment wrapText="1"/>
    </xf>
    <xf numFmtId="8" fontId="12" fillId="0" borderId="13" xfId="0" applyNumberFormat="1" applyFont="1" applyFill="1" applyBorder="1"/>
    <xf numFmtId="8" fontId="12" fillId="0" borderId="62" xfId="0" applyNumberFormat="1" applyFont="1" applyFill="1" applyBorder="1" applyAlignment="1">
      <alignment wrapText="1"/>
    </xf>
    <xf numFmtId="8" fontId="12" fillId="0" borderId="7" xfId="0" applyNumberFormat="1" applyFont="1" applyFill="1" applyBorder="1"/>
    <xf numFmtId="8" fontId="12" fillId="0" borderId="12" xfId="0" applyNumberFormat="1" applyFont="1" applyFill="1" applyBorder="1" applyAlignment="1">
      <alignment wrapText="1"/>
    </xf>
    <xf numFmtId="0" fontId="68" fillId="0" borderId="7" xfId="0" applyFont="1" applyFill="1" applyBorder="1" applyAlignment="1">
      <alignment wrapText="1"/>
    </xf>
    <xf numFmtId="0" fontId="68" fillId="0" borderId="13" xfId="0" applyFont="1" applyFill="1" applyBorder="1" applyAlignment="1">
      <alignment wrapText="1"/>
    </xf>
    <xf numFmtId="0" fontId="68" fillId="0" borderId="1" xfId="0" applyFont="1" applyFill="1" applyBorder="1"/>
    <xf numFmtId="0" fontId="68" fillId="0" borderId="13" xfId="0" applyFont="1" applyFill="1" applyBorder="1"/>
    <xf numFmtId="8" fontId="68" fillId="0" borderId="12" xfId="0" applyNumberFormat="1" applyFont="1" applyFill="1" applyBorder="1" applyAlignment="1">
      <alignment wrapText="1"/>
    </xf>
    <xf numFmtId="8" fontId="68" fillId="0" borderId="62" xfId="0" applyNumberFormat="1" applyFont="1" applyFill="1" applyBorder="1"/>
    <xf numFmtId="0" fontId="68" fillId="0" borderId="0" xfId="0" applyFont="1" applyFill="1"/>
    <xf numFmtId="0" fontId="68" fillId="0" borderId="17" xfId="0" applyFont="1" applyFill="1" applyBorder="1"/>
    <xf numFmtId="0" fontId="68" fillId="0" borderId="79" xfId="0" applyFont="1" applyFill="1" applyBorder="1" applyAlignment="1">
      <alignment wrapText="1"/>
    </xf>
    <xf numFmtId="8" fontId="68" fillId="0" borderId="79" xfId="0" applyNumberFormat="1" applyFont="1" applyFill="1" applyBorder="1"/>
    <xf numFmtId="0" fontId="68" fillId="0" borderId="12" xfId="0" applyFont="1" applyFill="1" applyBorder="1" applyAlignment="1">
      <alignment horizontal="center" vertical="center"/>
    </xf>
    <xf numFmtId="0" fontId="68" fillId="0" borderId="13" xfId="0" applyFont="1" applyFill="1" applyBorder="1" applyAlignment="1">
      <alignment horizontal="center" vertical="center"/>
    </xf>
    <xf numFmtId="0" fontId="12" fillId="0" borderId="12" xfId="0" applyFont="1" applyFill="1" applyBorder="1" applyAlignment="1">
      <alignment horizontal="center" vertical="center" wrapText="1"/>
    </xf>
    <xf numFmtId="3" fontId="12" fillId="0" borderId="13"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3" xfId="0" applyFont="1" applyFill="1" applyBorder="1" applyAlignment="1">
      <alignment horizontal="center" vertical="center"/>
    </xf>
    <xf numFmtId="8" fontId="12" fillId="0" borderId="62" xfId="0" applyNumberFormat="1" applyFont="1" applyFill="1" applyBorder="1"/>
    <xf numFmtId="0" fontId="12" fillId="0" borderId="94" xfId="0" applyFont="1" applyFill="1" applyBorder="1"/>
    <xf numFmtId="0" fontId="12" fillId="0" borderId="12" xfId="0" applyFont="1" applyFill="1" applyBorder="1" applyAlignment="1">
      <alignment horizontal="center" wrapText="1"/>
    </xf>
    <xf numFmtId="8" fontId="12" fillId="0" borderId="12" xfId="0" applyNumberFormat="1" applyFont="1" applyFill="1" applyBorder="1"/>
    <xf numFmtId="0" fontId="12" fillId="0" borderId="0" xfId="0" applyFont="1" applyFill="1"/>
    <xf numFmtId="0" fontId="12" fillId="0" borderId="62" xfId="0" applyFont="1" applyFill="1" applyBorder="1"/>
    <xf numFmtId="0" fontId="12" fillId="0" borderId="94" xfId="0" applyFont="1" applyFill="1" applyBorder="1" applyAlignment="1">
      <alignment horizontal="center"/>
    </xf>
    <xf numFmtId="0" fontId="12" fillId="0" borderId="13" xfId="0" applyFont="1" applyFill="1" applyBorder="1"/>
    <xf numFmtId="0" fontId="12" fillId="0" borderId="13" xfId="0" applyFont="1" applyFill="1" applyBorder="1" applyAlignment="1">
      <alignment horizontal="center" wrapText="1"/>
    </xf>
    <xf numFmtId="0" fontId="8" fillId="0" borderId="65" xfId="0" applyFont="1" applyFill="1" applyBorder="1" applyAlignment="1">
      <alignment horizontal="center" vertical="center" wrapText="1"/>
    </xf>
    <xf numFmtId="4" fontId="8" fillId="0" borderId="63" xfId="0" applyNumberFormat="1" applyFont="1" applyFill="1" applyBorder="1" applyAlignment="1">
      <alignment vertical="center" wrapText="1"/>
    </xf>
    <xf numFmtId="0" fontId="8" fillId="0" borderId="62" xfId="0" applyFont="1" applyFill="1" applyBorder="1"/>
    <xf numFmtId="8" fontId="8" fillId="0" borderId="94" xfId="0" applyNumberFormat="1" applyFont="1" applyFill="1" applyBorder="1" applyAlignment="1">
      <alignment vertical="center"/>
    </xf>
    <xf numFmtId="8" fontId="8" fillId="0" borderId="7" xfId="0" applyNumberFormat="1" applyFont="1" applyFill="1" applyBorder="1"/>
    <xf numFmtId="8" fontId="8" fillId="0" borderId="12" xfId="0" applyNumberFormat="1" applyFont="1" applyFill="1" applyBorder="1" applyAlignment="1">
      <alignment vertical="center" wrapText="1"/>
    </xf>
    <xf numFmtId="0" fontId="10" fillId="0" borderId="94" xfId="0" applyFont="1" applyFill="1" applyBorder="1" applyAlignment="1">
      <alignment horizontal="center" vertical="center"/>
    </xf>
    <xf numFmtId="0" fontId="8" fillId="0" borderId="89" xfId="0" applyFont="1" applyFill="1" applyBorder="1"/>
    <xf numFmtId="0" fontId="8" fillId="0" borderId="90" xfId="0" applyFont="1" applyFill="1" applyBorder="1"/>
    <xf numFmtId="0" fontId="8" fillId="0" borderId="74" xfId="0" applyFont="1" applyFill="1" applyBorder="1"/>
    <xf numFmtId="49" fontId="12" fillId="0" borderId="0" xfId="0" applyNumberFormat="1" applyFont="1" applyFill="1" applyAlignment="1">
      <alignment horizontal="center" vertical="center"/>
    </xf>
    <xf numFmtId="3" fontId="12" fillId="0" borderId="0" xfId="0" applyNumberFormat="1" applyFont="1" applyFill="1" applyAlignment="1">
      <alignment horizontal="right" vertical="center"/>
    </xf>
    <xf numFmtId="164" fontId="8" fillId="0" borderId="0" xfId="0" applyNumberFormat="1" applyFont="1" applyFill="1" applyAlignment="1">
      <alignment horizontal="left" vertical="center"/>
    </xf>
    <xf numFmtId="0" fontId="8" fillId="0" borderId="81" xfId="0" applyFont="1" applyFill="1" applyBorder="1"/>
    <xf numFmtId="0" fontId="10" fillId="0" borderId="81" xfId="0" applyFont="1" applyFill="1" applyBorder="1" applyAlignment="1">
      <alignment horizontal="center" vertical="center"/>
    </xf>
    <xf numFmtId="187" fontId="8" fillId="0" borderId="65" xfId="0" applyNumberFormat="1" applyFont="1" applyFill="1" applyBorder="1" applyAlignment="1">
      <alignment horizontal="right" vertical="center"/>
    </xf>
    <xf numFmtId="0" fontId="8" fillId="0" borderId="17" xfId="0" applyFont="1" applyFill="1" applyBorder="1" applyAlignment="1">
      <alignment vertical="center"/>
    </xf>
    <xf numFmtId="0" fontId="10" fillId="0" borderId="0" xfId="0" applyFont="1" applyFill="1" applyAlignment="1">
      <alignment horizontal="center" vertical="center"/>
    </xf>
    <xf numFmtId="0" fontId="10" fillId="0" borderId="0" xfId="0" applyFont="1" applyFill="1" applyAlignment="1">
      <alignment vertical="center" wrapText="1"/>
    </xf>
    <xf numFmtId="0" fontId="8" fillId="0" borderId="0" xfId="0" applyFont="1" applyFill="1" applyAlignment="1">
      <alignment horizontal="center" vertical="center"/>
    </xf>
    <xf numFmtId="0" fontId="10" fillId="0" borderId="0" xfId="0" applyFont="1" applyFill="1" applyAlignment="1">
      <alignment horizontal="center" vertical="center" wrapText="1"/>
    </xf>
    <xf numFmtId="0" fontId="8" fillId="0" borderId="68" xfId="0" applyFont="1" applyFill="1" applyBorder="1"/>
    <xf numFmtId="8" fontId="8" fillId="0" borderId="65" xfId="0" applyNumberFormat="1" applyFont="1" applyFill="1" applyBorder="1" applyAlignment="1">
      <alignment wrapText="1"/>
    </xf>
    <xf numFmtId="0" fontId="8" fillId="0" borderId="65" xfId="0" applyFont="1" applyFill="1" applyBorder="1" applyAlignment="1">
      <alignment horizontal="center" wrapText="1"/>
    </xf>
    <xf numFmtId="166" fontId="8" fillId="0" borderId="90" xfId="0" applyNumberFormat="1" applyFont="1" applyFill="1" applyBorder="1" applyAlignment="1">
      <alignment horizontal="center" wrapText="1"/>
    </xf>
    <xf numFmtId="8" fontId="76" fillId="0" borderId="94" xfId="0" applyNumberFormat="1" applyFont="1" applyFill="1" applyBorder="1"/>
    <xf numFmtId="0" fontId="8" fillId="0" borderId="85" xfId="0" applyFont="1" applyFill="1" applyBorder="1" applyAlignment="1">
      <alignment horizontal="center"/>
    </xf>
    <xf numFmtId="0" fontId="8" fillId="0" borderId="86" xfId="0" applyFont="1" applyFill="1" applyBorder="1" applyAlignment="1">
      <alignment horizontal="center"/>
    </xf>
    <xf numFmtId="0" fontId="8" fillId="0" borderId="87" xfId="0" applyFont="1" applyFill="1" applyBorder="1" applyAlignment="1">
      <alignment horizontal="center"/>
    </xf>
    <xf numFmtId="49" fontId="12" fillId="0" borderId="62" xfId="0" applyNumberFormat="1" applyFont="1" applyFill="1" applyBorder="1" applyAlignment="1">
      <alignment horizontal="left" vertical="center"/>
    </xf>
    <xf numFmtId="49" fontId="12" fillId="0" borderId="61" xfId="0" applyNumberFormat="1" applyFont="1" applyFill="1" applyBorder="1" applyAlignment="1">
      <alignment horizontal="left" vertical="center"/>
    </xf>
    <xf numFmtId="49" fontId="12" fillId="0" borderId="63" xfId="0" applyNumberFormat="1" applyFont="1" applyFill="1" applyBorder="1" applyAlignment="1">
      <alignment horizontal="left" vertical="center"/>
    </xf>
    <xf numFmtId="49" fontId="12" fillId="0" borderId="79" xfId="0" applyNumberFormat="1" applyFont="1" applyFill="1" applyBorder="1" applyAlignment="1">
      <alignment horizontal="left" vertical="center"/>
    </xf>
    <xf numFmtId="49" fontId="12" fillId="0" borderId="0" xfId="0" applyNumberFormat="1" applyFont="1" applyFill="1" applyBorder="1" applyAlignment="1">
      <alignment horizontal="left" vertical="center"/>
    </xf>
    <xf numFmtId="49" fontId="12" fillId="0" borderId="17" xfId="0" applyNumberFormat="1" applyFont="1" applyFill="1" applyBorder="1" applyAlignment="1">
      <alignment horizontal="left" vertical="center"/>
    </xf>
    <xf numFmtId="8" fontId="8" fillId="0" borderId="94" xfId="0" applyNumberFormat="1" applyFont="1" applyFill="1" applyBorder="1" applyAlignment="1">
      <alignment wrapText="1"/>
    </xf>
    <xf numFmtId="0" fontId="8" fillId="0" borderId="94" xfId="0" applyFont="1" applyFill="1" applyBorder="1" applyAlignment="1">
      <alignment horizontal="center" wrapText="1"/>
    </xf>
    <xf numFmtId="166" fontId="8" fillId="0" borderId="62" xfId="0" applyNumberFormat="1" applyFont="1" applyFill="1" applyBorder="1" applyAlignment="1">
      <alignment horizontal="center" wrapText="1"/>
    </xf>
    <xf numFmtId="164" fontId="8" fillId="0" borderId="94" xfId="0" applyNumberFormat="1" applyFont="1" applyFill="1" applyBorder="1" applyAlignment="1">
      <alignment horizontal="right" wrapText="1"/>
    </xf>
    <xf numFmtId="0" fontId="74" fillId="0" borderId="94" xfId="0" applyFont="1" applyFill="1" applyBorder="1" applyAlignment="1">
      <alignment horizontal="center" vertical="center"/>
    </xf>
    <xf numFmtId="0" fontId="74" fillId="0" borderId="65" xfId="0" applyFont="1" applyFill="1" applyBorder="1" applyAlignment="1">
      <alignment horizontal="center" vertical="center" wrapText="1"/>
    </xf>
    <xf numFmtId="0" fontId="74" fillId="0" borderId="63" xfId="0" applyFont="1" applyFill="1" applyBorder="1" applyAlignment="1">
      <alignment horizontal="center" vertical="center" wrapText="1"/>
    </xf>
    <xf numFmtId="0" fontId="74" fillId="0" borderId="81" xfId="0" applyFont="1" applyFill="1" applyBorder="1" applyAlignment="1">
      <alignment horizontal="center" vertical="center" wrapText="1"/>
    </xf>
    <xf numFmtId="0" fontId="74" fillId="0" borderId="17" xfId="0" applyFont="1" applyFill="1" applyBorder="1" applyAlignment="1">
      <alignment horizontal="center" vertical="center" wrapText="1"/>
    </xf>
    <xf numFmtId="0" fontId="74" fillId="0" borderId="88" xfId="0" applyFont="1" applyFill="1" applyBorder="1" applyAlignment="1">
      <alignment horizontal="center" vertical="center" wrapText="1"/>
    </xf>
    <xf numFmtId="0" fontId="74" fillId="0" borderId="65" xfId="0" applyFont="1" applyFill="1" applyBorder="1" applyAlignment="1">
      <alignment horizontal="center" vertical="center"/>
    </xf>
    <xf numFmtId="0" fontId="74" fillId="0" borderId="63" xfId="0" applyFont="1" applyFill="1" applyBorder="1"/>
    <xf numFmtId="0" fontId="75" fillId="0" borderId="12" xfId="0" applyFont="1" applyFill="1" applyBorder="1" applyAlignment="1">
      <alignment wrapText="1"/>
    </xf>
    <xf numFmtId="0" fontId="75" fillId="0" borderId="67" xfId="0" applyFont="1" applyFill="1" applyBorder="1"/>
    <xf numFmtId="0" fontId="75" fillId="0" borderId="67" xfId="0" applyFont="1" applyFill="1" applyBorder="1" applyAlignment="1">
      <alignment wrapText="1"/>
    </xf>
    <xf numFmtId="0" fontId="75" fillId="0" borderId="69" xfId="0" applyFont="1" applyFill="1" applyBorder="1" applyAlignment="1">
      <alignment wrapText="1"/>
    </xf>
    <xf numFmtId="4" fontId="75" fillId="0" borderId="67" xfId="0" applyNumberFormat="1" applyFont="1" applyFill="1" applyBorder="1"/>
    <xf numFmtId="0" fontId="75" fillId="0" borderId="1" xfId="0" applyFont="1" applyFill="1" applyBorder="1" applyAlignment="1">
      <alignment wrapText="1"/>
    </xf>
    <xf numFmtId="8" fontId="75" fillId="0" borderId="67" xfId="0" applyNumberFormat="1" applyFont="1" applyFill="1" applyBorder="1"/>
    <xf numFmtId="8" fontId="75" fillId="0" borderId="67" xfId="0" applyNumberFormat="1" applyFont="1" applyFill="1" applyBorder="1" applyAlignment="1">
      <alignment wrapText="1"/>
    </xf>
    <xf numFmtId="0" fontId="75" fillId="0" borderId="13" xfId="0" applyFont="1" applyFill="1" applyBorder="1" applyAlignment="1">
      <alignment wrapText="1"/>
    </xf>
    <xf numFmtId="4" fontId="75" fillId="0" borderId="68" xfId="0" applyNumberFormat="1" applyFont="1" applyFill="1" applyBorder="1"/>
    <xf numFmtId="0" fontId="74" fillId="0" borderId="7" xfId="0" applyFont="1" applyFill="1" applyBorder="1" applyAlignment="1">
      <alignment wrapText="1"/>
    </xf>
    <xf numFmtId="0" fontId="74" fillId="0" borderId="13" xfId="0" applyFont="1" applyFill="1" applyBorder="1" applyAlignment="1">
      <alignment wrapText="1"/>
    </xf>
    <xf numFmtId="0" fontId="74" fillId="0" borderId="1" xfId="0" applyFont="1" applyFill="1" applyBorder="1"/>
    <xf numFmtId="0" fontId="74" fillId="0" borderId="13" xfId="0" applyFont="1" applyFill="1" applyBorder="1"/>
    <xf numFmtId="8" fontId="74" fillId="0" borderId="12" xfId="0" applyNumberFormat="1" applyFont="1" applyFill="1" applyBorder="1" applyAlignment="1">
      <alignment wrapText="1"/>
    </xf>
    <xf numFmtId="8" fontId="74" fillId="0" borderId="12" xfId="0" applyNumberFormat="1" applyFont="1" applyFill="1" applyBorder="1"/>
    <xf numFmtId="0" fontId="74" fillId="0" borderId="94" xfId="0" applyFont="1" applyFill="1" applyBorder="1"/>
    <xf numFmtId="0" fontId="74" fillId="0" borderId="81" xfId="0" applyFont="1" applyFill="1" applyBorder="1" applyAlignment="1">
      <alignment wrapText="1"/>
    </xf>
    <xf numFmtId="0" fontId="74" fillId="0" borderId="17" xfId="0" applyFont="1" applyFill="1" applyBorder="1" applyAlignment="1">
      <alignment wrapText="1"/>
    </xf>
    <xf numFmtId="0" fontId="74" fillId="0" borderId="0" xfId="0" applyFont="1" applyFill="1" applyBorder="1"/>
    <xf numFmtId="0" fontId="74" fillId="0" borderId="17" xfId="0" applyFont="1" applyFill="1" applyBorder="1"/>
    <xf numFmtId="0" fontId="74" fillId="0" borderId="79" xfId="0" applyFont="1" applyFill="1" applyBorder="1" applyAlignment="1">
      <alignment wrapText="1"/>
    </xf>
    <xf numFmtId="8" fontId="74" fillId="0" borderId="79" xfId="0" applyNumberFormat="1" applyFont="1" applyFill="1" applyBorder="1"/>
    <xf numFmtId="164" fontId="8" fillId="0" borderId="65" xfId="0" applyNumberFormat="1" applyFont="1" applyFill="1" applyBorder="1" applyAlignment="1">
      <alignment horizontal="right" wrapText="1"/>
    </xf>
    <xf numFmtId="166" fontId="8" fillId="0" borderId="94" xfId="0" applyNumberFormat="1" applyFont="1" applyFill="1" applyBorder="1"/>
    <xf numFmtId="0" fontId="74" fillId="0" borderId="89" xfId="0" applyFont="1" applyFill="1" applyBorder="1" applyAlignment="1">
      <alignment horizontal="center" vertical="center" wrapText="1"/>
    </xf>
    <xf numFmtId="0" fontId="74" fillId="0" borderId="89" xfId="0" applyFont="1" applyFill="1" applyBorder="1"/>
    <xf numFmtId="0" fontId="75" fillId="0" borderId="67" xfId="0" applyFont="1" applyFill="1" applyBorder="1" applyAlignment="1">
      <alignment horizontal="center" vertical="center"/>
    </xf>
    <xf numFmtId="2" fontId="75" fillId="0" borderId="67" xfId="0" applyNumberFormat="1" applyFont="1" applyFill="1" applyBorder="1" applyAlignment="1">
      <alignment horizontal="right" vertical="center" wrapText="1"/>
    </xf>
    <xf numFmtId="8" fontId="75" fillId="0" borderId="67" xfId="0" applyNumberFormat="1" applyFont="1" applyFill="1" applyBorder="1" applyAlignment="1">
      <alignment horizontal="center" vertical="center" wrapText="1"/>
    </xf>
    <xf numFmtId="8" fontId="75" fillId="0" borderId="67" xfId="0" applyNumberFormat="1" applyFont="1" applyFill="1" applyBorder="1" applyAlignment="1">
      <alignment horizontal="center" vertical="center"/>
    </xf>
    <xf numFmtId="0" fontId="74" fillId="0" borderId="67" xfId="0" applyFont="1" applyFill="1" applyBorder="1" applyAlignment="1">
      <alignment horizontal="center" vertical="center"/>
    </xf>
    <xf numFmtId="0" fontId="74" fillId="0" borderId="67" xfId="0" applyFont="1" applyFill="1" applyBorder="1" applyAlignment="1">
      <alignment horizontal="center" vertical="center" wrapText="1"/>
    </xf>
    <xf numFmtId="8" fontId="74" fillId="0" borderId="67" xfId="0" applyNumberFormat="1" applyFont="1" applyFill="1" applyBorder="1" applyAlignment="1">
      <alignment horizontal="center" vertical="center" wrapText="1"/>
    </xf>
    <xf numFmtId="8" fontId="74" fillId="0" borderId="67" xfId="0" applyNumberFormat="1" applyFont="1" applyFill="1" applyBorder="1" applyAlignment="1">
      <alignment horizontal="center" vertical="center"/>
    </xf>
    <xf numFmtId="0" fontId="8" fillId="0" borderId="7" xfId="0" applyFont="1" applyFill="1" applyBorder="1" applyAlignment="1">
      <alignment horizontal="center" vertical="center" wrapText="1"/>
    </xf>
    <xf numFmtId="8" fontId="8" fillId="0" borderId="7" xfId="0" applyNumberFormat="1" applyFont="1" applyFill="1" applyBorder="1" applyAlignment="1">
      <alignment wrapText="1"/>
    </xf>
    <xf numFmtId="0" fontId="8" fillId="0" borderId="7" xfId="0" applyFont="1" applyFill="1" applyBorder="1" applyAlignment="1">
      <alignment horizontal="center" wrapText="1"/>
    </xf>
    <xf numFmtId="166" fontId="10" fillId="0" borderId="12" xfId="0" applyNumberFormat="1" applyFont="1" applyFill="1" applyBorder="1" applyAlignment="1">
      <alignment horizontal="center" wrapText="1"/>
    </xf>
    <xf numFmtId="164" fontId="8" fillId="0" borderId="7" xfId="0" applyNumberFormat="1" applyFont="1" applyFill="1" applyBorder="1" applyAlignment="1">
      <alignment horizontal="right" wrapText="1"/>
    </xf>
    <xf numFmtId="0" fontId="10" fillId="0" borderId="7" xfId="0" applyFont="1" applyFill="1" applyBorder="1" applyAlignment="1">
      <alignment horizontal="center" vertical="center"/>
    </xf>
    <xf numFmtId="164" fontId="8" fillId="0" borderId="0" xfId="0" applyNumberFormat="1" applyFont="1" applyFill="1" applyAlignment="1">
      <alignment horizontal="right" vertical="center"/>
    </xf>
    <xf numFmtId="8" fontId="8" fillId="0" borderId="7" xfId="0" applyNumberFormat="1" applyFont="1" applyFill="1" applyBorder="1" applyAlignment="1">
      <alignment horizontal="right" vertical="center"/>
    </xf>
    <xf numFmtId="0" fontId="8" fillId="0" borderId="62" xfId="0" applyFont="1" applyFill="1" applyBorder="1" applyAlignment="1">
      <alignment horizontal="right" vertical="center"/>
    </xf>
    <xf numFmtId="187" fontId="8" fillId="0" borderId="94" xfId="0" applyNumberFormat="1" applyFont="1" applyFill="1" applyBorder="1" applyAlignment="1">
      <alignment vertical="center"/>
    </xf>
    <xf numFmtId="0" fontId="75" fillId="0" borderId="67" xfId="0" applyFont="1" applyFill="1" applyBorder="1" applyAlignment="1">
      <alignment horizontal="center" vertical="center" wrapText="1"/>
    </xf>
    <xf numFmtId="44" fontId="8" fillId="0" borderId="0" xfId="0" applyNumberFormat="1" applyFont="1" applyFill="1" applyAlignment="1">
      <alignment vertical="center"/>
    </xf>
    <xf numFmtId="44" fontId="8" fillId="0" borderId="0" xfId="0" applyNumberFormat="1" applyFont="1" applyFill="1"/>
    <xf numFmtId="8" fontId="12" fillId="0" borderId="67" xfId="0" applyNumberFormat="1" applyFont="1" applyFill="1" applyBorder="1" applyAlignment="1">
      <alignment horizontal="center" vertical="center" wrapText="1"/>
    </xf>
    <xf numFmtId="0" fontId="10" fillId="0" borderId="90" xfId="0" applyFont="1" applyFill="1" applyBorder="1" applyAlignment="1">
      <alignment horizontal="center" wrapText="1"/>
    </xf>
    <xf numFmtId="165" fontId="8" fillId="0" borderId="94" xfId="0" applyNumberFormat="1" applyFont="1" applyFill="1" applyBorder="1" applyAlignment="1">
      <alignment vertical="center"/>
    </xf>
    <xf numFmtId="169" fontId="8" fillId="0" borderId="94" xfId="0" applyNumberFormat="1" applyFont="1" applyFill="1" applyBorder="1" applyAlignment="1">
      <alignment horizontal="center" vertical="center"/>
    </xf>
    <xf numFmtId="169" fontId="8" fillId="0" borderId="7" xfId="0" applyNumberFormat="1" applyFont="1" applyFill="1" applyBorder="1" applyAlignment="1">
      <alignment vertical="center"/>
    </xf>
    <xf numFmtId="165" fontId="8" fillId="0" borderId="62" xfId="0" applyNumberFormat="1" applyFont="1" applyFill="1" applyBorder="1" applyAlignment="1">
      <alignment horizontal="center"/>
    </xf>
    <xf numFmtId="165" fontId="8" fillId="0" borderId="61" xfId="0" applyNumberFormat="1" applyFont="1" applyFill="1" applyBorder="1" applyAlignment="1">
      <alignment horizontal="center"/>
    </xf>
    <xf numFmtId="165" fontId="8" fillId="0" borderId="63" xfId="0" applyNumberFormat="1" applyFont="1" applyFill="1" applyBorder="1" applyAlignment="1">
      <alignment horizontal="center"/>
    </xf>
    <xf numFmtId="0" fontId="10" fillId="0" borderId="94" xfId="0" applyFont="1" applyFill="1" applyBorder="1" applyAlignment="1">
      <alignment horizontal="right"/>
    </xf>
    <xf numFmtId="0" fontId="8" fillId="0" borderId="0" xfId="0" applyFont="1" applyFill="1" applyAlignment="1">
      <alignment vertical="top" wrapText="1"/>
    </xf>
    <xf numFmtId="44" fontId="8" fillId="0" borderId="62" xfId="2" applyFont="1" applyFill="1" applyBorder="1" applyAlignment="1">
      <alignment horizontal="center" vertical="center"/>
    </xf>
    <xf numFmtId="0" fontId="8" fillId="0" borderId="62" xfId="0" applyFont="1" applyFill="1" applyBorder="1" applyAlignment="1">
      <alignment horizontal="left" vertical="center"/>
    </xf>
    <xf numFmtId="0" fontId="8" fillId="0" borderId="61" xfId="0" applyFont="1" applyFill="1" applyBorder="1" applyAlignment="1">
      <alignment horizontal="left" vertical="center"/>
    </xf>
    <xf numFmtId="0" fontId="8" fillId="0" borderId="63" xfId="0" applyFont="1" applyFill="1" applyBorder="1" applyAlignment="1">
      <alignment horizontal="left" vertical="center"/>
    </xf>
    <xf numFmtId="2" fontId="8" fillId="0" borderId="62" xfId="0" applyNumberFormat="1" applyFont="1" applyFill="1" applyBorder="1" applyAlignment="1">
      <alignment horizontal="center" vertical="center" wrapText="1"/>
    </xf>
    <xf numFmtId="2" fontId="8" fillId="0" borderId="63" xfId="0" applyNumberFormat="1" applyFont="1" applyFill="1" applyBorder="1" applyAlignment="1">
      <alignment horizontal="center" vertical="center" wrapText="1"/>
    </xf>
    <xf numFmtId="0" fontId="8" fillId="0" borderId="62" xfId="0" applyFont="1" applyFill="1" applyBorder="1" applyAlignment="1">
      <alignment horizontal="left"/>
    </xf>
    <xf numFmtId="0" fontId="8" fillId="0" borderId="61" xfId="0" applyFont="1" applyFill="1" applyBorder="1" applyAlignment="1">
      <alignment horizontal="left"/>
    </xf>
    <xf numFmtId="0" fontId="8" fillId="0" borderId="63" xfId="0" applyFont="1" applyFill="1" applyBorder="1" applyAlignment="1">
      <alignment horizontal="left"/>
    </xf>
    <xf numFmtId="165" fontId="8" fillId="0" borderId="62" xfId="0" applyNumberFormat="1" applyFont="1" applyFill="1" applyBorder="1" applyAlignment="1">
      <alignment wrapText="1"/>
    </xf>
    <xf numFmtId="165" fontId="8" fillId="0" borderId="61" xfId="0" applyNumberFormat="1" applyFont="1" applyFill="1" applyBorder="1" applyAlignment="1">
      <alignment wrapText="1"/>
    </xf>
    <xf numFmtId="165" fontId="8" fillId="0" borderId="63" xfId="0" applyNumberFormat="1" applyFont="1" applyFill="1" applyBorder="1" applyAlignment="1">
      <alignment wrapText="1"/>
    </xf>
    <xf numFmtId="0" fontId="8" fillId="0" borderId="94" xfId="0" applyFont="1" applyFill="1" applyBorder="1" applyAlignment="1">
      <alignment wrapText="1"/>
    </xf>
    <xf numFmtId="0" fontId="8" fillId="0" borderId="94" xfId="0" applyFont="1" applyFill="1" applyBorder="1" applyAlignment="1">
      <alignment horizontal="right" wrapText="1"/>
    </xf>
    <xf numFmtId="0" fontId="8" fillId="0" borderId="90" xfId="0" applyFont="1" applyFill="1" applyBorder="1" applyAlignment="1">
      <alignment horizontal="center"/>
    </xf>
    <xf numFmtId="0" fontId="8" fillId="0" borderId="88" xfId="0" applyFont="1" applyFill="1" applyBorder="1" applyAlignment="1">
      <alignment horizontal="left" wrapText="1"/>
    </xf>
    <xf numFmtId="165" fontId="8" fillId="0" borderId="88" xfId="0" applyNumberFormat="1" applyFont="1" applyFill="1" applyBorder="1"/>
    <xf numFmtId="165" fontId="10" fillId="0" borderId="88" xfId="0" applyNumberFormat="1" applyFont="1" applyFill="1" applyBorder="1"/>
    <xf numFmtId="0" fontId="8" fillId="0" borderId="88" xfId="0" applyFont="1" applyFill="1" applyBorder="1"/>
    <xf numFmtId="0" fontId="8" fillId="0" borderId="89" xfId="0" applyFont="1" applyFill="1" applyBorder="1" applyAlignment="1">
      <alignment horizontal="center"/>
    </xf>
    <xf numFmtId="164" fontId="8" fillId="0" borderId="0" xfId="0" applyNumberFormat="1" applyFont="1" applyFill="1" applyAlignment="1">
      <alignment wrapText="1"/>
    </xf>
    <xf numFmtId="0" fontId="8" fillId="0" borderId="61" xfId="0" applyFont="1" applyFill="1" applyBorder="1" applyAlignment="1">
      <alignment vertical="center"/>
    </xf>
    <xf numFmtId="0" fontId="10" fillId="0" borderId="7" xfId="0" applyFont="1" applyFill="1" applyBorder="1" applyAlignment="1">
      <alignment horizontal="center"/>
    </xf>
    <xf numFmtId="0" fontId="8" fillId="0" borderId="94" xfId="0" applyFont="1" applyFill="1" applyBorder="1" applyAlignment="1">
      <alignment horizontal="left"/>
    </xf>
    <xf numFmtId="0" fontId="8" fillId="0" borderId="94" xfId="0" applyFont="1" applyFill="1" applyBorder="1" applyAlignment="1">
      <alignment horizontal="right"/>
    </xf>
    <xf numFmtId="165" fontId="10" fillId="0" borderId="94" xfId="0" applyNumberFormat="1" applyFont="1" applyFill="1" applyBorder="1"/>
    <xf numFmtId="0" fontId="10" fillId="0" borderId="62" xfId="0" applyFont="1" applyFill="1" applyBorder="1" applyAlignment="1">
      <alignment horizontal="center"/>
    </xf>
    <xf numFmtId="0" fontId="8" fillId="0" borderId="94" xfId="0" applyFont="1" applyFill="1" applyBorder="1" applyAlignment="1">
      <alignment horizontal="left" vertical="center"/>
    </xf>
    <xf numFmtId="44" fontId="8" fillId="0" borderId="94" xfId="0" applyNumberFormat="1" applyFont="1" applyFill="1" applyBorder="1" applyAlignment="1">
      <alignment horizontal="left" vertical="center"/>
    </xf>
    <xf numFmtId="3" fontId="8" fillId="0" borderId="94" xfId="0" applyNumberFormat="1" applyFont="1" applyFill="1" applyBorder="1" applyAlignment="1">
      <alignment horizontal="left" vertical="center"/>
    </xf>
    <xf numFmtId="166" fontId="8" fillId="0" borderId="94" xfId="0" applyNumberFormat="1" applyFont="1" applyFill="1" applyBorder="1" applyAlignment="1">
      <alignment horizontal="left" vertical="center"/>
    </xf>
    <xf numFmtId="2" fontId="8" fillId="0" borderId="94" xfId="0" applyNumberFormat="1" applyFont="1" applyFill="1" applyBorder="1" applyAlignment="1">
      <alignment horizontal="left" vertical="center"/>
    </xf>
    <xf numFmtId="0" fontId="8" fillId="0" borderId="61" xfId="0" applyFont="1" applyFill="1" applyBorder="1"/>
    <xf numFmtId="44" fontId="8" fillId="0" borderId="94" xfId="0" applyNumberFormat="1" applyFont="1" applyFill="1" applyBorder="1"/>
    <xf numFmtId="0" fontId="8" fillId="0" borderId="63" xfId="0" applyFont="1" applyFill="1" applyBorder="1" applyAlignment="1">
      <alignment horizontal="left" wrapText="1"/>
    </xf>
    <xf numFmtId="0" fontId="14" fillId="0" borderId="62" xfId="0" applyFont="1" applyFill="1" applyBorder="1" applyAlignment="1">
      <alignment horizontal="left" wrapText="1"/>
    </xf>
    <xf numFmtId="0" fontId="8" fillId="0" borderId="61" xfId="0" applyFont="1" applyFill="1" applyBorder="1" applyAlignment="1">
      <alignment horizontal="left" wrapText="1"/>
    </xf>
    <xf numFmtId="0" fontId="8" fillId="0" borderId="88" xfId="0" applyFont="1" applyFill="1" applyBorder="1" applyAlignment="1">
      <alignment horizontal="center"/>
    </xf>
    <xf numFmtId="8" fontId="8" fillId="0" borderId="0" xfId="0" applyNumberFormat="1" applyFont="1" applyFill="1" applyAlignment="1">
      <alignment horizontal="center" vertical="center" wrapText="1"/>
    </xf>
    <xf numFmtId="0" fontId="10" fillId="0" borderId="90" xfId="0" applyFont="1" applyFill="1" applyBorder="1" applyAlignment="1">
      <alignment horizontal="center" vertical="center"/>
    </xf>
    <xf numFmtId="0" fontId="10" fillId="0" borderId="89" xfId="0" applyFont="1" applyFill="1" applyBorder="1" applyAlignment="1">
      <alignment horizontal="center" vertical="center"/>
    </xf>
    <xf numFmtId="0" fontId="8" fillId="0" borderId="90" xfId="0" applyFont="1" applyFill="1" applyBorder="1" applyAlignment="1">
      <alignment horizontal="center" vertical="center"/>
    </xf>
    <xf numFmtId="0" fontId="8" fillId="0" borderId="89" xfId="0" applyFont="1" applyFill="1" applyBorder="1" applyAlignment="1">
      <alignment vertical="center"/>
    </xf>
    <xf numFmtId="0" fontId="8" fillId="0" borderId="88" xfId="0" applyFont="1" applyFill="1" applyBorder="1" applyAlignment="1">
      <alignment horizontal="center" vertical="center" wrapText="1"/>
    </xf>
    <xf numFmtId="0" fontId="10" fillId="0" borderId="68" xfId="0" applyFont="1" applyFill="1" applyBorder="1" applyAlignment="1">
      <alignment vertical="center"/>
    </xf>
    <xf numFmtId="0" fontId="10" fillId="0" borderId="68" xfId="0" applyFont="1" applyFill="1" applyBorder="1" applyAlignment="1">
      <alignment horizontal="center" vertical="center" wrapText="1"/>
    </xf>
    <xf numFmtId="0" fontId="10" fillId="0" borderId="68" xfId="0" applyFont="1" applyFill="1" applyBorder="1" applyAlignment="1">
      <alignment horizontal="center" vertical="center"/>
    </xf>
    <xf numFmtId="0" fontId="10" fillId="0" borderId="67" xfId="0" applyFont="1" applyFill="1" applyBorder="1" applyAlignment="1">
      <alignment horizontal="center" vertical="center" wrapText="1"/>
    </xf>
    <xf numFmtId="0" fontId="8" fillId="0" borderId="67" xfId="0" applyFont="1" applyFill="1" applyBorder="1" applyAlignment="1">
      <alignment horizontal="center" vertical="center"/>
    </xf>
    <xf numFmtId="0" fontId="8" fillId="0" borderId="69" xfId="0" applyFont="1" applyFill="1" applyBorder="1" applyAlignment="1">
      <alignment vertical="center"/>
    </xf>
    <xf numFmtId="8" fontId="8" fillId="0" borderId="67" xfId="0" applyNumberFormat="1" applyFont="1" applyFill="1" applyBorder="1" applyAlignment="1">
      <alignment horizontal="center" vertical="center" wrapText="1"/>
    </xf>
    <xf numFmtId="8" fontId="8" fillId="0" borderId="68" xfId="0" applyNumberFormat="1" applyFont="1" applyFill="1" applyBorder="1" applyAlignment="1">
      <alignment horizontal="center" vertical="center" wrapText="1"/>
    </xf>
    <xf numFmtId="8" fontId="8" fillId="0" borderId="68" xfId="0" applyNumberFormat="1" applyFont="1" applyFill="1" applyBorder="1" applyAlignment="1">
      <alignment horizontal="center" vertical="center"/>
    </xf>
    <xf numFmtId="0" fontId="8" fillId="0" borderId="17" xfId="0" applyFont="1" applyFill="1" applyBorder="1" applyAlignment="1">
      <alignment horizontal="center" vertical="center" wrapText="1"/>
    </xf>
    <xf numFmtId="0" fontId="8" fillId="0" borderId="68" xfId="0" applyFont="1" applyFill="1" applyBorder="1" applyAlignment="1">
      <alignment horizontal="center" vertical="center"/>
    </xf>
    <xf numFmtId="0" fontId="8" fillId="0" borderId="71" xfId="0" applyFont="1" applyFill="1" applyBorder="1" applyAlignment="1">
      <alignment vertical="center"/>
    </xf>
    <xf numFmtId="8" fontId="8" fillId="0" borderId="69" xfId="0" applyNumberFormat="1" applyFont="1" applyFill="1" applyBorder="1" applyAlignment="1">
      <alignment horizontal="center" vertical="center" wrapText="1"/>
    </xf>
    <xf numFmtId="8" fontId="8" fillId="0" borderId="94" xfId="0" applyNumberFormat="1" applyFont="1" applyFill="1" applyBorder="1" applyAlignment="1">
      <alignment horizontal="center" vertical="center" wrapText="1"/>
    </xf>
    <xf numFmtId="8" fontId="8" fillId="0" borderId="94" xfId="0" applyNumberFormat="1" applyFont="1" applyFill="1" applyBorder="1" applyAlignment="1">
      <alignment horizontal="center" vertical="center"/>
    </xf>
    <xf numFmtId="0" fontId="10" fillId="0" borderId="70" xfId="0" applyFont="1" applyFill="1" applyBorder="1" applyAlignment="1">
      <alignment horizontal="center" vertical="center"/>
    </xf>
    <xf numFmtId="0" fontId="10" fillId="0" borderId="67" xfId="0" applyFont="1" applyFill="1" applyBorder="1" applyAlignment="1">
      <alignment horizontal="center" vertical="center"/>
    </xf>
    <xf numFmtId="0" fontId="8" fillId="0" borderId="94" xfId="0" applyFont="1" applyFill="1" applyBorder="1" applyAlignment="1">
      <alignment horizontal="right" vertical="center"/>
    </xf>
    <xf numFmtId="0" fontId="10" fillId="0" borderId="72" xfId="0" applyFont="1" applyFill="1" applyBorder="1" applyAlignment="1">
      <alignment horizontal="center" vertical="center"/>
    </xf>
    <xf numFmtId="0" fontId="8" fillId="0" borderId="73" xfId="0" applyFont="1" applyFill="1" applyBorder="1" applyAlignment="1">
      <alignment vertical="center" wrapText="1"/>
    </xf>
    <xf numFmtId="0" fontId="8" fillId="0" borderId="65" xfId="0" applyFont="1" applyFill="1" applyBorder="1" applyAlignment="1">
      <alignment vertical="center" wrapText="1"/>
    </xf>
    <xf numFmtId="0" fontId="10" fillId="0" borderId="65" xfId="0" applyFont="1" applyFill="1" applyBorder="1" applyAlignment="1">
      <alignment horizontal="center" vertical="center" wrapText="1"/>
    </xf>
    <xf numFmtId="164" fontId="8" fillId="0" borderId="65" xfId="0" applyNumberFormat="1" applyFont="1" applyFill="1" applyBorder="1" applyAlignment="1">
      <alignment horizontal="center" vertical="center" wrapText="1"/>
    </xf>
    <xf numFmtId="0" fontId="10" fillId="0" borderId="89" xfId="0" applyFont="1" applyFill="1" applyBorder="1" applyAlignment="1">
      <alignment vertical="center"/>
    </xf>
    <xf numFmtId="0" fontId="8" fillId="0" borderId="67" xfId="0" applyFont="1" applyFill="1" applyBorder="1" applyAlignment="1">
      <alignment horizontal="center" vertical="center" wrapText="1"/>
    </xf>
    <xf numFmtId="0" fontId="8" fillId="0" borderId="67" xfId="0" applyFont="1" applyFill="1" applyBorder="1" applyAlignment="1">
      <alignment vertical="center"/>
    </xf>
    <xf numFmtId="8" fontId="8" fillId="0" borderId="67" xfId="0" applyNumberFormat="1" applyFont="1" applyFill="1" applyBorder="1" applyAlignment="1">
      <alignment horizontal="center" vertical="center"/>
    </xf>
    <xf numFmtId="0" fontId="8" fillId="0" borderId="68" xfId="0" applyFont="1" applyFill="1" applyBorder="1" applyAlignment="1">
      <alignment vertical="center"/>
    </xf>
    <xf numFmtId="8" fontId="8" fillId="0" borderId="72" xfId="0" applyNumberFormat="1" applyFont="1" applyFill="1" applyBorder="1" applyAlignment="1">
      <alignment horizontal="center" vertical="center" wrapText="1"/>
    </xf>
    <xf numFmtId="0" fontId="8" fillId="0" borderId="68" xfId="0" applyFont="1" applyFill="1" applyBorder="1" applyAlignment="1">
      <alignment horizontal="center" vertical="center" wrapText="1"/>
    </xf>
    <xf numFmtId="8" fontId="8" fillId="0" borderId="70" xfId="0" applyNumberFormat="1" applyFont="1" applyFill="1" applyBorder="1" applyAlignment="1">
      <alignment horizontal="center" vertical="center" wrapText="1"/>
    </xf>
    <xf numFmtId="164" fontId="8" fillId="0" borderId="65" xfId="0" applyNumberFormat="1" applyFont="1" applyFill="1" applyBorder="1" applyAlignment="1">
      <alignment horizontal="center"/>
    </xf>
    <xf numFmtId="0" fontId="73" fillId="0" borderId="65" xfId="0" applyFont="1" applyFill="1" applyBorder="1" applyAlignment="1">
      <alignment horizontal="center"/>
    </xf>
    <xf numFmtId="0" fontId="10" fillId="0" borderId="0" xfId="0" applyFont="1" applyFill="1" applyAlignment="1">
      <alignment wrapText="1"/>
    </xf>
    <xf numFmtId="0" fontId="10" fillId="0" borderId="81" xfId="0" applyFont="1" applyFill="1" applyBorder="1" applyAlignment="1">
      <alignment horizontal="center" wrapText="1"/>
    </xf>
    <xf numFmtId="2" fontId="8" fillId="0" borderId="94" xfId="0" applyNumberFormat="1" applyFont="1" applyFill="1" applyBorder="1" applyAlignment="1">
      <alignment horizontal="center" vertical="center"/>
    </xf>
    <xf numFmtId="0" fontId="8" fillId="0" borderId="0" xfId="0" applyFont="1" applyFill="1" applyAlignment="1">
      <alignment vertical="top"/>
    </xf>
    <xf numFmtId="39" fontId="8" fillId="0" borderId="7" xfId="0" applyNumberFormat="1" applyFont="1" applyFill="1" applyBorder="1" applyAlignment="1">
      <alignment vertical="center"/>
    </xf>
    <xf numFmtId="0" fontId="16" fillId="0" borderId="0" xfId="0" applyFont="1" applyFill="1" applyAlignment="1">
      <alignment wrapText="1"/>
    </xf>
    <xf numFmtId="165" fontId="8" fillId="0" borderId="94" xfId="0" applyNumberFormat="1" applyFont="1" applyFill="1" applyBorder="1" applyAlignment="1">
      <alignment horizontal="center" vertical="center"/>
    </xf>
    <xf numFmtId="181" fontId="8" fillId="0" borderId="94" xfId="0" applyNumberFormat="1" applyFont="1" applyFill="1" applyBorder="1" applyAlignment="1">
      <alignment horizontal="center" vertical="center"/>
    </xf>
    <xf numFmtId="0" fontId="13" fillId="0" borderId="0" xfId="0" applyFont="1" applyFill="1" applyAlignment="1">
      <alignment horizontal="center" wrapText="1"/>
    </xf>
    <xf numFmtId="165" fontId="8" fillId="0" borderId="94" xfId="0" applyNumberFormat="1" applyFont="1" applyFill="1" applyBorder="1"/>
    <xf numFmtId="165" fontId="10" fillId="0" borderId="94" xfId="0" applyNumberFormat="1" applyFont="1" applyFill="1" applyBorder="1" applyAlignment="1">
      <alignment horizontal="center"/>
    </xf>
    <xf numFmtId="165" fontId="8" fillId="0" borderId="62" xfId="0" applyNumberFormat="1" applyFont="1" applyFill="1" applyBorder="1" applyAlignment="1">
      <alignment vertical="center"/>
    </xf>
    <xf numFmtId="169" fontId="8" fillId="0" borderId="61" xfId="0" applyNumberFormat="1" applyFont="1" applyFill="1" applyBorder="1" applyAlignment="1">
      <alignment horizontal="center" vertical="center"/>
    </xf>
    <xf numFmtId="169" fontId="8" fillId="0" borderId="13" xfId="0" applyNumberFormat="1" applyFont="1" applyFill="1" applyBorder="1" applyAlignment="1">
      <alignment vertical="center"/>
    </xf>
    <xf numFmtId="165" fontId="8" fillId="0" borderId="62" xfId="0" applyNumberFormat="1" applyFont="1" applyFill="1" applyBorder="1"/>
    <xf numFmtId="165" fontId="8" fillId="0" borderId="61" xfId="0" applyNumberFormat="1" applyFont="1" applyFill="1" applyBorder="1"/>
    <xf numFmtId="165" fontId="8" fillId="0" borderId="63" xfId="0" applyNumberFormat="1" applyFont="1" applyFill="1" applyBorder="1"/>
    <xf numFmtId="3" fontId="8" fillId="0" borderId="94" xfId="0" applyNumberFormat="1" applyFont="1" applyFill="1" applyBorder="1" applyAlignment="1">
      <alignment vertical="center"/>
    </xf>
    <xf numFmtId="37" fontId="8" fillId="0" borderId="94" xfId="2" applyNumberFormat="1" applyFont="1" applyFill="1" applyBorder="1" applyAlignment="1">
      <alignment horizontal="center"/>
    </xf>
    <xf numFmtId="44" fontId="8" fillId="0" borderId="94" xfId="0" applyNumberFormat="1" applyFont="1" applyFill="1" applyBorder="1" applyAlignment="1">
      <alignment horizontal="center"/>
    </xf>
    <xf numFmtId="0" fontId="10" fillId="0" borderId="61" xfId="0" applyFont="1" applyFill="1" applyBorder="1" applyAlignment="1">
      <alignment vertical="center"/>
    </xf>
    <xf numFmtId="3" fontId="8" fillId="0" borderId="61" xfId="0" applyNumberFormat="1" applyFont="1" applyFill="1" applyBorder="1" applyAlignment="1">
      <alignment vertical="center"/>
    </xf>
    <xf numFmtId="0" fontId="10" fillId="0" borderId="88" xfId="0" applyFont="1" applyFill="1" applyBorder="1" applyAlignment="1">
      <alignment horizontal="right"/>
    </xf>
    <xf numFmtId="0" fontId="8" fillId="0" borderId="0" xfId="0" applyFont="1" applyFill="1" applyAlignment="1">
      <alignment horizontal="left"/>
    </xf>
    <xf numFmtId="3" fontId="8" fillId="0" borderId="61" xfId="1" applyNumberFormat="1" applyFont="1" applyFill="1" applyBorder="1" applyAlignment="1">
      <alignment vertical="center"/>
    </xf>
    <xf numFmtId="0" fontId="10" fillId="0" borderId="62" xfId="0" applyFont="1" applyFill="1" applyBorder="1" applyAlignment="1">
      <alignment horizontal="left"/>
    </xf>
    <xf numFmtId="0" fontId="10" fillId="0" borderId="61" xfId="0" applyFont="1" applyFill="1" applyBorder="1" applyAlignment="1">
      <alignment horizontal="left"/>
    </xf>
    <xf numFmtId="0" fontId="10" fillId="0" borderId="63" xfId="0" applyFont="1" applyFill="1" applyBorder="1" applyAlignment="1">
      <alignment horizontal="left"/>
    </xf>
    <xf numFmtId="166" fontId="8" fillId="0" borderId="62" xfId="0" applyNumberFormat="1" applyFont="1" applyFill="1" applyBorder="1"/>
    <xf numFmtId="0" fontId="8" fillId="0" borderId="62" xfId="0" applyFont="1" applyFill="1" applyBorder="1" applyAlignment="1">
      <alignment horizontal="center"/>
    </xf>
    <xf numFmtId="0" fontId="8" fillId="0" borderId="94" xfId="0" applyFont="1" applyFill="1" applyBorder="1" applyAlignment="1">
      <alignment horizontal="left" wrapText="1"/>
    </xf>
    <xf numFmtId="44" fontId="8" fillId="0" borderId="62" xfId="0" applyNumberFormat="1" applyFont="1" applyFill="1" applyBorder="1" applyAlignment="1">
      <alignment horizontal="center"/>
    </xf>
    <xf numFmtId="164" fontId="8" fillId="0" borderId="94" xfId="0" applyNumberFormat="1" applyFont="1" applyFill="1" applyBorder="1" applyAlignment="1">
      <alignment horizontal="center"/>
    </xf>
    <xf numFmtId="37" fontId="8" fillId="0" borderId="94" xfId="2" applyNumberFormat="1" applyFont="1" applyFill="1" applyBorder="1" applyAlignment="1">
      <alignment horizontal="right"/>
    </xf>
    <xf numFmtId="44" fontId="8" fillId="0" borderId="62" xfId="0" applyNumberFormat="1" applyFont="1" applyFill="1" applyBorder="1"/>
    <xf numFmtId="0" fontId="68"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right" vertical="center" wrapText="1"/>
    </xf>
    <xf numFmtId="166" fontId="8" fillId="0" borderId="65" xfId="0" applyNumberFormat="1" applyFont="1" applyFill="1" applyBorder="1" applyAlignment="1">
      <alignment horizontal="center" wrapText="1"/>
    </xf>
    <xf numFmtId="0" fontId="68" fillId="0" borderId="59"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3" fontId="12" fillId="0" borderId="1" xfId="0" applyNumberFormat="1" applyFont="1" applyFill="1" applyBorder="1" applyAlignment="1">
      <alignment horizontal="right" vertical="center" wrapText="1"/>
    </xf>
    <xf numFmtId="8" fontId="8" fillId="0" borderId="94" xfId="0" applyNumberFormat="1" applyFont="1" applyFill="1" applyBorder="1"/>
    <xf numFmtId="0" fontId="10" fillId="0" borderId="59" xfId="0" applyFont="1" applyFill="1" applyBorder="1" applyAlignment="1">
      <alignment horizontal="center" vertical="center"/>
    </xf>
    <xf numFmtId="3" fontId="12" fillId="0" borderId="2" xfId="0" applyNumberFormat="1" applyFont="1" applyFill="1" applyBorder="1" applyAlignment="1">
      <alignment horizontal="right" vertical="center" wrapText="1"/>
    </xf>
    <xf numFmtId="0" fontId="10" fillId="0" borderId="25" xfId="0" applyFont="1" applyFill="1" applyBorder="1" applyAlignment="1">
      <alignment horizontal="center" vertical="center"/>
    </xf>
    <xf numFmtId="0" fontId="68"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8" fillId="0" borderId="24" xfId="0" applyFont="1" applyFill="1" applyBorder="1" applyAlignment="1">
      <alignment horizontal="center" vertical="center" wrapText="1"/>
    </xf>
    <xf numFmtId="165" fontId="8" fillId="0" borderId="94" xfId="0" applyNumberFormat="1" applyFont="1" applyFill="1" applyBorder="1" applyAlignment="1">
      <alignment horizontal="center"/>
    </xf>
    <xf numFmtId="0" fontId="72" fillId="0" borderId="0" xfId="0" applyFont="1" applyFill="1" applyAlignment="1">
      <alignment wrapText="1"/>
    </xf>
    <xf numFmtId="169" fontId="8" fillId="0" borderId="94" xfId="0" applyNumberFormat="1" applyFont="1" applyFill="1" applyBorder="1" applyAlignment="1">
      <alignment horizontal="center"/>
    </xf>
    <xf numFmtId="169" fontId="8" fillId="0" borderId="7" xfId="0" applyNumberFormat="1" applyFont="1" applyFill="1" applyBorder="1"/>
    <xf numFmtId="0" fontId="8" fillId="0" borderId="12" xfId="0" applyFont="1" applyFill="1" applyBorder="1" applyAlignment="1">
      <alignment horizontal="center"/>
    </xf>
    <xf numFmtId="0" fontId="8" fillId="0" borderId="13" xfId="0" applyFont="1" applyFill="1" applyBorder="1" applyAlignment="1">
      <alignment horizontal="center"/>
    </xf>
    <xf numFmtId="0" fontId="8" fillId="0" borderId="62" xfId="0" applyFont="1" applyFill="1" applyBorder="1" applyAlignment="1">
      <alignment horizontal="center" wrapText="1"/>
    </xf>
    <xf numFmtId="166" fontId="10" fillId="0" borderId="62" xfId="0" applyNumberFormat="1" applyFont="1" applyFill="1" applyBorder="1" applyAlignment="1">
      <alignment horizontal="center" wrapText="1"/>
    </xf>
    <xf numFmtId="0" fontId="8" fillId="0" borderId="94" xfId="0" applyFont="1" applyFill="1" applyBorder="1" applyAlignment="1">
      <alignment horizontal="left" vertical="top" wrapText="1"/>
    </xf>
    <xf numFmtId="44" fontId="8" fillId="0" borderId="94" xfId="0" applyNumberFormat="1" applyFont="1" applyFill="1" applyBorder="1" applyAlignment="1">
      <alignment wrapText="1"/>
    </xf>
    <xf numFmtId="0" fontId="8" fillId="0" borderId="63" xfId="0" applyFont="1" applyFill="1" applyBorder="1" applyAlignment="1">
      <alignment horizontal="center" wrapText="1"/>
    </xf>
    <xf numFmtId="170" fontId="8" fillId="0" borderId="62" xfId="0" applyNumberFormat="1" applyFont="1" applyFill="1" applyBorder="1" applyAlignment="1">
      <alignment horizontal="center"/>
    </xf>
    <xf numFmtId="0" fontId="8" fillId="0" borderId="61" xfId="0" applyFont="1" applyFill="1" applyBorder="1" applyAlignment="1">
      <alignment horizontal="center"/>
    </xf>
    <xf numFmtId="0" fontId="8" fillId="0" borderId="63" xfId="0" applyFont="1" applyFill="1" applyBorder="1" applyAlignment="1">
      <alignment horizontal="center"/>
    </xf>
    <xf numFmtId="0" fontId="10" fillId="0" borderId="63" xfId="0" applyFont="1" applyFill="1" applyBorder="1" applyAlignment="1">
      <alignment horizontal="center" wrapText="1"/>
    </xf>
    <xf numFmtId="0" fontId="8" fillId="0" borderId="7" xfId="0" applyFont="1" applyFill="1" applyBorder="1" applyAlignment="1">
      <alignment vertical="center"/>
    </xf>
    <xf numFmtId="0" fontId="8" fillId="0" borderId="7" xfId="0" applyFont="1" applyFill="1" applyBorder="1" applyAlignment="1">
      <alignment vertical="center" wrapText="1"/>
    </xf>
    <xf numFmtId="0" fontId="8" fillId="0" borderId="7" xfId="0" applyFont="1" applyFill="1" applyBorder="1" applyAlignment="1">
      <alignment horizontal="right" vertical="center"/>
    </xf>
    <xf numFmtId="0" fontId="8" fillId="0" borderId="61" xfId="0" applyFont="1" applyFill="1" applyBorder="1" applyAlignment="1">
      <alignment horizontal="right" vertical="center"/>
    </xf>
    <xf numFmtId="3" fontId="8" fillId="0" borderId="62" xfId="0" applyNumberFormat="1" applyFont="1" applyFill="1" applyBorder="1"/>
    <xf numFmtId="3" fontId="8" fillId="0" borderId="79" xfId="0" applyNumberFormat="1" applyFont="1" applyFill="1" applyBorder="1"/>
    <xf numFmtId="2" fontId="8" fillId="0" borderId="94" xfId="0" applyNumberFormat="1" applyFont="1" applyFill="1" applyBorder="1" applyAlignment="1">
      <alignment horizontal="center"/>
    </xf>
    <xf numFmtId="0" fontId="8" fillId="0" borderId="12" xfId="0" applyFont="1" applyFill="1" applyBorder="1" applyAlignment="1">
      <alignment vertical="top" wrapText="1"/>
    </xf>
    <xf numFmtId="0" fontId="8" fillId="0" borderId="1" xfId="0" applyFont="1" applyFill="1" applyBorder="1" applyAlignment="1">
      <alignment vertical="top" wrapText="1"/>
    </xf>
    <xf numFmtId="0" fontId="8" fillId="0" borderId="13" xfId="0" applyFont="1" applyFill="1" applyBorder="1" applyAlignment="1">
      <alignment vertical="top" wrapText="1"/>
    </xf>
    <xf numFmtId="0" fontId="10" fillId="0" borderId="0" xfId="0" applyFont="1" applyFill="1" applyAlignment="1">
      <alignment horizontal="center"/>
    </xf>
    <xf numFmtId="0" fontId="8" fillId="0" borderId="61" xfId="0" applyFont="1" applyFill="1" applyBorder="1" applyAlignment="1">
      <alignment horizontal="center" vertical="center"/>
    </xf>
    <xf numFmtId="169" fontId="8" fillId="0" borderId="63" xfId="0" applyNumberFormat="1" applyFont="1" applyFill="1" applyBorder="1" applyAlignment="1">
      <alignment horizontal="center" vertical="center"/>
    </xf>
    <xf numFmtId="166" fontId="8" fillId="0" borderId="94" xfId="0" applyNumberFormat="1" applyFont="1" applyFill="1" applyBorder="1" applyAlignment="1">
      <alignment horizontal="right" vertical="center" wrapText="1"/>
    </xf>
    <xf numFmtId="3" fontId="8" fillId="0" borderId="0" xfId="0" applyNumberFormat="1" applyFont="1" applyFill="1"/>
    <xf numFmtId="166" fontId="8" fillId="0" borderId="94" xfId="0" applyNumberFormat="1" applyFont="1" applyFill="1" applyBorder="1" applyAlignment="1">
      <alignment horizontal="center" vertical="center" wrapText="1"/>
    </xf>
    <xf numFmtId="44" fontId="8" fillId="0" borderId="7" xfId="0" applyNumberFormat="1" applyFont="1" applyFill="1" applyBorder="1" applyAlignment="1">
      <alignment horizontal="center"/>
    </xf>
    <xf numFmtId="164" fontId="8" fillId="0" borderId="7" xfId="0" applyNumberFormat="1" applyFont="1" applyFill="1" applyBorder="1" applyAlignment="1">
      <alignment horizontal="right"/>
    </xf>
    <xf numFmtId="0" fontId="8" fillId="0" borderId="0" xfId="0" applyFont="1" applyFill="1" applyAlignment="1">
      <alignment horizontal="center" vertical="top" wrapText="1"/>
    </xf>
    <xf numFmtId="0" fontId="8" fillId="0" borderId="90" xfId="0" applyFont="1" applyFill="1" applyBorder="1" applyAlignment="1">
      <alignment horizontal="center" vertical="top" wrapText="1"/>
    </xf>
    <xf numFmtId="0" fontId="8" fillId="0" borderId="56" xfId="0" applyFont="1" applyFill="1" applyBorder="1" applyAlignment="1">
      <alignment horizontal="center" vertical="top" wrapText="1"/>
    </xf>
    <xf numFmtId="0" fontId="8" fillId="0" borderId="63" xfId="0" applyFont="1" applyFill="1" applyBorder="1" applyAlignment="1">
      <alignment wrapText="1"/>
    </xf>
    <xf numFmtId="0" fontId="8" fillId="0" borderId="12" xfId="0" applyFont="1" applyFill="1" applyBorder="1" applyAlignment="1">
      <alignment wrapText="1"/>
    </xf>
    <xf numFmtId="0" fontId="8" fillId="0" borderId="1" xfId="0" applyFont="1" applyFill="1" applyBorder="1" applyAlignment="1">
      <alignment wrapText="1"/>
    </xf>
    <xf numFmtId="165" fontId="8" fillId="0" borderId="94" xfId="0" applyNumberFormat="1" applyFont="1" applyFill="1" applyBorder="1" applyAlignment="1">
      <alignment horizontal="right"/>
    </xf>
    <xf numFmtId="37" fontId="8" fillId="0" borderId="94" xfId="0" applyNumberFormat="1" applyFont="1" applyFill="1" applyBorder="1" applyAlignment="1">
      <alignment horizontal="center"/>
    </xf>
    <xf numFmtId="169" fontId="8" fillId="0" borderId="94" xfId="0" applyNumberFormat="1" applyFont="1" applyFill="1" applyBorder="1"/>
    <xf numFmtId="3" fontId="8" fillId="0" borderId="94" xfId="0" applyNumberFormat="1" applyFont="1" applyFill="1" applyBorder="1" applyAlignment="1">
      <alignment horizontal="center"/>
    </xf>
    <xf numFmtId="170" fontId="8" fillId="0" borderId="61" xfId="0" applyNumberFormat="1" applyFont="1" applyFill="1" applyBorder="1" applyAlignment="1">
      <alignment vertical="center" wrapText="1"/>
    </xf>
    <xf numFmtId="0" fontId="8" fillId="0" borderId="63" xfId="0" applyFont="1" applyFill="1" applyBorder="1" applyAlignment="1">
      <alignment vertical="center" wrapText="1"/>
    </xf>
    <xf numFmtId="166" fontId="8" fillId="0" borderId="62" xfId="0" applyNumberFormat="1" applyFont="1" applyFill="1" applyBorder="1" applyAlignment="1">
      <alignment horizontal="center"/>
    </xf>
    <xf numFmtId="0" fontId="10" fillId="0" borderId="89" xfId="0" applyFont="1" applyFill="1" applyBorder="1" applyAlignment="1">
      <alignment horizontal="center" vertical="center" wrapText="1"/>
    </xf>
    <xf numFmtId="0" fontId="8" fillId="0" borderId="94" xfId="0" applyFont="1" applyFill="1" applyBorder="1" applyAlignment="1">
      <alignment vertical="center" wrapText="1"/>
    </xf>
    <xf numFmtId="0" fontId="14" fillId="0" borderId="94" xfId="0" applyFont="1" applyFill="1" applyBorder="1" applyAlignment="1">
      <alignment vertical="top" wrapText="1"/>
    </xf>
    <xf numFmtId="0" fontId="8" fillId="0" borderId="7" xfId="0" applyFont="1" applyFill="1" applyBorder="1" applyAlignment="1">
      <alignment horizontal="left" vertical="top" wrapText="1"/>
    </xf>
    <xf numFmtId="9" fontId="8" fillId="0" borderId="62" xfId="0" applyNumberFormat="1" applyFont="1" applyFill="1" applyBorder="1"/>
    <xf numFmtId="9" fontId="8" fillId="0" borderId="94" xfId="0" applyNumberFormat="1" applyFont="1" applyFill="1" applyBorder="1"/>
    <xf numFmtId="0" fontId="14" fillId="0" borderId="94" xfId="0" applyFont="1" applyFill="1" applyBorder="1" applyAlignment="1">
      <alignment horizontal="center" vertical="center"/>
    </xf>
    <xf numFmtId="0" fontId="8" fillId="0" borderId="62" xfId="0" applyFont="1" applyFill="1" applyBorder="1" applyAlignment="1">
      <alignment horizontal="left" wrapText="1"/>
    </xf>
    <xf numFmtId="166" fontId="8" fillId="0" borderId="94" xfId="0" applyNumberFormat="1" applyFont="1" applyFill="1" applyBorder="1" applyAlignment="1">
      <alignment horizontal="center" wrapText="1"/>
    </xf>
    <xf numFmtId="0" fontId="8" fillId="0" borderId="1" xfId="0" applyFont="1" applyFill="1" applyBorder="1" applyAlignment="1">
      <alignment vertical="center" wrapText="1"/>
    </xf>
    <xf numFmtId="165" fontId="8" fillId="0" borderId="12" xfId="0" applyNumberFormat="1" applyFont="1" applyFill="1" applyBorder="1" applyAlignment="1">
      <alignment horizontal="center"/>
    </xf>
    <xf numFmtId="2" fontId="8" fillId="0" borderId="63" xfId="0" applyNumberFormat="1" applyFont="1" applyFill="1" applyBorder="1" applyAlignment="1">
      <alignment horizontal="center"/>
    </xf>
    <xf numFmtId="3" fontId="8" fillId="0" borderId="1" xfId="0" applyNumberFormat="1" applyFont="1" applyFill="1" applyBorder="1" applyAlignment="1">
      <alignment vertical="center"/>
    </xf>
    <xf numFmtId="165" fontId="8" fillId="0" borderId="61" xfId="0" applyNumberFormat="1" applyFont="1" applyFill="1" applyBorder="1" applyAlignment="1">
      <alignment vertical="center" wrapText="1"/>
    </xf>
    <xf numFmtId="0" fontId="10" fillId="0" borderId="63" xfId="0" applyFont="1" applyFill="1" applyBorder="1" applyAlignment="1">
      <alignment horizontal="center" vertical="center" wrapText="1"/>
    </xf>
    <xf numFmtId="3" fontId="8" fillId="0" borderId="94" xfId="0" applyNumberFormat="1" applyFont="1" applyFill="1" applyBorder="1" applyAlignment="1">
      <alignment horizontal="center" vertical="center" wrapText="1"/>
    </xf>
    <xf numFmtId="8" fontId="8" fillId="0" borderId="63" xfId="0" applyNumberFormat="1" applyFont="1" applyFill="1" applyBorder="1" applyAlignment="1">
      <alignment horizontal="right" vertical="center" wrapText="1"/>
    </xf>
    <xf numFmtId="166" fontId="8" fillId="0" borderId="62" xfId="0" applyNumberFormat="1" applyFont="1" applyFill="1" applyBorder="1" applyAlignment="1">
      <alignment horizontal="center" vertical="center" wrapText="1"/>
    </xf>
    <xf numFmtId="166" fontId="8" fillId="0" borderId="63" xfId="0" applyNumberFormat="1" applyFont="1" applyFill="1" applyBorder="1" applyAlignment="1">
      <alignment horizontal="center" vertical="center" wrapText="1"/>
    </xf>
    <xf numFmtId="0" fontId="10" fillId="0" borderId="12" xfId="0" applyFont="1" applyFill="1" applyBorder="1" applyAlignment="1">
      <alignment horizontal="center"/>
    </xf>
    <xf numFmtId="0" fontId="10" fillId="0" borderId="13" xfId="0" applyFont="1" applyFill="1" applyBorder="1" applyAlignment="1">
      <alignment horizontal="center"/>
    </xf>
    <xf numFmtId="164" fontId="8" fillId="0" borderId="7" xfId="0" applyNumberFormat="1" applyFont="1" applyFill="1" applyBorder="1" applyAlignment="1">
      <alignment horizontal="center"/>
    </xf>
    <xf numFmtId="3" fontId="8" fillId="0" borderId="62" xfId="0" applyNumberFormat="1" applyFont="1" applyFill="1" applyBorder="1" applyAlignment="1">
      <alignment horizontal="center"/>
    </xf>
    <xf numFmtId="44" fontId="8" fillId="0" borderId="0" xfId="0" applyNumberFormat="1" applyFont="1" applyFill="1" applyAlignment="1">
      <alignment horizontal="left" vertical="top" wrapText="1"/>
    </xf>
    <xf numFmtId="16" fontId="8" fillId="0" borderId="94" xfId="0" quotePrefix="1" applyNumberFormat="1" applyFont="1" applyFill="1" applyBorder="1" applyAlignment="1">
      <alignment horizontal="center"/>
    </xf>
    <xf numFmtId="44" fontId="8" fillId="0" borderId="0" xfId="0" applyNumberFormat="1" applyFont="1" applyFill="1" applyAlignment="1">
      <alignment vertical="center" wrapText="1"/>
    </xf>
    <xf numFmtId="44" fontId="8" fillId="0" borderId="0" xfId="0" applyNumberFormat="1" applyFont="1" applyFill="1" applyAlignment="1">
      <alignment vertical="top" wrapText="1"/>
    </xf>
    <xf numFmtId="166" fontId="8" fillId="0" borderId="94" xfId="0" applyNumberFormat="1" applyFont="1" applyFill="1" applyBorder="1" applyAlignment="1">
      <alignment horizontal="center"/>
    </xf>
    <xf numFmtId="0" fontId="10" fillId="0" borderId="23" xfId="0" applyFont="1" applyFill="1" applyBorder="1" applyAlignment="1">
      <alignment horizontal="center"/>
    </xf>
    <xf numFmtId="0" fontId="10" fillId="0" borderId="14" xfId="0" applyFont="1" applyFill="1" applyBorder="1"/>
    <xf numFmtId="164" fontId="10" fillId="0" borderId="14" xfId="0" applyNumberFormat="1" applyFont="1" applyFill="1" applyBorder="1" applyAlignment="1">
      <alignment horizontal="center" wrapText="1"/>
    </xf>
    <xf numFmtId="0" fontId="10" fillId="0" borderId="14" xfId="0" applyFont="1" applyFill="1" applyBorder="1" applyAlignment="1">
      <alignment horizontal="center"/>
    </xf>
    <xf numFmtId="0" fontId="10" fillId="0" borderId="14" xfId="0" applyFont="1" applyFill="1" applyBorder="1" applyAlignment="1">
      <alignment horizontal="center" wrapText="1"/>
    </xf>
    <xf numFmtId="0" fontId="10" fillId="0" borderId="15" xfId="0" applyFont="1" applyFill="1" applyBorder="1" applyAlignment="1">
      <alignment horizontal="center" wrapText="1"/>
    </xf>
    <xf numFmtId="0" fontId="8" fillId="0" borderId="97" xfId="0" applyFont="1" applyFill="1" applyBorder="1" applyAlignment="1">
      <alignment horizontal="center"/>
    </xf>
    <xf numFmtId="164" fontId="8" fillId="0" borderId="94" xfId="0" applyNumberFormat="1" applyFont="1" applyFill="1" applyBorder="1" applyAlignment="1">
      <alignment horizontal="right"/>
    </xf>
    <xf numFmtId="2" fontId="8" fillId="0" borderId="62" xfId="0" applyNumberFormat="1" applyFont="1" applyFill="1" applyBorder="1" applyAlignment="1">
      <alignment horizontal="center"/>
    </xf>
    <xf numFmtId="2" fontId="8" fillId="0" borderId="96" xfId="0" applyNumberFormat="1" applyFont="1" applyFill="1" applyBorder="1" applyAlignment="1">
      <alignment horizontal="center"/>
    </xf>
    <xf numFmtId="0" fontId="8" fillId="0" borderId="61" xfId="0" applyFont="1" applyFill="1" applyBorder="1" applyAlignment="1">
      <alignment wrapText="1"/>
    </xf>
    <xf numFmtId="0" fontId="8" fillId="0" borderId="96"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wrapText="1"/>
    </xf>
    <xf numFmtId="164" fontId="8" fillId="0" borderId="5" xfId="0" applyNumberFormat="1" applyFont="1" applyFill="1" applyBorder="1" applyAlignment="1">
      <alignment horizontal="right"/>
    </xf>
    <xf numFmtId="166" fontId="8" fillId="0" borderId="5" xfId="0" applyNumberFormat="1" applyFont="1" applyFill="1" applyBorder="1" applyAlignment="1">
      <alignment horizontal="center"/>
    </xf>
    <xf numFmtId="0" fontId="8" fillId="0" borderId="6" xfId="0" applyFont="1" applyFill="1" applyBorder="1" applyAlignment="1">
      <alignment horizontal="center"/>
    </xf>
    <xf numFmtId="3" fontId="8" fillId="0" borderId="12" xfId="0" applyNumberFormat="1" applyFont="1" applyFill="1" applyBorder="1" applyAlignment="1">
      <alignment horizontal="center"/>
    </xf>
    <xf numFmtId="0" fontId="8" fillId="0" borderId="1" xfId="0" applyFont="1" applyFill="1" applyBorder="1" applyAlignment="1">
      <alignment horizontal="center" vertical="center"/>
    </xf>
    <xf numFmtId="0" fontId="8" fillId="0" borderId="0" xfId="0" applyFont="1" applyFill="1" applyAlignment="1">
      <alignment horizontal="center" vertical="top"/>
    </xf>
    <xf numFmtId="164" fontId="8" fillId="0" borderId="0" xfId="0" applyNumberFormat="1" applyFont="1" applyFill="1" applyAlignment="1">
      <alignment horizontal="center" vertical="top"/>
    </xf>
    <xf numFmtId="171" fontId="8" fillId="0" borderId="62" xfId="0" applyNumberFormat="1" applyFont="1" applyFill="1" applyBorder="1" applyAlignment="1">
      <alignment horizontal="center"/>
    </xf>
    <xf numFmtId="164" fontId="8" fillId="0" borderId="0" xfId="0" applyNumberFormat="1" applyFont="1" applyFill="1" applyAlignment="1">
      <alignment vertical="top" wrapText="1"/>
    </xf>
    <xf numFmtId="166" fontId="8" fillId="0" borderId="63" xfId="0" applyNumberFormat="1" applyFont="1" applyFill="1" applyBorder="1" applyAlignment="1">
      <alignment horizontal="center"/>
    </xf>
    <xf numFmtId="0" fontId="10" fillId="0" borderId="81" xfId="0" applyFont="1" applyFill="1" applyBorder="1"/>
    <xf numFmtId="164" fontId="8" fillId="0" borderId="0" xfId="0" applyNumberFormat="1" applyFont="1" applyFill="1"/>
    <xf numFmtId="3" fontId="8" fillId="0" borderId="0" xfId="0" applyNumberFormat="1" applyFont="1" applyFill="1" applyAlignment="1">
      <alignment horizontal="center"/>
    </xf>
    <xf numFmtId="3" fontId="8" fillId="0" borderId="0" xfId="0" applyNumberFormat="1" applyFont="1" applyFill="1" applyAlignment="1">
      <alignment vertical="top" wrapText="1"/>
    </xf>
    <xf numFmtId="0" fontId="10" fillId="0" borderId="81" xfId="0" applyFont="1" applyFill="1" applyBorder="1" applyAlignment="1">
      <alignment horizontal="center"/>
    </xf>
    <xf numFmtId="0" fontId="10" fillId="0" borderId="79" xfId="0" applyFont="1" applyFill="1" applyBorder="1" applyAlignment="1">
      <alignment horizontal="center"/>
    </xf>
    <xf numFmtId="0" fontId="10" fillId="0" borderId="17" xfId="0" applyFont="1" applyFill="1" applyBorder="1" applyAlignment="1">
      <alignment horizontal="center"/>
    </xf>
    <xf numFmtId="0" fontId="10" fillId="0" borderId="65" xfId="0" applyFont="1" applyFill="1" applyBorder="1"/>
    <xf numFmtId="165" fontId="10" fillId="0" borderId="65" xfId="0" applyNumberFormat="1" applyFont="1" applyFill="1" applyBorder="1"/>
    <xf numFmtId="166" fontId="8" fillId="0" borderId="65" xfId="0" applyNumberFormat="1" applyFont="1" applyFill="1" applyBorder="1"/>
    <xf numFmtId="164" fontId="8" fillId="0" borderId="0" xfId="0" applyNumberFormat="1" applyFont="1" applyFill="1" applyAlignment="1">
      <alignment horizontal="center"/>
    </xf>
    <xf numFmtId="1" fontId="8" fillId="0" borderId="62" xfId="0" applyNumberFormat="1" applyFont="1" applyFill="1" applyBorder="1" applyAlignment="1">
      <alignment horizontal="center"/>
    </xf>
    <xf numFmtId="164" fontId="8" fillId="0" borderId="0" xfId="0" applyNumberFormat="1" applyFont="1" applyFill="1" applyAlignment="1">
      <alignment horizontal="left"/>
    </xf>
    <xf numFmtId="0" fontId="8" fillId="0" borderId="65" xfId="0" applyFont="1" applyFill="1" applyBorder="1" applyAlignment="1">
      <alignment wrapText="1"/>
    </xf>
    <xf numFmtId="164" fontId="8" fillId="0" borderId="0" xfId="0" applyNumberFormat="1" applyFont="1" applyFill="1" applyAlignment="1">
      <alignment vertical="center" wrapText="1"/>
    </xf>
    <xf numFmtId="164" fontId="8" fillId="0" borderId="0" xfId="0" applyNumberFormat="1" applyFont="1" applyFill="1" applyAlignment="1">
      <alignment vertical="center"/>
    </xf>
    <xf numFmtId="164" fontId="8" fillId="0" borderId="0" xfId="0" applyNumberFormat="1" applyFont="1" applyFill="1" applyAlignment="1">
      <alignment horizontal="right" wrapText="1"/>
    </xf>
    <xf numFmtId="0" fontId="8" fillId="0" borderId="0" xfId="0" applyFont="1" applyFill="1" applyAlignment="1">
      <alignment horizontal="right" wrapText="1"/>
    </xf>
    <xf numFmtId="3" fontId="8" fillId="0" borderId="61" xfId="0" applyNumberFormat="1" applyFont="1" applyFill="1" applyBorder="1" applyAlignment="1">
      <alignment horizontal="center" vertical="center"/>
    </xf>
    <xf numFmtId="15" fontId="10" fillId="0" borderId="0" xfId="0" applyNumberFormat="1" applyFont="1" applyFill="1" applyAlignment="1">
      <alignment horizontal="center"/>
    </xf>
    <xf numFmtId="192" fontId="8" fillId="0" borderId="94" xfId="0" applyNumberFormat="1" applyFont="1" applyFill="1" applyBorder="1" applyAlignment="1">
      <alignment horizontal="center"/>
    </xf>
    <xf numFmtId="2" fontId="8" fillId="0" borderId="12" xfId="0" applyNumberFormat="1" applyFont="1" applyFill="1" applyBorder="1" applyAlignment="1">
      <alignment horizontal="center"/>
    </xf>
    <xf numFmtId="3" fontId="8" fillId="0" borderId="94" xfId="0" applyNumberFormat="1" applyFont="1" applyFill="1" applyBorder="1"/>
    <xf numFmtId="173" fontId="8" fillId="0" borderId="62" xfId="0" applyNumberFormat="1" applyFont="1" applyFill="1" applyBorder="1"/>
    <xf numFmtId="0" fontId="8" fillId="0" borderId="9" xfId="0" applyFont="1"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3" fontId="8" fillId="0" borderId="22" xfId="0" applyNumberFormat="1" applyFont="1" applyFill="1" applyBorder="1" applyAlignment="1">
      <alignment vertical="center"/>
    </xf>
    <xf numFmtId="0" fontId="8" fillId="0" borderId="24" xfId="0" applyFont="1" applyFill="1" applyBorder="1" applyAlignment="1">
      <alignment horizontal="center" vertical="center"/>
    </xf>
    <xf numFmtId="0" fontId="10" fillId="0" borderId="13" xfId="0" applyFont="1" applyFill="1" applyBorder="1" applyAlignment="1">
      <alignment horizontal="center" wrapText="1"/>
    </xf>
    <xf numFmtId="3" fontId="8" fillId="0" borderId="13" xfId="0" applyNumberFormat="1" applyFont="1" applyFill="1" applyBorder="1" applyAlignment="1">
      <alignment vertical="center"/>
    </xf>
    <xf numFmtId="0" fontId="10" fillId="0" borderId="62" xfId="0" applyFont="1" applyFill="1" applyBorder="1" applyAlignment="1">
      <alignment horizontal="right"/>
    </xf>
    <xf numFmtId="0" fontId="10" fillId="0" borderId="61" xfId="0" applyFont="1" applyFill="1" applyBorder="1" applyAlignment="1">
      <alignment horizontal="right"/>
    </xf>
    <xf numFmtId="0" fontId="10" fillId="0" borderId="63" xfId="0" applyFont="1" applyFill="1" applyBorder="1" applyAlignment="1">
      <alignment horizontal="right"/>
    </xf>
    <xf numFmtId="2" fontId="8" fillId="0" borderId="81" xfId="0" applyNumberFormat="1" applyFont="1" applyFill="1" applyBorder="1" applyAlignment="1">
      <alignment horizontal="center"/>
    </xf>
    <xf numFmtId="0" fontId="8" fillId="0" borderId="12" xfId="0" applyFont="1" applyFill="1" applyBorder="1" applyAlignment="1">
      <alignment horizontal="right"/>
    </xf>
    <xf numFmtId="0" fontId="10" fillId="0" borderId="1" xfId="0" applyFont="1" applyFill="1" applyBorder="1" applyAlignment="1">
      <alignment horizontal="center" wrapText="1"/>
    </xf>
    <xf numFmtId="3" fontId="8" fillId="0" borderId="63" xfId="0" applyNumberFormat="1" applyFont="1" applyFill="1" applyBorder="1" applyAlignment="1">
      <alignment vertical="center"/>
    </xf>
    <xf numFmtId="0" fontId="16" fillId="0" borderId="0" xfId="0" applyFont="1" applyFill="1" applyAlignment="1">
      <alignment horizontal="left" vertical="top"/>
    </xf>
    <xf numFmtId="0" fontId="10" fillId="0" borderId="12" xfId="0" applyFont="1" applyFill="1" applyBorder="1" applyAlignment="1">
      <alignment horizontal="center" vertical="center" wrapText="1"/>
    </xf>
    <xf numFmtId="0" fontId="8" fillId="0" borderId="61" xfId="0" applyFont="1" applyFill="1" applyBorder="1" applyAlignment="1">
      <alignment horizontal="right"/>
    </xf>
    <xf numFmtId="0" fontId="8" fillId="0" borderId="0" xfId="0" applyFont="1" applyFill="1" applyAlignment="1">
      <alignment horizontal="right" vertical="center"/>
    </xf>
    <xf numFmtId="165" fontId="8" fillId="0" borderId="94" xfId="0" applyNumberFormat="1" applyFont="1" applyFill="1" applyBorder="1" applyAlignment="1">
      <alignment horizontal="right" vertical="center"/>
    </xf>
    <xf numFmtId="37" fontId="8" fillId="0" borderId="94" xfId="0" applyNumberFormat="1" applyFont="1" applyFill="1" applyBorder="1" applyAlignment="1">
      <alignment horizontal="center" vertical="center"/>
    </xf>
    <xf numFmtId="44" fontId="8" fillId="0" borderId="94" xfId="0" applyNumberFormat="1" applyFont="1" applyFill="1" applyBorder="1" applyAlignment="1">
      <alignment horizontal="right" vertical="center"/>
    </xf>
    <xf numFmtId="0" fontId="10" fillId="0" borderId="62" xfId="0" applyFont="1" applyFill="1" applyBorder="1" applyAlignment="1">
      <alignment horizontal="center" wrapText="1"/>
    </xf>
    <xf numFmtId="3" fontId="8" fillId="0" borderId="94" xfId="0" applyNumberFormat="1" applyFont="1" applyFill="1" applyBorder="1" applyAlignment="1">
      <alignment horizontal="center" vertical="center"/>
    </xf>
    <xf numFmtId="3" fontId="8" fillId="0" borderId="63" xfId="0" applyNumberFormat="1" applyFont="1" applyFill="1" applyBorder="1" applyAlignment="1">
      <alignment horizontal="right" vertical="center"/>
    </xf>
    <xf numFmtId="0" fontId="8" fillId="0" borderId="62" xfId="0" applyFont="1" applyFill="1" applyBorder="1" applyAlignment="1">
      <alignment horizontal="left" vertical="center" wrapText="1"/>
    </xf>
    <xf numFmtId="0" fontId="8" fillId="0" borderId="61" xfId="0" applyFont="1" applyFill="1" applyBorder="1" applyAlignment="1">
      <alignment horizontal="left" vertical="center" wrapText="1"/>
    </xf>
    <xf numFmtId="0" fontId="8" fillId="0" borderId="63" xfId="0" applyFont="1" applyFill="1" applyBorder="1" applyAlignment="1">
      <alignment horizontal="left" vertical="center" wrapText="1"/>
    </xf>
    <xf numFmtId="3" fontId="8" fillId="0" borderId="88" xfId="0" applyNumberFormat="1" applyFont="1" applyFill="1" applyBorder="1"/>
    <xf numFmtId="0" fontId="8" fillId="0" borderId="67" xfId="0" applyFont="1" applyFill="1" applyBorder="1" applyAlignment="1">
      <alignment horizontal="center"/>
    </xf>
    <xf numFmtId="8" fontId="8" fillId="0" borderId="63" xfId="0" applyNumberFormat="1" applyFont="1" applyFill="1" applyBorder="1" applyAlignment="1">
      <alignment vertical="center" wrapText="1"/>
    </xf>
    <xf numFmtId="0" fontId="10" fillId="0" borderId="62" xfId="0" applyFont="1" applyFill="1" applyBorder="1" applyAlignment="1">
      <alignment horizontal="center" vertical="center" wrapText="1"/>
    </xf>
    <xf numFmtId="3" fontId="8" fillId="0" borderId="61" xfId="0" applyNumberFormat="1" applyFont="1" applyFill="1" applyBorder="1" applyAlignment="1">
      <alignment vertical="center" wrapText="1"/>
    </xf>
    <xf numFmtId="0" fontId="8" fillId="0" borderId="0" xfId="0" applyFont="1" applyFill="1" applyAlignment="1">
      <alignment horizontal="left" vertical="top" wrapText="1"/>
    </xf>
    <xf numFmtId="0" fontId="8" fillId="0" borderId="67" xfId="0" applyFont="1" applyFill="1" applyBorder="1"/>
    <xf numFmtId="0" fontId="8" fillId="0" borderId="67" xfId="0" applyFont="1" applyFill="1" applyBorder="1" applyAlignment="1">
      <alignment horizontal="center" wrapText="1"/>
    </xf>
    <xf numFmtId="165" fontId="10" fillId="0" borderId="67" xfId="0" applyNumberFormat="1" applyFont="1" applyFill="1" applyBorder="1"/>
    <xf numFmtId="166" fontId="8" fillId="0" borderId="63" xfId="0" applyNumberFormat="1" applyFont="1" applyFill="1" applyBorder="1"/>
    <xf numFmtId="0" fontId="8" fillId="0" borderId="68" xfId="0" applyFont="1" applyFill="1" applyBorder="1" applyAlignment="1">
      <alignment horizontal="center"/>
    </xf>
    <xf numFmtId="166" fontId="8" fillId="0" borderId="89" xfId="0" applyNumberFormat="1" applyFont="1" applyFill="1" applyBorder="1"/>
    <xf numFmtId="3" fontId="8" fillId="0" borderId="61" xfId="0" applyNumberFormat="1" applyFont="1" applyFill="1" applyBorder="1"/>
    <xf numFmtId="0" fontId="8" fillId="0" borderId="67" xfId="0" applyFont="1" applyFill="1" applyBorder="1" applyAlignment="1">
      <alignment horizontal="left"/>
    </xf>
    <xf numFmtId="0" fontId="14" fillId="0" borderId="89" xfId="0" applyFont="1" applyFill="1" applyBorder="1" applyAlignment="1">
      <alignment horizontal="left" vertical="top" wrapText="1"/>
    </xf>
    <xf numFmtId="0" fontId="14" fillId="0" borderId="67" xfId="0" applyFont="1" applyFill="1" applyBorder="1" applyAlignment="1">
      <alignment vertical="top" wrapText="1"/>
    </xf>
    <xf numFmtId="0" fontId="8" fillId="0" borderId="72" xfId="0" applyFont="1" applyFill="1" applyBorder="1"/>
    <xf numFmtId="172" fontId="8" fillId="0" borderId="94" xfId="0" applyNumberFormat="1" applyFont="1" applyFill="1" applyBorder="1" applyAlignment="1">
      <alignment horizontal="center"/>
    </xf>
    <xf numFmtId="4" fontId="8" fillId="0" borderId="94" xfId="0" applyNumberFormat="1" applyFont="1" applyFill="1" applyBorder="1" applyAlignment="1">
      <alignment horizontal="center"/>
    </xf>
    <xf numFmtId="166" fontId="8" fillId="0" borderId="62" xfId="0" applyNumberFormat="1" applyFont="1" applyFill="1" applyBorder="1" applyAlignment="1">
      <alignment horizontal="center" vertical="center"/>
    </xf>
    <xf numFmtId="166" fontId="8" fillId="0" borderId="63" xfId="0" applyNumberFormat="1" applyFont="1" applyFill="1" applyBorder="1" applyAlignment="1">
      <alignment horizontal="center" vertical="center"/>
    </xf>
    <xf numFmtId="0" fontId="14" fillId="0" borderId="94" xfId="0" applyFont="1" applyFill="1" applyBorder="1" applyAlignment="1">
      <alignment horizontal="center"/>
    </xf>
    <xf numFmtId="0" fontId="14" fillId="0" borderId="62" xfId="0" applyFont="1" applyFill="1" applyBorder="1" applyAlignment="1">
      <alignment horizontal="left"/>
    </xf>
    <xf numFmtId="0" fontId="14" fillId="0" borderId="61" xfId="0" applyFont="1" applyFill="1" applyBorder="1" applyAlignment="1">
      <alignment horizontal="left"/>
    </xf>
    <xf numFmtId="0" fontId="14" fillId="0" borderId="63" xfId="0" applyFont="1" applyFill="1" applyBorder="1" applyAlignment="1">
      <alignment horizontal="left"/>
    </xf>
    <xf numFmtId="3" fontId="8" fillId="0" borderId="61" xfId="0" applyNumberFormat="1" applyFont="1" applyFill="1" applyBorder="1" applyAlignment="1">
      <alignment horizontal="right" vertical="center"/>
    </xf>
    <xf numFmtId="3" fontId="8" fillId="0" borderId="61" xfId="0" applyNumberFormat="1" applyFont="1" applyFill="1" applyBorder="1" applyAlignment="1">
      <alignment horizontal="right" vertical="center" wrapText="1"/>
    </xf>
    <xf numFmtId="0" fontId="8" fillId="0" borderId="88" xfId="0" applyFont="1" applyFill="1" applyBorder="1" applyAlignment="1">
      <alignment horizontal="center" vertical="center"/>
    </xf>
    <xf numFmtId="0" fontId="14" fillId="0" borderId="61" xfId="0" applyFont="1" applyFill="1" applyBorder="1"/>
    <xf numFmtId="7" fontId="8" fillId="0" borderId="62" xfId="0" applyNumberFormat="1" applyFont="1" applyFill="1" applyBorder="1"/>
    <xf numFmtId="0" fontId="14" fillId="0" borderId="94" xfId="0" applyFont="1" applyFill="1" applyBorder="1"/>
    <xf numFmtId="0" fontId="14" fillId="0" borderId="94" xfId="0" applyFont="1" applyFill="1" applyBorder="1" applyAlignment="1">
      <alignment horizontal="left"/>
    </xf>
    <xf numFmtId="8" fontId="8" fillId="0" borderId="0" xfId="0" applyNumberFormat="1" applyFont="1" applyFill="1" applyAlignment="1">
      <alignment horizontal="left"/>
    </xf>
    <xf numFmtId="0" fontId="8" fillId="0" borderId="0" xfId="0" applyFont="1" applyFill="1" applyAlignment="1">
      <alignment horizontal="left" wrapText="1"/>
    </xf>
    <xf numFmtId="0" fontId="8" fillId="0" borderId="63" xfId="0" applyFont="1" applyFill="1" applyBorder="1" applyAlignment="1">
      <alignment horizontal="right"/>
    </xf>
    <xf numFmtId="165" fontId="8" fillId="0" borderId="61" xfId="0" applyNumberFormat="1" applyFont="1" applyFill="1" applyBorder="1" applyAlignment="1">
      <alignment horizontal="left" vertical="center" wrapText="1"/>
    </xf>
    <xf numFmtId="166" fontId="8" fillId="0" borderId="62" xfId="0" applyNumberFormat="1" applyFont="1" applyFill="1" applyBorder="1" applyAlignment="1">
      <alignment vertical="center"/>
    </xf>
    <xf numFmtId="166" fontId="8" fillId="0" borderId="61" xfId="0" applyNumberFormat="1" applyFont="1" applyFill="1" applyBorder="1" applyAlignment="1">
      <alignment horizontal="center"/>
    </xf>
    <xf numFmtId="2" fontId="8" fillId="0" borderId="94" xfId="0" applyNumberFormat="1" applyFont="1" applyFill="1" applyBorder="1" applyAlignment="1">
      <alignment horizontal="center" wrapText="1"/>
    </xf>
    <xf numFmtId="0" fontId="8" fillId="0" borderId="90" xfId="0" applyFont="1" applyFill="1" applyBorder="1" applyAlignment="1">
      <alignment horizontal="center" vertical="center" wrapText="1"/>
    </xf>
    <xf numFmtId="164" fontId="8" fillId="0" borderId="88" xfId="0" applyNumberFormat="1" applyFont="1" applyFill="1" applyBorder="1" applyAlignment="1">
      <alignment horizontal="left" wrapText="1"/>
    </xf>
    <xf numFmtId="8" fontId="8" fillId="0" borderId="88" xfId="0" applyNumberFormat="1" applyFont="1" applyFill="1" applyBorder="1" applyAlignment="1">
      <alignment wrapText="1"/>
    </xf>
    <xf numFmtId="0" fontId="8" fillId="0" borderId="88" xfId="0" applyFont="1" applyFill="1" applyBorder="1" applyAlignment="1">
      <alignment horizontal="center" wrapText="1"/>
    </xf>
    <xf numFmtId="165" fontId="10" fillId="0" borderId="94" xfId="0" applyNumberFormat="1" applyFont="1" applyFill="1" applyBorder="1" applyAlignment="1">
      <alignment horizontal="right"/>
    </xf>
    <xf numFmtId="2" fontId="8" fillId="0" borderId="94" xfId="0" applyNumberFormat="1" applyFont="1" applyFill="1" applyBorder="1" applyAlignment="1">
      <alignment horizontal="center" vertical="center" wrapText="1"/>
    </xf>
    <xf numFmtId="0" fontId="8" fillId="0" borderId="94" xfId="0" applyFont="1" applyFill="1" applyBorder="1" applyAlignment="1">
      <alignment horizontal="right" vertical="center" wrapText="1"/>
    </xf>
    <xf numFmtId="8" fontId="8" fillId="0" borderId="62" xfId="0" applyNumberFormat="1" applyFont="1" applyFill="1" applyBorder="1" applyAlignment="1">
      <alignment vertical="center" wrapText="1"/>
    </xf>
    <xf numFmtId="166" fontId="8" fillId="0" borderId="12" xfId="0" applyNumberFormat="1" applyFont="1" applyFill="1" applyBorder="1" applyAlignment="1">
      <alignment horizontal="center"/>
    </xf>
    <xf numFmtId="164" fontId="8" fillId="0" borderId="90" xfId="0" applyNumberFormat="1" applyFont="1" applyFill="1" applyBorder="1" applyAlignment="1">
      <alignment horizontal="right" wrapText="1"/>
    </xf>
    <xf numFmtId="3" fontId="8" fillId="0" borderId="94" xfId="0" applyNumberFormat="1" applyFont="1" applyFill="1" applyBorder="1" applyAlignment="1">
      <alignment horizontal="center" wrapText="1"/>
    </xf>
    <xf numFmtId="3" fontId="8" fillId="0" borderId="90" xfId="0" applyNumberFormat="1" applyFont="1" applyFill="1" applyBorder="1" applyAlignment="1">
      <alignment horizontal="center" wrapText="1"/>
    </xf>
    <xf numFmtId="2" fontId="8" fillId="0" borderId="62" xfId="0" applyNumberFormat="1" applyFont="1" applyFill="1" applyBorder="1" applyAlignment="1">
      <alignment horizontal="center" wrapText="1"/>
    </xf>
    <xf numFmtId="164" fontId="8" fillId="0" borderId="62" xfId="0" applyNumberFormat="1" applyFont="1" applyFill="1" applyBorder="1" applyAlignment="1">
      <alignment horizontal="right"/>
    </xf>
    <xf numFmtId="0" fontId="10" fillId="0" borderId="14" xfId="0" applyFont="1" applyFill="1" applyBorder="1" applyAlignment="1">
      <alignment horizontal="center" vertical="center"/>
    </xf>
    <xf numFmtId="0" fontId="8" fillId="0" borderId="22" xfId="0" applyFont="1" applyFill="1" applyBorder="1" applyAlignment="1">
      <alignment vertical="center"/>
    </xf>
    <xf numFmtId="3" fontId="8" fillId="0" borderId="22" xfId="0" applyNumberFormat="1" applyFont="1" applyFill="1" applyBorder="1" applyAlignment="1">
      <alignment horizontal="center" vertical="center"/>
    </xf>
    <xf numFmtId="0" fontId="8" fillId="0" borderId="94" xfId="2" applyNumberFormat="1" applyFont="1" applyFill="1" applyBorder="1"/>
    <xf numFmtId="8" fontId="8" fillId="0" borderId="62" xfId="0" applyNumberFormat="1" applyFont="1" applyFill="1" applyBorder="1" applyAlignment="1">
      <alignment horizontal="right" vertical="center" wrapText="1"/>
    </xf>
    <xf numFmtId="176" fontId="8" fillId="0" borderId="62" xfId="2" applyNumberFormat="1" applyFont="1" applyFill="1" applyBorder="1" applyAlignment="1">
      <alignment horizontal="center"/>
    </xf>
    <xf numFmtId="7" fontId="8" fillId="0" borderId="62" xfId="2" applyNumberFormat="1" applyFont="1" applyFill="1" applyBorder="1" applyAlignment="1">
      <alignment horizontal="center"/>
    </xf>
    <xf numFmtId="44" fontId="10" fillId="0" borderId="0" xfId="2" applyFont="1" applyFill="1"/>
    <xf numFmtId="17" fontId="8" fillId="0" borderId="94" xfId="0" quotePrefix="1" applyNumberFormat="1" applyFont="1" applyFill="1" applyBorder="1" applyAlignment="1">
      <alignment horizontal="center"/>
    </xf>
    <xf numFmtId="17" fontId="8" fillId="0" borderId="65" xfId="0" quotePrefix="1" applyNumberFormat="1" applyFont="1" applyFill="1" applyBorder="1" applyAlignment="1">
      <alignment horizontal="center"/>
    </xf>
    <xf numFmtId="44" fontId="8" fillId="0" borderId="0" xfId="0" applyNumberFormat="1" applyFont="1" applyFill="1" applyAlignment="1">
      <alignment horizontal="left" vertical="center" wrapText="1"/>
    </xf>
    <xf numFmtId="44" fontId="8" fillId="0" borderId="63" xfId="0" applyNumberFormat="1" applyFont="1" applyFill="1" applyBorder="1" applyAlignment="1">
      <alignment horizontal="right" vertical="center" wrapText="1"/>
    </xf>
    <xf numFmtId="0" fontId="10" fillId="0" borderId="0" xfId="0" applyFont="1" applyFill="1" applyAlignment="1">
      <alignment horizontal="center" wrapText="1"/>
    </xf>
    <xf numFmtId="8" fontId="8" fillId="0" borderId="0" xfId="0" applyNumberFormat="1" applyFont="1" applyFill="1" applyAlignment="1">
      <alignment wrapText="1"/>
    </xf>
    <xf numFmtId="166" fontId="8" fillId="0" borderId="0" xfId="0" applyNumberFormat="1" applyFont="1" applyFill="1" applyAlignment="1">
      <alignment horizontal="center" wrapText="1"/>
    </xf>
    <xf numFmtId="44" fontId="8" fillId="0" borderId="0" xfId="0" applyNumberFormat="1" applyFont="1" applyFill="1" applyAlignment="1">
      <alignment horizontal="left" wrapText="1"/>
    </xf>
    <xf numFmtId="0" fontId="8" fillId="0" borderId="98" xfId="0" applyFont="1" applyFill="1" applyBorder="1" applyAlignment="1">
      <alignment horizontal="center" vertical="center" wrapText="1"/>
    </xf>
    <xf numFmtId="0" fontId="8" fillId="0" borderId="99" xfId="0" applyFont="1" applyFill="1" applyBorder="1" applyAlignment="1">
      <alignment horizontal="center" vertical="center" wrapText="1"/>
    </xf>
    <xf numFmtId="0" fontId="8" fillId="0" borderId="100" xfId="0" applyFont="1" applyFill="1" applyBorder="1" applyAlignment="1">
      <alignment horizontal="center" vertical="center" wrapText="1"/>
    </xf>
    <xf numFmtId="9" fontId="8" fillId="0" borderId="94" xfId="0" applyNumberFormat="1" applyFont="1" applyFill="1" applyBorder="1" applyAlignment="1">
      <alignment horizontal="center"/>
    </xf>
    <xf numFmtId="0" fontId="10" fillId="0" borderId="79" xfId="0" applyFont="1" applyFill="1" applyBorder="1" applyAlignment="1">
      <alignment horizontal="center" wrapText="1"/>
    </xf>
    <xf numFmtId="44" fontId="8" fillId="0" borderId="94" xfId="2" applyFont="1" applyFill="1" applyBorder="1" applyAlignment="1">
      <alignment vertical="center" wrapText="1"/>
    </xf>
    <xf numFmtId="44" fontId="8" fillId="0" borderId="94" xfId="0" applyNumberFormat="1" applyFont="1" applyFill="1" applyBorder="1" applyAlignment="1">
      <alignment vertical="center" wrapText="1"/>
    </xf>
    <xf numFmtId="166" fontId="8" fillId="0" borderId="61" xfId="0" applyNumberFormat="1" applyFont="1" applyFill="1" applyBorder="1" applyAlignment="1">
      <alignment horizontal="center" vertical="center"/>
    </xf>
    <xf numFmtId="1" fontId="8" fillId="0" borderId="12" xfId="0" applyNumberFormat="1" applyFont="1" applyFill="1" applyBorder="1" applyAlignment="1">
      <alignment horizontal="center"/>
    </xf>
    <xf numFmtId="0" fontId="8" fillId="0" borderId="1" xfId="0" applyFont="1" applyFill="1" applyBorder="1" applyAlignment="1">
      <alignment vertical="center"/>
    </xf>
    <xf numFmtId="165" fontId="8" fillId="0" borderId="90" xfId="0" applyNumberFormat="1" applyFont="1" applyFill="1" applyBorder="1" applyAlignment="1">
      <alignment horizontal="center"/>
    </xf>
    <xf numFmtId="165" fontId="8" fillId="0" borderId="88" xfId="0" applyNumberFormat="1" applyFont="1" applyFill="1" applyBorder="1" applyAlignment="1">
      <alignment horizontal="center"/>
    </xf>
    <xf numFmtId="165" fontId="8" fillId="0" borderId="89" xfId="0" applyNumberFormat="1" applyFont="1" applyFill="1" applyBorder="1" applyAlignment="1">
      <alignment horizontal="center"/>
    </xf>
    <xf numFmtId="165" fontId="8" fillId="0" borderId="13" xfId="1" applyNumberFormat="1" applyFont="1" applyFill="1" applyBorder="1" applyAlignment="1">
      <alignment vertical="center"/>
    </xf>
    <xf numFmtId="165" fontId="8" fillId="0" borderId="98" xfId="0" applyNumberFormat="1" applyFont="1" applyFill="1" applyBorder="1" applyAlignment="1">
      <alignment horizontal="center"/>
    </xf>
    <xf numFmtId="165" fontId="8" fillId="0" borderId="99" xfId="0" applyNumberFormat="1" applyFont="1" applyFill="1" applyBorder="1" applyAlignment="1">
      <alignment horizontal="center"/>
    </xf>
    <xf numFmtId="165" fontId="8" fillId="0" borderId="100" xfId="0" applyNumberFormat="1" applyFont="1" applyFill="1" applyBorder="1" applyAlignment="1">
      <alignment horizontal="center"/>
    </xf>
    <xf numFmtId="165" fontId="8" fillId="0" borderId="7" xfId="1" applyNumberFormat="1" applyFont="1" applyFill="1" applyBorder="1" applyAlignment="1">
      <alignment vertical="center"/>
    </xf>
    <xf numFmtId="0" fontId="10" fillId="0" borderId="13" xfId="0" applyFont="1" applyFill="1" applyBorder="1" applyAlignment="1">
      <alignment horizontal="center" vertical="center" wrapText="1"/>
    </xf>
    <xf numFmtId="49" fontId="8" fillId="0" borderId="94" xfId="0" applyNumberFormat="1" applyFont="1" applyFill="1" applyBorder="1" applyAlignment="1">
      <alignment horizontal="center"/>
    </xf>
    <xf numFmtId="0" fontId="10" fillId="0" borderId="0" xfId="0" applyFont="1" applyFill="1" applyAlignment="1">
      <alignment horizontal="right" vertical="center"/>
    </xf>
    <xf numFmtId="0" fontId="8" fillId="0" borderId="91" xfId="0" applyFont="1" applyFill="1" applyBorder="1" applyAlignment="1">
      <alignment horizontal="center" vertical="center"/>
    </xf>
    <xf numFmtId="169" fontId="8" fillId="0" borderId="12" xfId="0" applyNumberFormat="1" applyFont="1" applyFill="1" applyBorder="1" applyAlignment="1">
      <alignment vertical="center"/>
    </xf>
    <xf numFmtId="44" fontId="8" fillId="0" borderId="67" xfId="2" applyFont="1" applyFill="1" applyBorder="1" applyAlignment="1">
      <alignment vertical="center"/>
    </xf>
    <xf numFmtId="0" fontId="8" fillId="0" borderId="94" xfId="0" quotePrefix="1" applyFont="1" applyFill="1" applyBorder="1" applyAlignment="1">
      <alignment horizontal="center"/>
    </xf>
    <xf numFmtId="0" fontId="8" fillId="0" borderId="88" xfId="0" applyFont="1" applyFill="1" applyBorder="1" applyAlignment="1">
      <alignment vertical="center" wrapText="1"/>
    </xf>
    <xf numFmtId="165" fontId="8" fillId="0" borderId="88" xfId="0" applyNumberFormat="1" applyFont="1" applyFill="1" applyBorder="1" applyAlignment="1">
      <alignment vertical="center" wrapText="1"/>
    </xf>
    <xf numFmtId="0" fontId="8" fillId="0" borderId="89" xfId="0" applyFont="1" applyFill="1" applyBorder="1" applyAlignment="1">
      <alignment vertical="center" wrapText="1"/>
    </xf>
    <xf numFmtId="8" fontId="8" fillId="0" borderId="65" xfId="2" applyNumberFormat="1" applyFont="1" applyFill="1" applyBorder="1"/>
    <xf numFmtId="43" fontId="8" fillId="0" borderId="12" xfId="0" applyNumberFormat="1" applyFont="1" applyFill="1" applyBorder="1" applyAlignment="1">
      <alignment horizontal="center"/>
    </xf>
    <xf numFmtId="166" fontId="8" fillId="0" borderId="7" xfId="0" applyNumberFormat="1" applyFont="1" applyFill="1" applyBorder="1" applyAlignment="1">
      <alignment horizontal="center"/>
    </xf>
    <xf numFmtId="0" fontId="10" fillId="0" borderId="7" xfId="0" applyFont="1" applyFill="1" applyBorder="1" applyAlignment="1">
      <alignment horizontal="center" wrapText="1"/>
    </xf>
    <xf numFmtId="44" fontId="8" fillId="0" borderId="12" xfId="0" applyNumberFormat="1" applyFont="1" applyFill="1" applyBorder="1" applyAlignment="1">
      <alignment horizontal="center"/>
    </xf>
    <xf numFmtId="0" fontId="10" fillId="0" borderId="62" xfId="0" applyFont="1" applyFill="1" applyBorder="1" applyAlignment="1">
      <alignment horizontal="left" wrapText="1"/>
    </xf>
    <xf numFmtId="0" fontId="10" fillId="0" borderId="61" xfId="0" applyFont="1" applyFill="1" applyBorder="1" applyAlignment="1">
      <alignment horizontal="left" wrapText="1"/>
    </xf>
    <xf numFmtId="0" fontId="10" fillId="0" borderId="63" xfId="0" applyFont="1" applyFill="1" applyBorder="1" applyAlignment="1">
      <alignment horizontal="left" wrapText="1"/>
    </xf>
    <xf numFmtId="0" fontId="12" fillId="0" borderId="62" xfId="0" applyFont="1" applyFill="1" applyBorder="1" applyAlignment="1">
      <alignment horizontal="center" vertical="center"/>
    </xf>
    <xf numFmtId="165" fontId="12" fillId="0" borderId="61" xfId="0" applyNumberFormat="1" applyFont="1" applyFill="1" applyBorder="1" applyAlignment="1">
      <alignment vertical="center"/>
    </xf>
    <xf numFmtId="0" fontId="68" fillId="0" borderId="94" xfId="0" applyFont="1" applyFill="1" applyBorder="1" applyAlignment="1">
      <alignment horizontal="center"/>
    </xf>
    <xf numFmtId="0" fontId="68" fillId="0" borderId="7" xfId="0" applyFont="1" applyFill="1" applyBorder="1" applyAlignment="1">
      <alignment horizontal="center"/>
    </xf>
    <xf numFmtId="0" fontId="68" fillId="0" borderId="94" xfId="0" applyFont="1" applyFill="1" applyBorder="1" applyAlignment="1">
      <alignment horizontal="center" wrapText="1"/>
    </xf>
    <xf numFmtId="16" fontId="12" fillId="0" borderId="94" xfId="0" quotePrefix="1" applyNumberFormat="1" applyFont="1" applyFill="1" applyBorder="1" applyAlignment="1">
      <alignment horizontal="center"/>
    </xf>
    <xf numFmtId="44" fontId="12" fillId="0" borderId="94" xfId="0" applyNumberFormat="1" applyFont="1" applyFill="1" applyBorder="1" applyAlignment="1">
      <alignment horizontal="center"/>
    </xf>
    <xf numFmtId="0" fontId="12" fillId="0" borderId="7" xfId="0" applyFont="1" applyFill="1" applyBorder="1" applyAlignment="1">
      <alignment horizontal="center"/>
    </xf>
    <xf numFmtId="0" fontId="12" fillId="0" borderId="12" xfId="0" applyFont="1" applyFill="1" applyBorder="1" applyAlignment="1">
      <alignment horizontal="center"/>
    </xf>
    <xf numFmtId="0" fontId="12" fillId="0" borderId="13" xfId="0" applyFont="1" applyFill="1" applyBorder="1" applyAlignment="1">
      <alignment horizontal="center"/>
    </xf>
    <xf numFmtId="17" fontId="12" fillId="0" borderId="94" xfId="0" quotePrefix="1" applyNumberFormat="1" applyFont="1" applyFill="1" applyBorder="1" applyAlignment="1">
      <alignment horizontal="center"/>
    </xf>
    <xf numFmtId="166" fontId="12" fillId="0" borderId="94" xfId="0" applyNumberFormat="1" applyFont="1" applyFill="1" applyBorder="1" applyAlignment="1">
      <alignment horizontal="center"/>
    </xf>
    <xf numFmtId="44" fontId="12" fillId="0" borderId="94" xfId="0" applyNumberFormat="1" applyFont="1" applyFill="1" applyBorder="1"/>
    <xf numFmtId="0" fontId="12" fillId="0" borderId="63" xfId="0" applyFont="1" applyFill="1" applyBorder="1" applyAlignment="1">
      <alignment vertical="center"/>
    </xf>
    <xf numFmtId="165" fontId="12" fillId="0" borderId="61" xfId="0" applyNumberFormat="1" applyFont="1" applyFill="1" applyBorder="1" applyAlignment="1">
      <alignment horizontal="right" vertical="center"/>
    </xf>
    <xf numFmtId="0" fontId="68" fillId="0" borderId="94" xfId="0" applyFont="1" applyFill="1" applyBorder="1" applyAlignment="1">
      <alignment horizontal="right"/>
    </xf>
    <xf numFmtId="184" fontId="8" fillId="0" borderId="94" xfId="0" applyNumberFormat="1" applyFont="1" applyFill="1" applyBorder="1" applyAlignment="1">
      <alignment horizontal="center"/>
    </xf>
    <xf numFmtId="0" fontId="8" fillId="0" borderId="79" xfId="0" applyFont="1" applyFill="1" applyBorder="1" applyAlignment="1">
      <alignment horizontal="center"/>
    </xf>
    <xf numFmtId="0" fontId="8" fillId="0" borderId="17" xfId="0" applyFont="1" applyFill="1" applyBorder="1" applyAlignment="1">
      <alignment horizontal="center"/>
    </xf>
    <xf numFmtId="0" fontId="4" fillId="0" borderId="62" xfId="0" applyFont="1" applyFill="1" applyBorder="1" applyAlignment="1">
      <alignment horizontal="center" vertical="center"/>
    </xf>
    <xf numFmtId="0" fontId="4" fillId="0" borderId="63" xfId="0" applyFont="1" applyFill="1" applyBorder="1" applyAlignment="1">
      <alignment horizontal="center" vertical="center"/>
    </xf>
    <xf numFmtId="16" fontId="8" fillId="0" borderId="65" xfId="0" quotePrefix="1" applyNumberFormat="1" applyFont="1" applyFill="1" applyBorder="1" applyAlignment="1">
      <alignment horizontal="center"/>
    </xf>
    <xf numFmtId="0" fontId="8" fillId="0" borderId="81" xfId="0" applyFont="1" applyFill="1" applyBorder="1" applyAlignment="1">
      <alignment horizontal="center"/>
    </xf>
    <xf numFmtId="2" fontId="8" fillId="0" borderId="65" xfId="0" applyNumberFormat="1" applyFont="1" applyFill="1" applyBorder="1" applyAlignment="1">
      <alignment horizontal="center"/>
    </xf>
    <xf numFmtId="0" fontId="8" fillId="0" borderId="79" xfId="0" applyFont="1" applyFill="1" applyBorder="1"/>
    <xf numFmtId="165" fontId="8" fillId="0" borderId="94" xfId="0" applyNumberFormat="1" applyFont="1" applyFill="1" applyBorder="1" applyAlignment="1">
      <alignment vertical="center" wrapText="1"/>
    </xf>
    <xf numFmtId="44" fontId="12" fillId="0" borderId="7" xfId="0" applyNumberFormat="1" applyFont="1" applyFill="1" applyBorder="1" applyAlignment="1">
      <alignment horizontal="center"/>
    </xf>
    <xf numFmtId="165" fontId="12" fillId="0" borderId="12" xfId="0" applyNumberFormat="1" applyFont="1" applyFill="1" applyBorder="1"/>
    <xf numFmtId="0" fontId="12" fillId="0" borderId="62" xfId="0" applyFont="1" applyFill="1" applyBorder="1" applyAlignment="1">
      <alignment horizontal="center"/>
    </xf>
    <xf numFmtId="0" fontId="12" fillId="0" borderId="63" xfId="0" applyFont="1" applyFill="1" applyBorder="1" applyAlignment="1">
      <alignment horizontal="center"/>
    </xf>
    <xf numFmtId="16" fontId="12" fillId="0" borderId="94" xfId="0" applyNumberFormat="1" applyFont="1" applyFill="1" applyBorder="1" applyAlignment="1">
      <alignment horizontal="center"/>
    </xf>
    <xf numFmtId="16" fontId="8" fillId="0" borderId="62" xfId="0" quotePrefix="1" applyNumberFormat="1" applyFont="1" applyFill="1" applyBorder="1" applyAlignment="1">
      <alignment horizontal="center"/>
    </xf>
    <xf numFmtId="0" fontId="8" fillId="0" borderId="93" xfId="0" applyFont="1" applyFill="1" applyBorder="1" applyAlignment="1">
      <alignment horizontal="center"/>
    </xf>
    <xf numFmtId="0" fontId="8" fillId="0" borderId="93" xfId="0" applyFont="1" applyFill="1" applyBorder="1"/>
    <xf numFmtId="9" fontId="8" fillId="0" borderId="62" xfId="3" applyFont="1" applyFill="1" applyBorder="1" applyAlignment="1">
      <alignment horizontal="center"/>
    </xf>
    <xf numFmtId="0" fontId="29" fillId="0" borderId="94" xfId="0" applyFont="1" applyFill="1" applyBorder="1" applyAlignment="1">
      <alignment horizontal="center" wrapText="1"/>
    </xf>
    <xf numFmtId="7" fontId="8" fillId="0" borderId="7" xfId="0" applyNumberFormat="1" applyFont="1" applyFill="1" applyBorder="1" applyAlignment="1">
      <alignment horizontal="center"/>
    </xf>
    <xf numFmtId="44" fontId="8" fillId="0" borderId="81" xfId="0" applyNumberFormat="1" applyFont="1" applyFill="1" applyBorder="1" applyAlignment="1">
      <alignment horizontal="center"/>
    </xf>
    <xf numFmtId="16" fontId="8" fillId="0" borderId="7" xfId="0" quotePrefix="1" applyNumberFormat="1" applyFont="1" applyFill="1" applyBorder="1" applyAlignment="1">
      <alignment horizontal="center"/>
    </xf>
    <xf numFmtId="0" fontId="8" fillId="0" borderId="62" xfId="0" applyFont="1" applyFill="1" applyBorder="1" applyAlignment="1">
      <alignment horizontal="center" vertical="top" wrapText="1"/>
    </xf>
    <xf numFmtId="0" fontId="8" fillId="0" borderId="61" xfId="0" applyFont="1" applyFill="1" applyBorder="1" applyAlignment="1">
      <alignment horizontal="center" vertical="top" wrapText="1"/>
    </xf>
    <xf numFmtId="0" fontId="8" fillId="0" borderId="63" xfId="0" applyFont="1" applyFill="1" applyBorder="1" applyAlignment="1">
      <alignment horizontal="center" vertical="top" wrapText="1"/>
    </xf>
    <xf numFmtId="0" fontId="8" fillId="0" borderId="12"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13" xfId="0" applyFont="1" applyFill="1" applyBorder="1" applyAlignment="1">
      <alignment horizontal="center" wrapText="1"/>
    </xf>
    <xf numFmtId="16" fontId="8" fillId="0" borderId="67" xfId="0" quotePrefix="1" applyNumberFormat="1" applyFont="1" applyFill="1" applyBorder="1" applyAlignment="1">
      <alignment horizontal="center"/>
    </xf>
    <xf numFmtId="166" fontId="8" fillId="0" borderId="67" xfId="0" applyNumberFormat="1" applyFont="1" applyFill="1" applyBorder="1"/>
    <xf numFmtId="166" fontId="8" fillId="0" borderId="68" xfId="0" applyNumberFormat="1" applyFont="1" applyFill="1" applyBorder="1"/>
    <xf numFmtId="44" fontId="8" fillId="0" borderId="68" xfId="0" applyNumberFormat="1" applyFont="1" applyFill="1" applyBorder="1"/>
    <xf numFmtId="172" fontId="8" fillId="0" borderId="94" xfId="0" applyNumberFormat="1" applyFont="1" applyFill="1" applyBorder="1" applyAlignment="1">
      <alignment horizontal="center" wrapText="1"/>
    </xf>
    <xf numFmtId="8" fontId="8" fillId="0" borderId="62" xfId="0" applyNumberFormat="1" applyFont="1" applyFill="1" applyBorder="1" applyAlignment="1">
      <alignment wrapText="1"/>
    </xf>
    <xf numFmtId="0" fontId="8" fillId="0" borderId="7" xfId="0" applyFont="1" applyFill="1" applyBorder="1" applyAlignment="1">
      <alignment wrapText="1"/>
    </xf>
    <xf numFmtId="0" fontId="8" fillId="0" borderId="88" xfId="0" applyFont="1" applyFill="1" applyBorder="1" applyAlignment="1">
      <alignment horizontal="left" vertical="top" wrapText="1"/>
    </xf>
    <xf numFmtId="0" fontId="8" fillId="0" borderId="89" xfId="0" applyFont="1" applyFill="1" applyBorder="1" applyAlignment="1">
      <alignment horizontal="left" vertical="top" wrapText="1"/>
    </xf>
    <xf numFmtId="17" fontId="8" fillId="0" borderId="62" xfId="0" quotePrefix="1" applyNumberFormat="1" applyFont="1" applyFill="1" applyBorder="1" applyAlignment="1">
      <alignment horizontal="center"/>
    </xf>
    <xf numFmtId="0" fontId="8" fillId="0" borderId="98" xfId="0" applyFont="1" applyFill="1" applyBorder="1" applyAlignment="1">
      <alignment horizontal="left"/>
    </xf>
    <xf numFmtId="0" fontId="8" fillId="0" borderId="99" xfId="0" applyFont="1" applyFill="1" applyBorder="1" applyAlignment="1">
      <alignment horizontal="left"/>
    </xf>
    <xf numFmtId="0" fontId="8" fillId="0" borderId="100" xfId="0" applyFont="1" applyFill="1" applyBorder="1" applyAlignment="1">
      <alignment horizontal="left"/>
    </xf>
    <xf numFmtId="44" fontId="8" fillId="0" borderId="0" xfId="0" applyNumberFormat="1" applyFont="1" applyFill="1" applyAlignment="1">
      <alignment horizontal="center"/>
    </xf>
    <xf numFmtId="17" fontId="8" fillId="0" borderId="90" xfId="0" quotePrefix="1" applyNumberFormat="1" applyFont="1" applyFill="1" applyBorder="1" applyAlignment="1">
      <alignment horizontal="center"/>
    </xf>
    <xf numFmtId="0" fontId="8" fillId="0" borderId="68" xfId="0" applyFont="1" applyFill="1" applyBorder="1" applyAlignment="1">
      <alignment horizontal="left"/>
    </xf>
    <xf numFmtId="2" fontId="8" fillId="0" borderId="67" xfId="0" applyNumberFormat="1" applyFont="1" applyFill="1" applyBorder="1" applyAlignment="1">
      <alignment horizontal="center"/>
    </xf>
    <xf numFmtId="44" fontId="8" fillId="0" borderId="67" xfId="0" applyNumberFormat="1" applyFont="1" applyFill="1" applyBorder="1" applyAlignment="1">
      <alignment horizontal="center"/>
    </xf>
    <xf numFmtId="0" fontId="8" fillId="0" borderId="70" xfId="0" applyFont="1" applyFill="1" applyBorder="1" applyAlignment="1">
      <alignment horizontal="left"/>
    </xf>
    <xf numFmtId="44" fontId="0" fillId="0" borderId="94" xfId="2" applyFont="1" applyFill="1" applyBorder="1"/>
    <xf numFmtId="0" fontId="0" fillId="0" borderId="94" xfId="0" applyFill="1" applyBorder="1"/>
    <xf numFmtId="44" fontId="0" fillId="0" borderId="94" xfId="0" applyNumberFormat="1" applyFill="1" applyBorder="1"/>
    <xf numFmtId="44" fontId="0" fillId="0" borderId="0" xfId="0" applyNumberFormat="1" applyFill="1"/>
    <xf numFmtId="4" fontId="8" fillId="0" borderId="94" xfId="0" applyNumberFormat="1" applyFont="1" applyFill="1" applyBorder="1" applyAlignment="1">
      <alignment wrapText="1"/>
    </xf>
    <xf numFmtId="164" fontId="8" fillId="0" borderId="94" xfId="0" applyNumberFormat="1" applyFont="1" applyFill="1" applyBorder="1" applyAlignment="1">
      <alignment wrapText="1"/>
    </xf>
    <xf numFmtId="164" fontId="8" fillId="0" borderId="94" xfId="0" applyNumberFormat="1" applyFont="1" applyFill="1" applyBorder="1"/>
    <xf numFmtId="164" fontId="10" fillId="0" borderId="94" xfId="0" applyNumberFormat="1" applyFont="1" applyFill="1" applyBorder="1" applyAlignment="1">
      <alignment horizontal="right"/>
    </xf>
    <xf numFmtId="8" fontId="8" fillId="0" borderId="94" xfId="2" applyNumberFormat="1" applyFont="1" applyFill="1" applyBorder="1" applyAlignment="1">
      <alignment horizontal="center"/>
    </xf>
    <xf numFmtId="165" fontId="8" fillId="0" borderId="61" xfId="0" applyNumberFormat="1" applyFont="1" applyFill="1" applyBorder="1" applyAlignment="1">
      <alignment horizontal="center" wrapText="1"/>
    </xf>
    <xf numFmtId="0" fontId="8" fillId="0" borderId="88" xfId="0" applyFont="1" applyFill="1" applyBorder="1" applyAlignment="1">
      <alignment horizontal="left"/>
    </xf>
    <xf numFmtId="0" fontId="8" fillId="0" borderId="89" xfId="0" applyFont="1" applyFill="1" applyBorder="1" applyAlignment="1">
      <alignment horizontal="left"/>
    </xf>
    <xf numFmtId="17" fontId="8" fillId="0" borderId="67" xfId="0" quotePrefix="1" applyNumberFormat="1" applyFont="1" applyFill="1" applyBorder="1" applyAlignment="1">
      <alignment horizontal="center"/>
    </xf>
    <xf numFmtId="3" fontId="8" fillId="0" borderId="7" xfId="0" applyNumberFormat="1" applyFont="1" applyFill="1" applyBorder="1" applyAlignment="1">
      <alignment horizontal="center"/>
    </xf>
    <xf numFmtId="191" fontId="8" fillId="0" borderId="12" xfId="0" applyNumberFormat="1" applyFont="1" applyFill="1" applyBorder="1" applyAlignment="1">
      <alignment horizontal="center"/>
    </xf>
    <xf numFmtId="181" fontId="8" fillId="0" borderId="7" xfId="0" applyNumberFormat="1" applyFont="1" applyFill="1" applyBorder="1" applyAlignment="1">
      <alignment horizontal="right"/>
    </xf>
    <xf numFmtId="185" fontId="8" fillId="0" borderId="7" xfId="0" applyNumberFormat="1" applyFont="1" applyFill="1" applyBorder="1" applyAlignment="1">
      <alignment horizontal="center"/>
    </xf>
    <xf numFmtId="177" fontId="8" fillId="0" borderId="7" xfId="0" applyNumberFormat="1" applyFont="1" applyFill="1" applyBorder="1" applyAlignment="1">
      <alignment horizontal="center"/>
    </xf>
    <xf numFmtId="185" fontId="8" fillId="0" borderId="94" xfId="0" applyNumberFormat="1" applyFont="1" applyFill="1" applyBorder="1" applyAlignment="1">
      <alignment horizontal="center"/>
    </xf>
    <xf numFmtId="8" fontId="8" fillId="0" borderId="61" xfId="2" applyNumberFormat="1" applyFont="1" applyFill="1" applyBorder="1" applyAlignment="1"/>
    <xf numFmtId="0" fontId="8" fillId="0" borderId="12" xfId="0" applyFont="1" applyFill="1" applyBorder="1" applyAlignment="1">
      <alignment horizontal="center" wrapText="1"/>
    </xf>
    <xf numFmtId="193" fontId="8" fillId="0" borderId="68" xfId="0" applyNumberFormat="1" applyFont="1" applyFill="1" applyBorder="1"/>
    <xf numFmtId="172" fontId="8" fillId="0" borderId="62" xfId="0" applyNumberFormat="1" applyFont="1" applyFill="1" applyBorder="1" applyAlignment="1">
      <alignment horizontal="center"/>
    </xf>
    <xf numFmtId="172" fontId="8" fillId="0" borderId="12" xfId="0" applyNumberFormat="1" applyFont="1" applyFill="1" applyBorder="1" applyAlignment="1">
      <alignment horizontal="center"/>
    </xf>
    <xf numFmtId="172" fontId="8" fillId="0" borderId="79" xfId="0" applyNumberFormat="1" applyFont="1" applyFill="1" applyBorder="1" applyAlignment="1">
      <alignment horizontal="center"/>
    </xf>
    <xf numFmtId="172" fontId="14" fillId="0" borderId="0" xfId="0" applyNumberFormat="1" applyFont="1" applyFill="1" applyAlignment="1">
      <alignment horizontal="center"/>
    </xf>
    <xf numFmtId="37" fontId="8" fillId="0" borderId="12" xfId="0" applyNumberFormat="1" applyFont="1" applyFill="1" applyBorder="1" applyAlignment="1">
      <alignment horizontal="center"/>
    </xf>
    <xf numFmtId="0" fontId="8" fillId="0" borderId="62" xfId="0" applyFont="1" applyFill="1" applyBorder="1" applyAlignment="1">
      <alignment horizontal="right"/>
    </xf>
    <xf numFmtId="0" fontId="8" fillId="0" borderId="67" xfId="0" applyFont="1" applyFill="1" applyBorder="1" applyAlignment="1">
      <alignment wrapText="1"/>
    </xf>
    <xf numFmtId="0" fontId="8" fillId="0" borderId="67" xfId="0" applyFont="1" applyFill="1" applyBorder="1" applyAlignment="1">
      <alignment vertical="top" wrapText="1"/>
    </xf>
    <xf numFmtId="44" fontId="8" fillId="0" borderId="7" xfId="0" applyNumberFormat="1" applyFont="1" applyFill="1" applyBorder="1" applyAlignment="1">
      <alignment horizontal="right"/>
    </xf>
    <xf numFmtId="170" fontId="8" fillId="0" borderId="12" xfId="0" applyNumberFormat="1" applyFont="1" applyFill="1" applyBorder="1" applyAlignment="1">
      <alignment horizontal="center"/>
    </xf>
    <xf numFmtId="2" fontId="8" fillId="0" borderId="94" xfId="0" applyNumberFormat="1" applyFont="1" applyFill="1" applyBorder="1" applyAlignment="1">
      <alignment vertical="center"/>
    </xf>
    <xf numFmtId="44" fontId="8" fillId="0" borderId="67" xfId="0" applyNumberFormat="1" applyFont="1" applyFill="1" applyBorder="1" applyAlignment="1">
      <alignment vertical="center" wrapText="1"/>
    </xf>
    <xf numFmtId="0" fontId="8" fillId="0" borderId="67" xfId="0" applyFont="1" applyFill="1" applyBorder="1" applyAlignment="1">
      <alignment vertical="center" wrapText="1"/>
    </xf>
    <xf numFmtId="2" fontId="8" fillId="0" borderId="63" xfId="0" applyNumberFormat="1" applyFont="1" applyFill="1" applyBorder="1" applyAlignment="1">
      <alignment vertical="center"/>
    </xf>
    <xf numFmtId="0" fontId="8" fillId="0" borderId="17" xfId="0" applyFont="1" applyFill="1" applyBorder="1" applyAlignment="1">
      <alignment horizontal="center" wrapText="1"/>
    </xf>
    <xf numFmtId="0" fontId="10" fillId="0" borderId="16" xfId="0" applyFont="1" applyFill="1" applyBorder="1" applyAlignment="1">
      <alignment horizontal="center" vertical="center"/>
    </xf>
    <xf numFmtId="0" fontId="10" fillId="0" borderId="17" xfId="0" applyFont="1" applyFill="1" applyBorder="1" applyAlignment="1">
      <alignment horizontal="center" vertical="center"/>
    </xf>
    <xf numFmtId="0" fontId="8" fillId="0" borderId="79" xfId="0" applyFont="1" applyFill="1" applyBorder="1" applyAlignment="1">
      <alignment horizontal="center" vertical="center" wrapText="1"/>
    </xf>
    <xf numFmtId="0" fontId="10" fillId="0" borderId="81"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0" fillId="0" borderId="64" xfId="0" applyFont="1" applyFill="1" applyBorder="1" applyAlignment="1">
      <alignment horizontal="center" vertical="center"/>
    </xf>
    <xf numFmtId="0" fontId="10" fillId="0" borderId="65" xfId="0" applyFont="1" applyFill="1" applyBorder="1" applyAlignment="1">
      <alignment horizontal="center" vertical="center"/>
    </xf>
    <xf numFmtId="0" fontId="8" fillId="0" borderId="60" xfId="0" applyFont="1" applyFill="1" applyBorder="1" applyAlignment="1">
      <alignment vertical="center"/>
    </xf>
    <xf numFmtId="3" fontId="12" fillId="0" borderId="62" xfId="0" applyNumberFormat="1" applyFont="1" applyFill="1" applyBorder="1"/>
    <xf numFmtId="3" fontId="12" fillId="0" borderId="12" xfId="0" applyNumberFormat="1" applyFont="1" applyFill="1" applyBorder="1"/>
    <xf numFmtId="8" fontId="12" fillId="0" borderId="94" xfId="0" applyNumberFormat="1" applyFont="1" applyFill="1" applyBorder="1"/>
    <xf numFmtId="0" fontId="10" fillId="0" borderId="94" xfId="0" applyFont="1" applyFill="1" applyBorder="1" applyAlignment="1">
      <alignment horizontal="center" vertical="center" wrapText="1"/>
    </xf>
    <xf numFmtId="0" fontId="10" fillId="0" borderId="90" xfId="0" applyFont="1" applyFill="1" applyBorder="1" applyAlignment="1">
      <alignment horizontal="center" vertical="center" wrapText="1"/>
    </xf>
    <xf numFmtId="0" fontId="8" fillId="0" borderId="90"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3" xfId="0" applyFont="1" applyFill="1" applyBorder="1" applyAlignment="1">
      <alignment horizontal="left" vertical="top" wrapText="1"/>
    </xf>
    <xf numFmtId="166" fontId="8" fillId="0" borderId="63" xfId="0" applyNumberFormat="1" applyFont="1" applyFill="1" applyBorder="1" applyAlignment="1">
      <alignment horizontal="right"/>
    </xf>
    <xf numFmtId="0" fontId="8" fillId="0" borderId="13" xfId="0" applyFont="1" applyFill="1" applyBorder="1" applyAlignment="1">
      <alignment horizontal="center" vertical="center"/>
    </xf>
    <xf numFmtId="44" fontId="8" fillId="0" borderId="72" xfId="0" applyNumberFormat="1" applyFont="1" applyFill="1" applyBorder="1"/>
    <xf numFmtId="0" fontId="10" fillId="0" borderId="94" xfId="0" applyFont="1" applyFill="1" applyBorder="1" applyAlignment="1">
      <alignment horizontal="left" vertical="center"/>
    </xf>
    <xf numFmtId="0" fontId="10" fillId="0" borderId="12" xfId="0" applyFont="1" applyFill="1" applyBorder="1" applyAlignment="1">
      <alignment horizontal="center" wrapText="1"/>
    </xf>
    <xf numFmtId="0" fontId="10" fillId="0" borderId="94" xfId="0" applyFont="1" applyFill="1" applyBorder="1" applyAlignment="1">
      <alignment horizontal="left"/>
    </xf>
    <xf numFmtId="164" fontId="8" fillId="0" borderId="7" xfId="0" applyNumberFormat="1" applyFont="1" applyFill="1" applyBorder="1" applyAlignment="1">
      <alignment horizontal="center" vertical="center"/>
    </xf>
    <xf numFmtId="8" fontId="12" fillId="0" borderId="94" xfId="0" applyNumberFormat="1" applyFont="1" applyFill="1" applyBorder="1" applyAlignment="1">
      <alignment wrapText="1"/>
    </xf>
    <xf numFmtId="2" fontId="8" fillId="0" borderId="94" xfId="0" applyNumberFormat="1" applyFont="1" applyFill="1" applyBorder="1" applyAlignment="1">
      <alignment vertical="center" wrapText="1"/>
    </xf>
    <xf numFmtId="0" fontId="8" fillId="0" borderId="94" xfId="0" quotePrefix="1" applyFont="1" applyFill="1" applyBorder="1" applyAlignment="1">
      <alignment horizontal="left"/>
    </xf>
    <xf numFmtId="0" fontId="8" fillId="0" borderId="9" xfId="0" applyFont="1" applyFill="1" applyBorder="1" applyAlignment="1">
      <alignment horizontal="left"/>
    </xf>
    <xf numFmtId="0" fontId="8" fillId="0" borderId="10" xfId="0" applyFont="1" applyFill="1" applyBorder="1" applyAlignment="1">
      <alignment horizontal="left"/>
    </xf>
    <xf numFmtId="0" fontId="8" fillId="0" borderId="11" xfId="0" applyFont="1" applyFill="1" applyBorder="1" applyAlignment="1">
      <alignment horizontal="left"/>
    </xf>
    <xf numFmtId="0" fontId="10" fillId="0" borderId="63" xfId="0" applyFont="1" applyFill="1" applyBorder="1" applyAlignment="1">
      <alignment wrapText="1"/>
    </xf>
    <xf numFmtId="167" fontId="8" fillId="0" borderId="12" xfId="0" applyNumberFormat="1" applyFont="1" applyFill="1" applyBorder="1" applyAlignment="1">
      <alignment horizontal="center"/>
    </xf>
    <xf numFmtId="9" fontId="8" fillId="0" borderId="12" xfId="0" applyNumberFormat="1" applyFont="1" applyFill="1" applyBorder="1" applyAlignment="1">
      <alignment horizontal="center"/>
    </xf>
    <xf numFmtId="0" fontId="8" fillId="0" borderId="1" xfId="0" applyFont="1" applyFill="1" applyBorder="1" applyAlignment="1">
      <alignment horizontal="center"/>
    </xf>
    <xf numFmtId="44" fontId="8" fillId="0" borderId="7" xfId="0" applyNumberFormat="1" applyFont="1" applyFill="1" applyBorder="1" applyAlignment="1">
      <alignment horizontal="center" wrapText="1"/>
    </xf>
    <xf numFmtId="164" fontId="8" fillId="0" borderId="7" xfId="0" applyNumberFormat="1" applyFont="1" applyFill="1" applyBorder="1" applyAlignment="1">
      <alignment horizontal="center" wrapText="1"/>
    </xf>
    <xf numFmtId="44" fontId="8" fillId="0" borderId="65" xfId="0" applyNumberFormat="1" applyFont="1" applyFill="1" applyBorder="1" applyAlignment="1">
      <alignment wrapText="1"/>
    </xf>
    <xf numFmtId="0" fontId="10" fillId="0" borderId="79" xfId="0" applyFont="1" applyFill="1" applyBorder="1" applyAlignment="1">
      <alignment horizontal="center" vertical="center"/>
    </xf>
    <xf numFmtId="0" fontId="8" fillId="0" borderId="79" xfId="0" applyFont="1" applyFill="1" applyBorder="1" applyAlignment="1">
      <alignment horizontal="center" vertical="center"/>
    </xf>
    <xf numFmtId="0" fontId="8" fillId="0" borderId="91" xfId="0" applyFont="1" applyFill="1" applyBorder="1" applyAlignment="1">
      <alignment horizontal="center" vertical="center" wrapText="1"/>
    </xf>
    <xf numFmtId="0" fontId="10" fillId="0" borderId="91" xfId="0" applyFont="1" applyFill="1" applyBorder="1" applyAlignment="1">
      <alignment horizontal="center" vertical="center"/>
    </xf>
    <xf numFmtId="0" fontId="8" fillId="0" borderId="91" xfId="0" applyFont="1" applyFill="1" applyBorder="1" applyAlignment="1">
      <alignment vertical="center"/>
    </xf>
    <xf numFmtId="16" fontId="12" fillId="0" borderId="65" xfId="0" quotePrefix="1" applyNumberFormat="1" applyFont="1" applyFill="1" applyBorder="1" applyAlignment="1">
      <alignment horizontal="center"/>
    </xf>
    <xf numFmtId="44" fontId="12" fillId="0" borderId="65" xfId="0" applyNumberFormat="1" applyFont="1" applyFill="1" applyBorder="1" applyAlignment="1">
      <alignment horizontal="center"/>
    </xf>
    <xf numFmtId="0" fontId="12" fillId="0" borderId="7" xfId="0" applyFont="1" applyFill="1" applyBorder="1"/>
    <xf numFmtId="0" fontId="69" fillId="0" borderId="62" xfId="0" applyFont="1" applyFill="1" applyBorder="1" applyAlignment="1">
      <alignment horizontal="left"/>
    </xf>
    <xf numFmtId="44" fontId="8" fillId="0" borderId="63" xfId="0" applyNumberFormat="1" applyFont="1" applyFill="1" applyBorder="1" applyAlignment="1">
      <alignment horizontal="left"/>
    </xf>
    <xf numFmtId="178" fontId="8" fillId="0" borderId="12" xfId="0" applyNumberFormat="1" applyFont="1" applyFill="1" applyBorder="1" applyAlignment="1">
      <alignment horizontal="center"/>
    </xf>
    <xf numFmtId="178" fontId="8" fillId="0" borderId="62" xfId="0" applyNumberFormat="1" applyFont="1" applyFill="1" applyBorder="1" applyAlignment="1">
      <alignment horizontal="center"/>
    </xf>
    <xf numFmtId="177" fontId="8" fillId="0" borderId="94" xfId="0" applyNumberFormat="1" applyFont="1" applyFill="1" applyBorder="1"/>
    <xf numFmtId="10" fontId="8" fillId="0" borderId="94" xfId="0" applyNumberFormat="1" applyFont="1" applyFill="1" applyBorder="1" applyAlignment="1">
      <alignment horizontal="center"/>
    </xf>
    <xf numFmtId="0" fontId="8" fillId="0" borderId="103" xfId="0" applyFont="1" applyBorder="1" applyAlignment="1">
      <alignment horizontal="center"/>
    </xf>
    <xf numFmtId="3" fontId="8" fillId="0" borderId="103" xfId="0" applyNumberFormat="1" applyFont="1" applyFill="1" applyBorder="1" applyAlignment="1">
      <alignment vertical="center" wrapText="1"/>
    </xf>
    <xf numFmtId="8" fontId="8" fillId="0" borderId="103" xfId="0" applyNumberFormat="1" applyFont="1" applyFill="1" applyBorder="1" applyAlignment="1">
      <alignment horizontal="right" vertical="center"/>
    </xf>
    <xf numFmtId="8" fontId="8" fillId="0" borderId="103" xfId="0" applyNumberFormat="1" applyFont="1" applyFill="1" applyBorder="1" applyAlignment="1">
      <alignment vertical="center" wrapText="1"/>
    </xf>
    <xf numFmtId="8" fontId="75" fillId="0" borderId="67" xfId="0" applyNumberFormat="1" applyFont="1" applyFill="1" applyBorder="1" applyAlignment="1">
      <alignment horizontal="right" vertical="center"/>
    </xf>
    <xf numFmtId="8" fontId="74" fillId="0" borderId="67" xfId="0" applyNumberFormat="1" applyFont="1" applyFill="1" applyBorder="1" applyAlignment="1">
      <alignment horizontal="right" vertical="center"/>
    </xf>
    <xf numFmtId="0" fontId="8" fillId="0" borderId="63" xfId="0" applyFont="1" applyFill="1" applyBorder="1" applyAlignment="1">
      <alignment horizontal="center" vertical="center"/>
    </xf>
    <xf numFmtId="44" fontId="8" fillId="0" borderId="103" xfId="2" applyFont="1" applyFill="1" applyBorder="1"/>
    <xf numFmtId="0" fontId="0" fillId="0" borderId="103" xfId="0" applyBorder="1" applyAlignment="1">
      <alignment vertical="top"/>
    </xf>
    <xf numFmtId="0" fontId="0" fillId="0" borderId="103" xfId="0" applyBorder="1" applyAlignment="1">
      <alignment horizontal="left" vertical="center"/>
    </xf>
    <xf numFmtId="0" fontId="0" fillId="0" borderId="103" xfId="0" applyBorder="1" applyAlignment="1">
      <alignment horizontal="center" vertical="center" wrapText="1"/>
    </xf>
    <xf numFmtId="0" fontId="0" fillId="0" borderId="103" xfId="0" applyBorder="1" applyAlignment="1">
      <alignment wrapText="1"/>
    </xf>
    <xf numFmtId="0" fontId="0" fillId="0" borderId="103" xfId="0" applyBorder="1"/>
    <xf numFmtId="0" fontId="8" fillId="0" borderId="103" xfId="0" applyFont="1" applyBorder="1"/>
    <xf numFmtId="0" fontId="8" fillId="0" borderId="63" xfId="0" applyFont="1" applyFill="1" applyBorder="1" applyAlignment="1">
      <alignment horizontal="left" wrapText="1"/>
    </xf>
    <xf numFmtId="0" fontId="8" fillId="0" borderId="94" xfId="0" applyFont="1" applyFill="1" applyBorder="1" applyAlignment="1">
      <alignment horizontal="center" vertical="center" wrapText="1"/>
    </xf>
    <xf numFmtId="0" fontId="8" fillId="0" borderId="62" xfId="0" applyFont="1" applyFill="1" applyBorder="1" applyAlignment="1">
      <alignment horizontal="center"/>
    </xf>
    <xf numFmtId="0" fontId="8" fillId="0" borderId="63" xfId="0" applyFont="1" applyFill="1" applyBorder="1" applyAlignment="1">
      <alignment horizontal="center" vertical="center"/>
    </xf>
    <xf numFmtId="0" fontId="8" fillId="0" borderId="12"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8" fillId="0" borderId="103" xfId="0" applyFont="1" applyFill="1" applyBorder="1" applyAlignment="1">
      <alignment horizontal="left"/>
    </xf>
    <xf numFmtId="0" fontId="8" fillId="0" borderId="0" xfId="0" applyFont="1" applyFill="1" applyAlignment="1">
      <alignment horizontal="left" vertical="center"/>
    </xf>
    <xf numFmtId="0" fontId="8" fillId="0" borderId="62" xfId="0" applyFont="1" applyFill="1" applyBorder="1" applyAlignment="1">
      <alignment horizontal="center" vertical="center" wrapText="1"/>
    </xf>
    <xf numFmtId="0" fontId="10" fillId="0" borderId="62" xfId="0" applyFont="1" applyFill="1" applyBorder="1" applyAlignment="1">
      <alignment horizontal="center" vertical="center"/>
    </xf>
    <xf numFmtId="0" fontId="10" fillId="0" borderId="63" xfId="0" applyFont="1" applyFill="1" applyBorder="1" applyAlignment="1">
      <alignment horizontal="center" vertical="center"/>
    </xf>
    <xf numFmtId="0" fontId="8" fillId="0" borderId="94" xfId="0" applyFont="1" applyFill="1" applyBorder="1" applyAlignment="1">
      <alignment horizontal="left" wrapText="1"/>
    </xf>
    <xf numFmtId="0" fontId="10" fillId="0" borderId="94" xfId="0" applyFont="1" applyFill="1" applyBorder="1" applyAlignment="1">
      <alignment horizontal="center" wrapText="1"/>
    </xf>
    <xf numFmtId="0" fontId="8" fillId="0" borderId="63" xfId="0" applyFont="1" applyFill="1" applyBorder="1" applyAlignment="1">
      <alignment horizontal="center"/>
    </xf>
    <xf numFmtId="0" fontId="10" fillId="0" borderId="94" xfId="0" applyFont="1" applyFill="1" applyBorder="1" applyAlignment="1">
      <alignment horizontal="center"/>
    </xf>
    <xf numFmtId="0" fontId="8" fillId="0" borderId="62" xfId="0" applyFont="1" applyFill="1" applyBorder="1" applyAlignment="1">
      <alignment horizontal="center" vertical="center"/>
    </xf>
    <xf numFmtId="0" fontId="8" fillId="0" borderId="63"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103" xfId="0" applyFont="1" applyFill="1" applyBorder="1" applyAlignment="1">
      <alignment horizontal="center" wrapText="1"/>
    </xf>
    <xf numFmtId="0" fontId="10" fillId="0" borderId="103" xfId="0" applyFont="1" applyFill="1" applyBorder="1" applyAlignment="1">
      <alignment horizontal="center"/>
    </xf>
    <xf numFmtId="0" fontId="8" fillId="0" borderId="103" xfId="0" applyFont="1" applyFill="1" applyBorder="1" applyAlignment="1">
      <alignment horizontal="center"/>
    </xf>
    <xf numFmtId="44" fontId="8" fillId="0" borderId="103" xfId="2" applyFont="1" applyFill="1" applyBorder="1" applyAlignment="1">
      <alignment horizontal="center"/>
    </xf>
    <xf numFmtId="2" fontId="8" fillId="0" borderId="103" xfId="2" applyNumberFormat="1" applyFont="1" applyFill="1" applyBorder="1" applyAlignment="1">
      <alignment horizontal="center" vertical="center"/>
    </xf>
    <xf numFmtId="3" fontId="8" fillId="0" borderId="1" xfId="0" applyNumberFormat="1" applyFont="1" applyFill="1" applyBorder="1" applyAlignment="1">
      <alignment horizontal="right" vertical="center"/>
    </xf>
    <xf numFmtId="164" fontId="8" fillId="0" borderId="0" xfId="0" applyNumberFormat="1" applyFont="1" applyFill="1" applyBorder="1" applyAlignment="1">
      <alignment wrapText="1"/>
    </xf>
    <xf numFmtId="0" fontId="8" fillId="0" borderId="0" xfId="0" applyFont="1" applyFill="1" applyBorder="1"/>
    <xf numFmtId="164" fontId="8" fillId="0" borderId="0" xfId="0" applyNumberFormat="1" applyFont="1" applyFill="1" applyBorder="1" applyAlignment="1">
      <alignment vertical="top" wrapText="1"/>
    </xf>
    <xf numFmtId="0" fontId="8" fillId="0" borderId="103" xfId="0" applyFont="1" applyFill="1" applyBorder="1" applyAlignment="1">
      <alignment wrapText="1"/>
    </xf>
    <xf numFmtId="164" fontId="8" fillId="0" borderId="103" xfId="0" applyNumberFormat="1" applyFont="1" applyFill="1" applyBorder="1" applyAlignment="1">
      <alignment horizontal="right"/>
    </xf>
    <xf numFmtId="2" fontId="8" fillId="0" borderId="103" xfId="0" applyNumberFormat="1" applyFont="1" applyFill="1" applyBorder="1" applyAlignment="1">
      <alignment horizontal="center"/>
    </xf>
    <xf numFmtId="164" fontId="8" fillId="0" borderId="103" xfId="2" applyNumberFormat="1" applyFont="1" applyFill="1" applyBorder="1" applyAlignment="1">
      <alignment horizontal="right"/>
    </xf>
    <xf numFmtId="164" fontId="8" fillId="0" borderId="103" xfId="2" quotePrefix="1" applyNumberFormat="1" applyFont="1" applyFill="1" applyBorder="1" applyAlignment="1">
      <alignment horizontal="right"/>
    </xf>
    <xf numFmtId="0" fontId="8" fillId="0" borderId="103" xfId="0" applyFont="1" applyFill="1" applyBorder="1"/>
    <xf numFmtId="0" fontId="8" fillId="0" borderId="103" xfId="0" applyFont="1" applyFill="1" applyBorder="1" applyAlignment="1">
      <alignment vertical="center" wrapText="1"/>
    </xf>
    <xf numFmtId="166" fontId="8" fillId="0" borderId="103" xfId="0" applyNumberFormat="1" applyFont="1" applyFill="1" applyBorder="1" applyAlignment="1">
      <alignment horizontal="center"/>
    </xf>
    <xf numFmtId="0" fontId="68" fillId="0" borderId="63"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68" fillId="0" borderId="94" xfId="0" applyFont="1" applyFill="1" applyBorder="1" applyAlignment="1">
      <alignment horizontal="center" vertical="center"/>
    </xf>
    <xf numFmtId="0" fontId="68" fillId="0" borderId="81" xfId="0" applyFont="1" applyFill="1" applyBorder="1" applyAlignment="1">
      <alignment horizontal="center" vertical="center"/>
    </xf>
    <xf numFmtId="0" fontId="12" fillId="0" borderId="94" xfId="0" applyFont="1" applyFill="1" applyBorder="1" applyAlignment="1">
      <alignment horizontal="center" vertical="center"/>
    </xf>
    <xf numFmtId="0" fontId="68" fillId="0" borderId="7" xfId="0" applyFont="1" applyFill="1" applyBorder="1" applyAlignment="1">
      <alignment horizontal="center" vertical="center"/>
    </xf>
    <xf numFmtId="0" fontId="10" fillId="0" borderId="85" xfId="0" applyFont="1" applyFill="1" applyBorder="1" applyAlignment="1">
      <alignment horizontal="center" vertical="center"/>
    </xf>
    <xf numFmtId="0" fontId="10" fillId="0" borderId="86" xfId="0" applyFont="1" applyFill="1" applyBorder="1" applyAlignment="1">
      <alignment horizontal="center" vertical="center"/>
    </xf>
    <xf numFmtId="0" fontId="10" fillId="0" borderId="87" xfId="0" applyFont="1" applyFill="1" applyBorder="1" applyAlignment="1">
      <alignment horizontal="center" vertical="center"/>
    </xf>
    <xf numFmtId="0" fontId="10" fillId="0" borderId="12" xfId="0" applyFont="1" applyFill="1" applyBorder="1" applyAlignment="1">
      <alignment vertical="center"/>
    </xf>
    <xf numFmtId="0" fontId="10" fillId="0" borderId="13" xfId="0" applyFont="1" applyFill="1" applyBorder="1" applyAlignment="1">
      <alignment vertical="center"/>
    </xf>
    <xf numFmtId="49" fontId="12" fillId="0" borderId="62" xfId="0" applyNumberFormat="1" applyFont="1" applyFill="1" applyBorder="1" applyAlignment="1">
      <alignment horizontal="left" vertical="center"/>
    </xf>
    <xf numFmtId="49" fontId="12" fillId="0" borderId="61" xfId="0" applyNumberFormat="1" applyFont="1" applyFill="1" applyBorder="1" applyAlignment="1">
      <alignment horizontal="left" vertical="center"/>
    </xf>
    <xf numFmtId="49" fontId="12" fillId="0" borderId="63" xfId="0" applyNumberFormat="1" applyFont="1" applyFill="1" applyBorder="1" applyAlignment="1">
      <alignment horizontal="left" vertical="center"/>
    </xf>
    <xf numFmtId="49" fontId="12" fillId="0" borderId="79" xfId="0" applyNumberFormat="1" applyFont="1" applyFill="1" applyBorder="1" applyAlignment="1">
      <alignment horizontal="left" vertical="center"/>
    </xf>
    <xf numFmtId="49" fontId="12" fillId="0" borderId="0" xfId="0" applyNumberFormat="1" applyFont="1" applyFill="1" applyBorder="1" applyAlignment="1">
      <alignment horizontal="left" vertical="center"/>
    </xf>
    <xf numFmtId="49" fontId="12" fillId="0" borderId="17" xfId="0" applyNumberFormat="1" applyFont="1" applyFill="1" applyBorder="1" applyAlignment="1">
      <alignment horizontal="left" vertical="center"/>
    </xf>
    <xf numFmtId="0" fontId="8" fillId="0" borderId="67" xfId="0" applyFont="1" applyFill="1" applyBorder="1" applyAlignment="1">
      <alignment horizontal="left" wrapText="1"/>
    </xf>
    <xf numFmtId="0" fontId="8" fillId="0" borderId="68" xfId="0" applyFont="1" applyFill="1" applyBorder="1" applyAlignment="1">
      <alignment horizontal="left" wrapText="1"/>
    </xf>
    <xf numFmtId="0" fontId="8" fillId="0" borderId="62" xfId="0" applyFont="1" applyFill="1" applyBorder="1" applyAlignment="1">
      <alignment horizontal="right" vertical="center"/>
    </xf>
    <xf numFmtId="0" fontId="8" fillId="0" borderId="63" xfId="0" applyFont="1" applyFill="1" applyBorder="1" applyAlignment="1">
      <alignment horizontal="right" vertical="center"/>
    </xf>
    <xf numFmtId="0" fontId="10" fillId="0" borderId="94" xfId="0" applyFont="1" applyFill="1" applyBorder="1" applyAlignment="1">
      <alignment horizontal="left" wrapText="1"/>
    </xf>
    <xf numFmtId="0" fontId="8" fillId="0" borderId="94" xfId="0" applyFont="1" applyFill="1" applyBorder="1" applyAlignment="1">
      <alignment horizontal="left" vertical="center" wrapText="1"/>
    </xf>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8" fillId="0" borderId="61" xfId="0" applyFont="1" applyFill="1" applyBorder="1" applyAlignment="1">
      <alignment horizontal="left" vertical="center" wrapText="1"/>
    </xf>
    <xf numFmtId="0" fontId="8" fillId="0" borderId="63" xfId="0" applyFont="1" applyFill="1" applyBorder="1" applyAlignment="1">
      <alignment horizontal="left" vertical="center" wrapText="1"/>
    </xf>
    <xf numFmtId="49" fontId="12" fillId="0" borderId="12" xfId="0" applyNumberFormat="1" applyFont="1" applyFill="1" applyBorder="1" applyAlignment="1">
      <alignment horizontal="left" vertical="center"/>
    </xf>
    <xf numFmtId="49" fontId="12" fillId="0" borderId="1" xfId="0" applyNumberFormat="1" applyFont="1" applyFill="1" applyBorder="1" applyAlignment="1">
      <alignment horizontal="left" vertical="center"/>
    </xf>
    <xf numFmtId="49" fontId="12" fillId="0" borderId="13" xfId="0" applyNumberFormat="1" applyFont="1" applyFill="1" applyBorder="1" applyAlignment="1">
      <alignment horizontal="left" vertical="center"/>
    </xf>
    <xf numFmtId="0" fontId="8" fillId="0" borderId="90" xfId="0" applyFont="1" applyFill="1" applyBorder="1" applyAlignment="1">
      <alignment horizontal="left" wrapText="1"/>
    </xf>
    <xf numFmtId="0" fontId="8" fillId="0" borderId="88" xfId="0" applyFont="1" applyFill="1" applyBorder="1" applyAlignment="1">
      <alignment horizontal="left" wrapText="1"/>
    </xf>
    <xf numFmtId="0" fontId="8" fillId="0" borderId="89" xfId="0" applyFont="1" applyFill="1" applyBorder="1" applyAlignment="1">
      <alignment horizontal="left" wrapText="1"/>
    </xf>
    <xf numFmtId="0" fontId="8" fillId="0" borderId="79" xfId="0" applyFont="1" applyFill="1" applyBorder="1" applyAlignment="1">
      <alignment horizontal="left" wrapText="1"/>
    </xf>
    <xf numFmtId="0" fontId="8" fillId="0" borderId="0" xfId="0" applyFont="1" applyFill="1" applyAlignment="1">
      <alignment horizontal="left" wrapText="1"/>
    </xf>
    <xf numFmtId="0" fontId="8" fillId="0" borderId="17" xfId="0" applyFont="1" applyFill="1" applyBorder="1" applyAlignment="1">
      <alignment horizontal="left" wrapText="1"/>
    </xf>
    <xf numFmtId="0" fontId="8" fillId="0" borderId="0" xfId="0" applyFont="1" applyFill="1" applyBorder="1" applyAlignment="1">
      <alignment horizontal="left" wrapText="1"/>
    </xf>
    <xf numFmtId="44" fontId="8" fillId="0" borderId="94" xfId="0" applyNumberFormat="1" applyFont="1" applyFill="1" applyBorder="1" applyAlignment="1">
      <alignment horizontal="left" wrapText="1"/>
    </xf>
    <xf numFmtId="0" fontId="8" fillId="0" borderId="9" xfId="0" applyFont="1"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166" fontId="8" fillId="0" borderId="62" xfId="0" applyNumberFormat="1" applyFont="1" applyFill="1" applyBorder="1" applyAlignment="1">
      <alignment horizontal="center" wrapText="1"/>
    </xf>
    <xf numFmtId="166" fontId="8" fillId="0" borderId="63" xfId="0" applyNumberFormat="1" applyFont="1" applyFill="1" applyBorder="1" applyAlignment="1">
      <alignment horizontal="center" wrapText="1"/>
    </xf>
    <xf numFmtId="0" fontId="10"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75" fillId="0" borderId="69" xfId="0" applyFont="1" applyFill="1" applyBorder="1" applyAlignment="1">
      <alignment horizontal="left" vertical="center"/>
    </xf>
    <xf numFmtId="0" fontId="75" fillId="0" borderId="75" xfId="0" applyFont="1" applyFill="1" applyBorder="1" applyAlignment="1">
      <alignment horizontal="left" vertical="center"/>
    </xf>
    <xf numFmtId="0" fontId="75" fillId="0" borderId="70" xfId="0" applyFont="1" applyFill="1" applyBorder="1" applyAlignment="1">
      <alignment horizontal="left" vertical="center"/>
    </xf>
    <xf numFmtId="0" fontId="74" fillId="0" borderId="104" xfId="0" applyFont="1" applyFill="1" applyBorder="1" applyAlignment="1">
      <alignment horizontal="left" vertical="center"/>
    </xf>
    <xf numFmtId="0" fontId="74" fillId="0" borderId="105" xfId="0" applyFont="1" applyFill="1" applyBorder="1" applyAlignment="1">
      <alignment horizontal="left" vertical="center"/>
    </xf>
    <xf numFmtId="0" fontId="74" fillId="0" borderId="106" xfId="0" applyFont="1" applyFill="1" applyBorder="1" applyAlignment="1">
      <alignment horizontal="left" vertical="center"/>
    </xf>
    <xf numFmtId="0" fontId="10" fillId="0" borderId="12" xfId="0" applyFont="1" applyFill="1" applyBorder="1" applyAlignment="1">
      <alignment horizontal="center"/>
    </xf>
    <xf numFmtId="0" fontId="10" fillId="0" borderId="13" xfId="0" applyFont="1" applyFill="1" applyBorder="1" applyAlignment="1">
      <alignment horizontal="center"/>
    </xf>
    <xf numFmtId="0" fontId="74" fillId="0" borderId="90" xfId="0" applyFont="1" applyFill="1" applyBorder="1" applyAlignment="1">
      <alignment horizontal="left" vertical="center"/>
    </xf>
    <xf numFmtId="0" fontId="74" fillId="0" borderId="88" xfId="0" applyFont="1" applyFill="1" applyBorder="1" applyAlignment="1">
      <alignment horizontal="left" vertical="center"/>
    </xf>
    <xf numFmtId="0" fontId="74" fillId="0" borderId="92" xfId="0" applyFont="1" applyFill="1" applyBorder="1" applyAlignment="1">
      <alignment horizontal="left" vertical="center"/>
    </xf>
    <xf numFmtId="0" fontId="74" fillId="0" borderId="67" xfId="0" applyFont="1" applyFill="1" applyBorder="1" applyAlignment="1">
      <alignment horizontal="left" vertical="center"/>
    </xf>
    <xf numFmtId="44" fontId="8" fillId="0" borderId="7" xfId="0" applyNumberFormat="1" applyFont="1" applyFill="1" applyBorder="1" applyAlignment="1">
      <alignment horizontal="left" wrapText="1"/>
    </xf>
    <xf numFmtId="166" fontId="8" fillId="0" borderId="12" xfId="0" applyNumberFormat="1" applyFont="1" applyFill="1" applyBorder="1" applyAlignment="1">
      <alignment horizontal="center" wrapText="1"/>
    </xf>
    <xf numFmtId="166" fontId="8" fillId="0" borderId="13" xfId="0" applyNumberFormat="1" applyFont="1" applyFill="1" applyBorder="1" applyAlignment="1">
      <alignment horizontal="center" wrapText="1"/>
    </xf>
    <xf numFmtId="0" fontId="8" fillId="0" borderId="62" xfId="0" applyFont="1" applyFill="1" applyBorder="1" applyAlignment="1">
      <alignment horizontal="left" vertical="center"/>
    </xf>
    <xf numFmtId="0" fontId="8" fillId="0" borderId="61" xfId="0" applyFont="1" applyFill="1" applyBorder="1" applyAlignment="1">
      <alignment horizontal="left" vertical="center"/>
    </xf>
    <xf numFmtId="0" fontId="8" fillId="0" borderId="63" xfId="0" applyFont="1" applyFill="1" applyBorder="1" applyAlignment="1">
      <alignment horizontal="left" vertical="center"/>
    </xf>
    <xf numFmtId="0" fontId="8" fillId="0" borderId="62" xfId="0" quotePrefix="1" applyFont="1" applyFill="1" applyBorder="1" applyAlignment="1">
      <alignment horizontal="left" vertical="top" wrapText="1"/>
    </xf>
    <xf numFmtId="0" fontId="8" fillId="0" borderId="61" xfId="0" quotePrefix="1" applyFont="1" applyFill="1" applyBorder="1" applyAlignment="1">
      <alignment horizontal="left" vertical="top" wrapText="1"/>
    </xf>
    <xf numFmtId="0" fontId="8" fillId="0" borderId="63" xfId="0" quotePrefix="1" applyFont="1" applyFill="1" applyBorder="1" applyAlignment="1">
      <alignment horizontal="left" vertical="top" wrapText="1"/>
    </xf>
    <xf numFmtId="0" fontId="8" fillId="0" borderId="62" xfId="0" applyFont="1" applyFill="1" applyBorder="1" applyAlignment="1">
      <alignment horizontal="left" wrapText="1"/>
    </xf>
    <xf numFmtId="0" fontId="8" fillId="0" borderId="61" xfId="0" applyFont="1" applyFill="1" applyBorder="1" applyAlignment="1">
      <alignment horizontal="left" wrapText="1"/>
    </xf>
    <xf numFmtId="0" fontId="8" fillId="0" borderId="63" xfId="0" applyFont="1" applyFill="1" applyBorder="1" applyAlignment="1">
      <alignment horizontal="left" wrapText="1"/>
    </xf>
    <xf numFmtId="0" fontId="10" fillId="0" borderId="62" xfId="0" applyFont="1" applyFill="1" applyBorder="1" applyAlignment="1">
      <alignment horizontal="right"/>
    </xf>
    <xf numFmtId="0" fontId="10" fillId="0" borderId="61" xfId="0" applyFont="1" applyFill="1" applyBorder="1" applyAlignment="1">
      <alignment horizontal="right"/>
    </xf>
    <xf numFmtId="0" fontId="8" fillId="0" borderId="62" xfId="0" applyFont="1" applyFill="1" applyBorder="1" applyAlignment="1">
      <alignment horizontal="left"/>
    </xf>
    <xf numFmtId="0" fontId="8" fillId="0" borderId="61" xfId="0" applyFont="1" applyFill="1" applyBorder="1" applyAlignment="1">
      <alignment horizontal="left"/>
    </xf>
    <xf numFmtId="0" fontId="8" fillId="0" borderId="63" xfId="0" applyFont="1" applyFill="1" applyBorder="1" applyAlignment="1">
      <alignment horizontal="left"/>
    </xf>
    <xf numFmtId="0" fontId="75" fillId="0" borderId="67" xfId="0" applyFont="1" applyFill="1" applyBorder="1" applyAlignment="1">
      <alignment horizontal="left" vertical="center"/>
    </xf>
    <xf numFmtId="0" fontId="10" fillId="0" borderId="62" xfId="0" applyFont="1" applyFill="1" applyBorder="1" applyAlignment="1">
      <alignment vertical="center" wrapText="1"/>
    </xf>
    <xf numFmtId="0" fontId="10" fillId="0" borderId="63" xfId="0" applyFont="1" applyFill="1" applyBorder="1" applyAlignment="1">
      <alignment vertical="center" wrapText="1"/>
    </xf>
    <xf numFmtId="0" fontId="10" fillId="0" borderId="2"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62" xfId="0" applyFont="1" applyFill="1" applyBorder="1" applyAlignment="1">
      <alignment horizontal="left"/>
    </xf>
    <xf numFmtId="0" fontId="10" fillId="0" borderId="63" xfId="0" applyFont="1" applyFill="1" applyBorder="1" applyAlignment="1">
      <alignment horizontal="left"/>
    </xf>
    <xf numFmtId="0" fontId="12" fillId="0" borderId="62" xfId="0" applyFont="1" applyFill="1" applyBorder="1" applyAlignment="1">
      <alignment vertical="center" wrapText="1"/>
    </xf>
    <xf numFmtId="0" fontId="12" fillId="0" borderId="61" xfId="0" applyFont="1" applyFill="1" applyBorder="1" applyAlignment="1">
      <alignment vertical="center" wrapText="1"/>
    </xf>
    <xf numFmtId="0" fontId="12" fillId="0" borderId="63" xfId="0" applyFont="1" applyFill="1" applyBorder="1" applyAlignment="1">
      <alignment vertical="center" wrapText="1"/>
    </xf>
    <xf numFmtId="0" fontId="12" fillId="0" borderId="94" xfId="0" applyFont="1" applyFill="1" applyBorder="1" applyAlignment="1">
      <alignment vertical="center" wrapText="1"/>
    </xf>
    <xf numFmtId="0" fontId="8" fillId="0" borderId="94" xfId="0" applyFont="1" applyFill="1" applyBorder="1" applyAlignment="1">
      <alignment wrapText="1"/>
    </xf>
    <xf numFmtId="0" fontId="8" fillId="0" borderId="62" xfId="0" applyFont="1" applyFill="1" applyBorder="1" applyAlignment="1">
      <alignment wrapText="1"/>
    </xf>
    <xf numFmtId="0" fontId="8" fillId="0" borderId="62" xfId="0" applyFont="1" applyFill="1" applyBorder="1" applyAlignment="1">
      <alignment horizontal="left" vertical="top" wrapText="1"/>
    </xf>
    <xf numFmtId="0" fontId="8" fillId="0" borderId="61" xfId="0" applyFont="1" applyFill="1" applyBorder="1" applyAlignment="1">
      <alignment horizontal="left" vertical="top" wrapText="1"/>
    </xf>
    <xf numFmtId="0" fontId="8" fillId="0" borderId="63" xfId="0" applyFont="1" applyFill="1" applyBorder="1" applyAlignment="1">
      <alignment horizontal="left" vertical="top" wrapText="1"/>
    </xf>
    <xf numFmtId="0" fontId="10" fillId="0" borderId="24" xfId="0" applyFont="1" applyFill="1" applyBorder="1" applyAlignment="1">
      <alignment vertical="center"/>
    </xf>
    <xf numFmtId="0" fontId="10" fillId="0" borderId="22" xfId="0" applyFont="1" applyFill="1" applyBorder="1" applyAlignment="1">
      <alignment vertical="center"/>
    </xf>
    <xf numFmtId="0" fontId="10" fillId="0" borderId="61" xfId="0" applyFont="1" applyFill="1" applyBorder="1" applyAlignment="1">
      <alignment horizontal="left"/>
    </xf>
    <xf numFmtId="0" fontId="10" fillId="0" borderId="62" xfId="0" applyFont="1" applyFill="1" applyBorder="1" applyAlignment="1">
      <alignment horizontal="center"/>
    </xf>
    <xf numFmtId="0" fontId="10" fillId="0" borderId="63" xfId="0" applyFont="1" applyFill="1" applyBorder="1" applyAlignment="1">
      <alignment horizontal="center"/>
    </xf>
    <xf numFmtId="0" fontId="8" fillId="0" borderId="94" xfId="0" quotePrefix="1" applyFont="1" applyFill="1" applyBorder="1" applyAlignment="1">
      <alignment horizontal="left" vertical="top" wrapText="1"/>
    </xf>
    <xf numFmtId="0" fontId="8" fillId="0" borderId="94" xfId="0" applyFont="1" applyFill="1" applyBorder="1" applyAlignment="1">
      <alignment horizontal="left" vertical="top"/>
    </xf>
    <xf numFmtId="0" fontId="8" fillId="0" borderId="63" xfId="0" applyFont="1" applyFill="1" applyBorder="1" applyAlignment="1">
      <alignment horizontal="center"/>
    </xf>
    <xf numFmtId="0" fontId="10" fillId="0" borderId="9" xfId="0" applyFont="1" applyFill="1" applyBorder="1" applyAlignment="1">
      <alignment horizontal="center"/>
    </xf>
    <xf numFmtId="0" fontId="10" fillId="0" borderId="10" xfId="0" applyFont="1" applyFill="1" applyBorder="1" applyAlignment="1">
      <alignment horizontal="center"/>
    </xf>
    <xf numFmtId="0" fontId="10" fillId="0" borderId="11" xfId="0" applyFont="1" applyFill="1" applyBorder="1" applyAlignment="1">
      <alignment horizontal="center"/>
    </xf>
    <xf numFmtId="0" fontId="68" fillId="0" borderId="2" xfId="0" applyFont="1" applyFill="1" applyBorder="1" applyAlignment="1">
      <alignment horizontal="left" vertical="center" wrapText="1"/>
    </xf>
    <xf numFmtId="0" fontId="8" fillId="0" borderId="94" xfId="0" applyFont="1" applyFill="1" applyBorder="1" applyAlignment="1">
      <alignment horizontal="left" vertical="center"/>
    </xf>
    <xf numFmtId="0" fontId="68" fillId="0" borderId="7" xfId="0" applyFont="1" applyFill="1" applyBorder="1" applyAlignment="1">
      <alignment horizontal="left" vertical="center" wrapText="1"/>
    </xf>
    <xf numFmtId="0" fontId="68" fillId="0" borderId="1" xfId="0" applyFont="1" applyFill="1" applyBorder="1" applyAlignment="1">
      <alignment horizontal="left" vertical="center" wrapText="1"/>
    </xf>
    <xf numFmtId="7" fontId="8" fillId="0" borderId="94" xfId="0" applyNumberFormat="1" applyFont="1" applyFill="1" applyBorder="1" applyAlignment="1">
      <alignment horizontal="center" wrapText="1"/>
    </xf>
    <xf numFmtId="0" fontId="10" fillId="0" borderId="94" xfId="0" applyFont="1" applyFill="1" applyBorder="1" applyAlignment="1">
      <alignment horizontal="center" wrapText="1"/>
    </xf>
    <xf numFmtId="0" fontId="10" fillId="0" borderId="94" xfId="0" applyFont="1" applyFill="1" applyBorder="1" applyAlignment="1">
      <alignment horizontal="center"/>
    </xf>
    <xf numFmtId="0" fontId="10" fillId="0" borderId="62" xfId="0" applyFont="1" applyFill="1" applyBorder="1" applyAlignment="1">
      <alignment vertical="center"/>
    </xf>
    <xf numFmtId="0" fontId="10" fillId="0" borderId="63" xfId="0" applyFont="1" applyFill="1" applyBorder="1" applyAlignment="1">
      <alignment vertical="center"/>
    </xf>
    <xf numFmtId="0" fontId="10" fillId="0" borderId="61"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63" xfId="0" applyFont="1" applyFill="1" applyBorder="1" applyAlignment="1">
      <alignment horizontal="center" vertical="center" wrapText="1"/>
    </xf>
    <xf numFmtId="0" fontId="8" fillId="0" borderId="62" xfId="0" applyFont="1" applyFill="1" applyBorder="1" applyAlignment="1">
      <alignment horizontal="left" vertical="top"/>
    </xf>
    <xf numFmtId="0" fontId="8" fillId="0" borderId="61" xfId="0" applyFont="1" applyFill="1" applyBorder="1" applyAlignment="1">
      <alignment horizontal="left" vertical="top"/>
    </xf>
    <xf numFmtId="0" fontId="8" fillId="0" borderId="63" xfId="0" applyFont="1" applyFill="1" applyBorder="1" applyAlignment="1">
      <alignment horizontal="left" vertical="top"/>
    </xf>
    <xf numFmtId="165" fontId="8" fillId="0" borderId="98" xfId="0" applyNumberFormat="1" applyFont="1" applyFill="1" applyBorder="1" applyAlignment="1">
      <alignment horizontal="left" vertical="top" wrapText="1"/>
    </xf>
    <xf numFmtId="165" fontId="8" fillId="0" borderId="99" xfId="0" applyNumberFormat="1" applyFont="1" applyFill="1" applyBorder="1" applyAlignment="1">
      <alignment horizontal="left" vertical="top" wrapText="1"/>
    </xf>
    <xf numFmtId="165" fontId="8" fillId="0" borderId="100" xfId="0" applyNumberFormat="1" applyFont="1" applyFill="1" applyBorder="1" applyAlignment="1">
      <alignment horizontal="left" vertical="top" wrapText="1"/>
    </xf>
    <xf numFmtId="0" fontId="10" fillId="0" borderId="94" xfId="0" applyFont="1" applyFill="1" applyBorder="1" applyAlignment="1">
      <alignment horizontal="right" vertical="center"/>
    </xf>
    <xf numFmtId="2" fontId="8" fillId="0" borderId="62" xfId="0" applyNumberFormat="1" applyFont="1" applyFill="1" applyBorder="1" applyAlignment="1">
      <alignment horizontal="center" vertical="center" wrapText="1"/>
    </xf>
    <xf numFmtId="2" fontId="8" fillId="0" borderId="63" xfId="0" applyNumberFormat="1" applyFont="1" applyFill="1" applyBorder="1" applyAlignment="1">
      <alignment horizontal="center" vertical="center" wrapText="1"/>
    </xf>
    <xf numFmtId="0" fontId="8" fillId="0" borderId="98" xfId="0" applyFont="1" applyFill="1" applyBorder="1" applyAlignment="1">
      <alignment horizontal="left" vertical="center" wrapText="1"/>
    </xf>
    <xf numFmtId="0" fontId="8" fillId="0" borderId="99" xfId="0" applyFont="1" applyFill="1" applyBorder="1" applyAlignment="1">
      <alignment horizontal="left" vertical="center" wrapText="1"/>
    </xf>
    <xf numFmtId="0" fontId="8" fillId="0" borderId="100" xfId="0" applyFont="1" applyFill="1" applyBorder="1" applyAlignment="1">
      <alignment horizontal="left" vertical="center" wrapText="1"/>
    </xf>
    <xf numFmtId="0" fontId="8" fillId="0" borderId="62" xfId="0" applyFont="1" applyFill="1" applyBorder="1" applyAlignment="1">
      <alignment horizontal="left" vertical="center" wrapText="1"/>
    </xf>
    <xf numFmtId="0" fontId="8" fillId="0" borderId="94" xfId="0" applyFont="1" applyFill="1" applyBorder="1" applyAlignment="1">
      <alignment horizontal="left"/>
    </xf>
    <xf numFmtId="0" fontId="10" fillId="0" borderId="24" xfId="0" applyFont="1" applyFill="1" applyBorder="1" applyAlignment="1">
      <alignment vertical="center" wrapText="1"/>
    </xf>
    <xf numFmtId="0" fontId="10" fillId="0" borderId="22" xfId="0" applyFont="1" applyFill="1" applyBorder="1" applyAlignment="1">
      <alignment vertical="center" wrapText="1"/>
    </xf>
    <xf numFmtId="0" fontId="8" fillId="0" borderId="6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68" fillId="0" borderId="2" xfId="0" applyFont="1" applyFill="1" applyBorder="1" applyAlignment="1">
      <alignment horizontal="center" vertical="center" wrapText="1"/>
    </xf>
    <xf numFmtId="0" fontId="68" fillId="0" borderId="3" xfId="0" applyFont="1" applyFill="1" applyBorder="1" applyAlignment="1">
      <alignment horizontal="center" vertical="center" wrapText="1"/>
    </xf>
    <xf numFmtId="0" fontId="10" fillId="0" borderId="62" xfId="0" applyFont="1" applyFill="1" applyBorder="1" applyAlignment="1">
      <alignment horizontal="center" wrapText="1"/>
    </xf>
    <xf numFmtId="0" fontId="10" fillId="0" borderId="63" xfId="0" applyFont="1" applyFill="1" applyBorder="1" applyAlignment="1">
      <alignment horizontal="center" wrapText="1"/>
    </xf>
    <xf numFmtId="0" fontId="10" fillId="0" borderId="68" xfId="0" applyFont="1" applyFill="1" applyBorder="1" applyAlignment="1">
      <alignment horizontal="right"/>
    </xf>
    <xf numFmtId="0" fontId="8" fillId="0" borderId="98" xfId="0" applyFont="1" applyFill="1" applyBorder="1" applyAlignment="1">
      <alignment horizontal="left"/>
    </xf>
    <xf numFmtId="0" fontId="8" fillId="0" borderId="99" xfId="0" applyFont="1" applyFill="1" applyBorder="1" applyAlignment="1">
      <alignment horizontal="left"/>
    </xf>
    <xf numFmtId="0" fontId="8" fillId="0" borderId="94" xfId="0" applyFont="1" applyFill="1" applyBorder="1" applyAlignment="1">
      <alignment horizontal="left" wrapText="1"/>
    </xf>
    <xf numFmtId="0" fontId="8" fillId="0" borderId="89" xfId="0" applyFont="1" applyFill="1" applyBorder="1" applyAlignment="1">
      <alignment horizontal="center" vertical="center" wrapText="1"/>
    </xf>
    <xf numFmtId="0" fontId="8" fillId="0" borderId="94" xfId="0" applyFont="1" applyFill="1" applyBorder="1" applyAlignment="1">
      <alignment horizontal="right" wrapText="1"/>
    </xf>
    <xf numFmtId="0" fontId="8" fillId="0" borderId="94" xfId="0" applyFont="1" applyFill="1" applyBorder="1" applyAlignment="1">
      <alignment horizontal="right"/>
    </xf>
    <xf numFmtId="0" fontId="69" fillId="0" borderId="62" xfId="0" applyFont="1" applyFill="1" applyBorder="1" applyAlignment="1"/>
    <xf numFmtId="0" fontId="69" fillId="0" borderId="61" xfId="0" applyFont="1" applyFill="1" applyBorder="1" applyAlignment="1"/>
    <xf numFmtId="0" fontId="69" fillId="0" borderId="63" xfId="0" applyFont="1" applyFill="1" applyBorder="1" applyAlignment="1"/>
    <xf numFmtId="0" fontId="8" fillId="0" borderId="61" xfId="0" applyFont="1" applyFill="1" applyBorder="1" applyAlignment="1">
      <alignment wrapText="1"/>
    </xf>
    <xf numFmtId="0" fontId="8" fillId="0" borderId="63" xfId="0" applyFont="1" applyFill="1" applyBorder="1" applyAlignment="1">
      <alignment wrapText="1"/>
    </xf>
    <xf numFmtId="44" fontId="8" fillId="0" borderId="94" xfId="0" applyNumberFormat="1" applyFont="1" applyFill="1" applyBorder="1" applyAlignment="1">
      <alignment horizontal="center" wrapText="1"/>
    </xf>
    <xf numFmtId="0" fontId="8" fillId="0" borderId="98" xfId="0" applyFont="1" applyFill="1" applyBorder="1" applyAlignment="1">
      <alignment horizontal="left" vertical="top" wrapText="1"/>
    </xf>
    <xf numFmtId="0" fontId="8" fillId="0" borderId="99" xfId="0" applyFont="1" applyFill="1" applyBorder="1" applyAlignment="1">
      <alignment horizontal="left" vertical="top" wrapText="1"/>
    </xf>
    <xf numFmtId="0" fontId="8" fillId="0" borderId="100" xfId="0" applyFont="1" applyFill="1" applyBorder="1" applyAlignment="1">
      <alignment horizontal="left" vertical="top" wrapText="1"/>
    </xf>
    <xf numFmtId="0" fontId="10" fillId="0" borderId="62" xfId="0" applyFont="1" applyFill="1" applyBorder="1" applyAlignment="1">
      <alignment horizontal="left" vertical="center" wrapText="1"/>
    </xf>
    <xf numFmtId="0" fontId="10" fillId="0" borderId="63" xfId="0" applyFont="1" applyFill="1" applyBorder="1" applyAlignment="1">
      <alignment horizontal="left" vertical="center" wrapText="1"/>
    </xf>
    <xf numFmtId="0" fontId="67" fillId="0" borderId="57" xfId="0" applyFont="1" applyFill="1" applyBorder="1" applyAlignment="1">
      <alignment horizontal="center" vertical="center" wrapText="1"/>
    </xf>
    <xf numFmtId="0" fontId="67" fillId="0" borderId="37" xfId="0" applyFont="1" applyFill="1" applyBorder="1" applyAlignment="1">
      <alignment horizontal="center" vertical="center" wrapText="1"/>
    </xf>
    <xf numFmtId="0" fontId="67" fillId="0" borderId="58" xfId="0" applyFont="1" applyFill="1" applyBorder="1" applyAlignment="1">
      <alignment horizontal="center" vertical="center" wrapText="1"/>
    </xf>
    <xf numFmtId="0" fontId="67" fillId="0" borderId="18" xfId="0" applyFont="1" applyFill="1" applyBorder="1" applyAlignment="1">
      <alignment horizontal="center" vertical="center" wrapText="1"/>
    </xf>
    <xf numFmtId="0" fontId="67" fillId="0" borderId="20" xfId="0" applyFont="1" applyFill="1" applyBorder="1" applyAlignment="1">
      <alignment horizontal="center" vertical="center" wrapText="1"/>
    </xf>
    <xf numFmtId="0" fontId="67" fillId="0" borderId="26" xfId="0" applyFont="1" applyFill="1" applyBorder="1" applyAlignment="1">
      <alignment horizontal="center" vertical="center" wrapText="1"/>
    </xf>
    <xf numFmtId="166" fontId="8" fillId="0" borderId="62" xfId="0" applyNumberFormat="1" applyFont="1" applyFill="1" applyBorder="1" applyAlignment="1">
      <alignment horizontal="center" vertical="center" wrapText="1"/>
    </xf>
    <xf numFmtId="166" fontId="8" fillId="0" borderId="63" xfId="0" applyNumberFormat="1" applyFont="1" applyFill="1" applyBorder="1" applyAlignment="1">
      <alignment horizontal="center" vertical="center" wrapText="1"/>
    </xf>
    <xf numFmtId="0" fontId="10" fillId="0" borderId="94" xfId="0" applyFont="1" applyFill="1" applyBorder="1" applyAlignment="1">
      <alignment horizontal="center" vertical="center" wrapText="1"/>
    </xf>
    <xf numFmtId="0" fontId="8" fillId="0" borderId="85" xfId="0" applyFont="1" applyFill="1" applyBorder="1" applyAlignment="1">
      <alignment horizontal="center"/>
    </xf>
    <xf numFmtId="0" fontId="8" fillId="0" borderId="86" xfId="0" applyFont="1" applyFill="1" applyBorder="1" applyAlignment="1">
      <alignment horizontal="center"/>
    </xf>
    <xf numFmtId="0" fontId="8" fillId="0" borderId="87" xfId="0" applyFont="1" applyFill="1" applyBorder="1" applyAlignment="1">
      <alignment horizontal="center"/>
    </xf>
    <xf numFmtId="0" fontId="8" fillId="0" borderId="9" xfId="0" applyFont="1" applyFill="1" applyBorder="1" applyAlignment="1">
      <alignment horizontal="left"/>
    </xf>
    <xf numFmtId="0" fontId="8" fillId="0" borderId="10" xfId="0" applyFont="1" applyFill="1" applyBorder="1" applyAlignment="1">
      <alignment horizontal="left"/>
    </xf>
    <xf numFmtId="0" fontId="8" fillId="0" borderId="11" xfId="0" applyFont="1" applyFill="1" applyBorder="1" applyAlignment="1">
      <alignment horizontal="left"/>
    </xf>
    <xf numFmtId="0" fontId="14" fillId="0" borderId="62" xfId="0" applyFont="1" applyFill="1" applyBorder="1" applyAlignment="1">
      <alignment horizontal="left" vertical="top" wrapText="1"/>
    </xf>
    <xf numFmtId="0" fontId="14" fillId="0" borderId="61" xfId="0" applyFont="1" applyFill="1" applyBorder="1" applyAlignment="1">
      <alignment horizontal="left" vertical="top" wrapText="1"/>
    </xf>
    <xf numFmtId="0" fontId="14" fillId="0" borderId="63" xfId="0" applyFont="1" applyFill="1" applyBorder="1" applyAlignment="1">
      <alignment horizontal="left" vertical="top" wrapText="1"/>
    </xf>
    <xf numFmtId="0" fontId="10" fillId="0" borderId="90" xfId="0" applyFont="1" applyFill="1" applyBorder="1" applyAlignment="1">
      <alignment horizontal="center" wrapText="1"/>
    </xf>
    <xf numFmtId="0" fontId="10" fillId="0" borderId="89" xfId="0" applyFont="1" applyFill="1" applyBorder="1" applyAlignment="1">
      <alignment horizontal="center" wrapText="1"/>
    </xf>
    <xf numFmtId="0" fontId="8" fillId="0" borderId="62" xfId="0" applyFont="1" applyFill="1" applyBorder="1" applyAlignment="1">
      <alignment horizontal="right"/>
    </xf>
    <xf numFmtId="0" fontId="8" fillId="0" borderId="61" xfId="0" applyFont="1" applyFill="1" applyBorder="1" applyAlignment="1">
      <alignment horizontal="right"/>
    </xf>
    <xf numFmtId="0" fontId="8" fillId="0" borderId="63" xfId="0" applyFont="1" applyFill="1" applyBorder="1" applyAlignment="1">
      <alignment horizontal="right"/>
    </xf>
    <xf numFmtId="0" fontId="8" fillId="0" borderId="90" xfId="0" applyFont="1" applyFill="1" applyBorder="1" applyAlignment="1">
      <alignment horizontal="left" vertical="center" wrapText="1"/>
    </xf>
    <xf numFmtId="0" fontId="8" fillId="0" borderId="88" xfId="0" applyFont="1" applyFill="1" applyBorder="1" applyAlignment="1">
      <alignment horizontal="left" vertical="center" wrapText="1"/>
    </xf>
    <xf numFmtId="0" fontId="8" fillId="0" borderId="89" xfId="0" applyFont="1" applyFill="1" applyBorder="1" applyAlignment="1">
      <alignment horizontal="left" vertical="center" wrapText="1"/>
    </xf>
    <xf numFmtId="0" fontId="10" fillId="0" borderId="62" xfId="0" applyFont="1" applyFill="1" applyBorder="1" applyAlignment="1">
      <alignment horizontal="left" wrapText="1"/>
    </xf>
    <xf numFmtId="0" fontId="10" fillId="0" borderId="61" xfId="0" applyFont="1" applyFill="1" applyBorder="1" applyAlignment="1">
      <alignment horizontal="left" wrapText="1"/>
    </xf>
    <xf numFmtId="0" fontId="10" fillId="0" borderId="63" xfId="0" applyFont="1" applyFill="1" applyBorder="1" applyAlignment="1">
      <alignment horizontal="left" wrapText="1"/>
    </xf>
    <xf numFmtId="0" fontId="8" fillId="0" borderId="94" xfId="0" applyFont="1" applyFill="1" applyBorder="1" applyAlignment="1"/>
    <xf numFmtId="0" fontId="8" fillId="0" borderId="12" xfId="0" applyFont="1" applyFill="1" applyBorder="1" applyAlignment="1">
      <alignment wrapText="1"/>
    </xf>
    <xf numFmtId="0" fontId="8" fillId="0" borderId="1" xfId="0" applyFont="1" applyFill="1" applyBorder="1" applyAlignment="1"/>
    <xf numFmtId="0" fontId="8" fillId="0" borderId="13" xfId="0" applyFont="1" applyFill="1" applyBorder="1" applyAlignment="1"/>
    <xf numFmtId="0" fontId="8" fillId="0" borderId="94" xfId="0" applyFont="1" applyFill="1" applyBorder="1" applyAlignment="1">
      <alignment horizontal="center" vertical="center" wrapText="1"/>
    </xf>
    <xf numFmtId="0" fontId="12" fillId="0" borderId="62" xfId="0" applyFont="1" applyFill="1" applyBorder="1" applyAlignment="1">
      <alignment horizontal="left" vertical="top" wrapText="1"/>
    </xf>
    <xf numFmtId="0" fontId="12" fillId="0" borderId="61" xfId="0" applyFont="1" applyFill="1" applyBorder="1" applyAlignment="1">
      <alignment horizontal="left" vertical="top" wrapText="1"/>
    </xf>
    <xf numFmtId="0" fontId="12" fillId="0" borderId="63" xfId="0" applyFont="1" applyFill="1" applyBorder="1" applyAlignment="1">
      <alignment horizontal="left" vertical="top" wrapText="1"/>
    </xf>
    <xf numFmtId="0" fontId="8" fillId="0" borderId="98" xfId="0" applyFont="1" applyFill="1" applyBorder="1" applyAlignment="1">
      <alignment horizontal="left" vertical="top"/>
    </xf>
    <xf numFmtId="0" fontId="8" fillId="0" borderId="99" xfId="0" applyFont="1" applyFill="1" applyBorder="1" applyAlignment="1">
      <alignment horizontal="left" vertical="top"/>
    </xf>
    <xf numFmtId="0" fontId="8" fillId="0" borderId="100" xfId="0" applyFont="1" applyFill="1" applyBorder="1" applyAlignment="1">
      <alignment horizontal="left" vertical="top"/>
    </xf>
    <xf numFmtId="0" fontId="8" fillId="0" borderId="21" xfId="0" applyFont="1" applyFill="1" applyBorder="1" applyAlignment="1">
      <alignment horizontal="left" wrapText="1"/>
    </xf>
    <xf numFmtId="0" fontId="8" fillId="0" borderId="20" xfId="0" applyFont="1" applyFill="1" applyBorder="1" applyAlignment="1">
      <alignment horizontal="left" wrapText="1"/>
    </xf>
    <xf numFmtId="0" fontId="8" fillId="0" borderId="19" xfId="0" applyFont="1" applyFill="1" applyBorder="1" applyAlignment="1">
      <alignment horizontal="left" wrapText="1"/>
    </xf>
    <xf numFmtId="0" fontId="10" fillId="0" borderId="2" xfId="0" applyFont="1" applyFill="1" applyBorder="1" applyAlignment="1">
      <alignment horizontal="center" vertical="top" wrapText="1"/>
    </xf>
    <xf numFmtId="0" fontId="10" fillId="0" borderId="22" xfId="0" applyFont="1" applyFill="1" applyBorder="1" applyAlignment="1">
      <alignment horizontal="center" vertical="top" wrapText="1"/>
    </xf>
    <xf numFmtId="2" fontId="8" fillId="0" borderId="62" xfId="0" applyNumberFormat="1" applyFont="1" applyFill="1" applyBorder="1" applyAlignment="1">
      <alignment horizontal="center" wrapText="1"/>
    </xf>
    <xf numFmtId="2" fontId="8" fillId="0" borderId="63" xfId="0" applyNumberFormat="1" applyFont="1" applyFill="1" applyBorder="1" applyAlignment="1">
      <alignment horizontal="center" wrapText="1"/>
    </xf>
    <xf numFmtId="0" fontId="12" fillId="0" borderId="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68" fillId="0" borderId="9" xfId="0" applyFont="1" applyFill="1" applyBorder="1" applyAlignment="1">
      <alignment horizontal="center" vertical="center" wrapText="1"/>
    </xf>
    <xf numFmtId="0" fontId="68" fillId="0" borderId="10" xfId="0" applyFont="1" applyFill="1" applyBorder="1" applyAlignment="1">
      <alignment horizontal="center" vertical="center" wrapText="1"/>
    </xf>
    <xf numFmtId="0" fontId="68" fillId="0" borderId="11" xfId="0" applyFont="1" applyFill="1" applyBorder="1" applyAlignment="1">
      <alignment horizontal="center" vertical="center" wrapText="1"/>
    </xf>
    <xf numFmtId="0" fontId="68" fillId="0" borderId="7"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8" fillId="0" borderId="90" xfId="0" applyFont="1" applyFill="1" applyBorder="1" applyAlignment="1">
      <alignment horizontal="left" vertical="top" wrapText="1"/>
    </xf>
    <xf numFmtId="0" fontId="8" fillId="0" borderId="88" xfId="0" applyFont="1" applyFill="1" applyBorder="1" applyAlignment="1">
      <alignment horizontal="left" vertical="top" wrapText="1"/>
    </xf>
    <xf numFmtId="0" fontId="8" fillId="0" borderId="89"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98" xfId="0" applyFont="1" applyFill="1" applyBorder="1" applyAlignment="1">
      <alignment horizontal="center" wrapText="1"/>
    </xf>
    <xf numFmtId="0" fontId="8" fillId="0" borderId="99" xfId="0" applyFont="1" applyFill="1" applyBorder="1" applyAlignment="1">
      <alignment horizontal="center" wrapText="1"/>
    </xf>
    <xf numFmtId="0" fontId="8" fillId="0" borderId="100" xfId="0" applyFont="1" applyFill="1" applyBorder="1" applyAlignment="1">
      <alignment horizontal="center" wrapText="1"/>
    </xf>
    <xf numFmtId="0" fontId="8" fillId="0" borderId="9"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1" xfId="0" applyFont="1" applyFill="1" applyBorder="1" applyAlignment="1">
      <alignment horizontal="left" vertical="top" wrapText="1"/>
    </xf>
    <xf numFmtId="0" fontId="10" fillId="0" borderId="62" xfId="0" applyFont="1" applyFill="1" applyBorder="1" applyAlignment="1">
      <alignment horizontal="left" vertical="center"/>
    </xf>
    <xf numFmtId="0" fontId="10" fillId="0" borderId="63" xfId="0" applyFont="1" applyFill="1" applyBorder="1" applyAlignment="1">
      <alignment horizontal="left" vertical="center"/>
    </xf>
    <xf numFmtId="0" fontId="10" fillId="0" borderId="6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0" fillId="0" borderId="94" xfId="0" applyFill="1" applyBorder="1" applyAlignment="1">
      <alignment horizontal="left"/>
    </xf>
    <xf numFmtId="0" fontId="8" fillId="0" borderId="90" xfId="0" applyFont="1" applyFill="1" applyBorder="1" applyAlignment="1">
      <alignment horizontal="center"/>
    </xf>
    <xf numFmtId="0" fontId="8" fillId="0" borderId="88" xfId="0" applyFont="1" applyFill="1" applyBorder="1" applyAlignment="1">
      <alignment horizontal="center"/>
    </xf>
    <xf numFmtId="0" fontId="8" fillId="0" borderId="89" xfId="0" applyFont="1" applyFill="1" applyBorder="1" applyAlignment="1">
      <alignment horizontal="center"/>
    </xf>
    <xf numFmtId="0" fontId="8" fillId="0" borderId="12" xfId="0" applyFont="1" applyFill="1" applyBorder="1" applyAlignment="1">
      <alignment horizontal="center"/>
    </xf>
    <xf numFmtId="0" fontId="8" fillId="0" borderId="1" xfId="0" applyFont="1" applyFill="1" applyBorder="1" applyAlignment="1">
      <alignment horizontal="center"/>
    </xf>
    <xf numFmtId="0" fontId="8" fillId="0" borderId="13" xfId="0" applyFont="1" applyFill="1" applyBorder="1" applyAlignment="1">
      <alignment horizontal="center"/>
    </xf>
    <xf numFmtId="0" fontId="8" fillId="0" borderId="62" xfId="0" applyFont="1" applyFill="1" applyBorder="1" applyAlignment="1">
      <alignment horizontal="center" wrapText="1"/>
    </xf>
    <xf numFmtId="0" fontId="8" fillId="0" borderId="61" xfId="0" applyFont="1" applyFill="1" applyBorder="1" applyAlignment="1">
      <alignment horizontal="center" wrapText="1"/>
    </xf>
    <xf numFmtId="0" fontId="8" fillId="0" borderId="63" xfId="0" applyFont="1" applyFill="1" applyBorder="1" applyAlignment="1">
      <alignment horizontal="center" wrapText="1"/>
    </xf>
    <xf numFmtId="166" fontId="8" fillId="0" borderId="62" xfId="0" applyNumberFormat="1" applyFont="1" applyFill="1" applyBorder="1" applyAlignment="1">
      <alignment horizontal="center"/>
    </xf>
    <xf numFmtId="166" fontId="8" fillId="0" borderId="63" xfId="0" applyNumberFormat="1" applyFont="1" applyFill="1" applyBorder="1" applyAlignment="1">
      <alignment horizontal="center"/>
    </xf>
    <xf numFmtId="0" fontId="8" fillId="0" borderId="62" xfId="0" quotePrefix="1" applyFont="1" applyFill="1" applyBorder="1" applyAlignment="1">
      <alignment horizontal="left"/>
    </xf>
    <xf numFmtId="0" fontId="8" fillId="0" borderId="79" xfId="0" applyFont="1" applyFill="1" applyBorder="1" applyAlignment="1">
      <alignment horizontal="left" vertical="top" wrapText="1"/>
    </xf>
    <xf numFmtId="0" fontId="8" fillId="0" borderId="0" xfId="0" applyFont="1" applyFill="1" applyAlignment="1">
      <alignment horizontal="left" vertical="top" wrapText="1"/>
    </xf>
    <xf numFmtId="0" fontId="8" fillId="0" borderId="17"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61" xfId="0" applyFont="1" applyFill="1" applyBorder="1" applyAlignment="1">
      <alignment horizontal="center"/>
    </xf>
    <xf numFmtId="0" fontId="8" fillId="0" borderId="67" xfId="0" applyFont="1" applyFill="1" applyBorder="1" applyAlignment="1">
      <alignment horizontal="center" vertical="center" wrapText="1"/>
    </xf>
    <xf numFmtId="0" fontId="8" fillId="0" borderId="62" xfId="0" applyFont="1" applyFill="1" applyBorder="1" applyAlignment="1">
      <alignment horizontal="center"/>
    </xf>
    <xf numFmtId="0" fontId="8" fillId="0" borderId="63" xfId="0" applyFont="1" applyFill="1" applyBorder="1" applyAlignment="1"/>
    <xf numFmtId="166" fontId="8" fillId="0" borderId="94" xfId="0" applyNumberFormat="1" applyFont="1" applyFill="1" applyBorder="1" applyAlignment="1">
      <alignment horizontal="center" vertical="center" wrapText="1"/>
    </xf>
    <xf numFmtId="166" fontId="8" fillId="0" borderId="61" xfId="0" applyNumberFormat="1" applyFont="1" applyFill="1" applyBorder="1" applyAlignment="1">
      <alignment horizontal="center" vertical="center" wrapText="1"/>
    </xf>
    <xf numFmtId="0" fontId="10" fillId="0" borderId="24"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14" fillId="0" borderId="62" xfId="0" applyFont="1" applyFill="1" applyBorder="1" applyAlignment="1">
      <alignment horizontal="left"/>
    </xf>
    <xf numFmtId="0" fontId="14" fillId="0" borderId="61" xfId="0" applyFont="1" applyFill="1" applyBorder="1" applyAlignment="1">
      <alignment horizontal="left"/>
    </xf>
    <xf numFmtId="0" fontId="14" fillId="0" borderId="63" xfId="0" applyFont="1" applyFill="1" applyBorder="1" applyAlignment="1">
      <alignment horizontal="left"/>
    </xf>
    <xf numFmtId="0" fontId="14" fillId="0" borderId="62" xfId="0" applyFont="1" applyFill="1" applyBorder="1" applyAlignment="1">
      <alignment horizontal="left" wrapText="1"/>
    </xf>
    <xf numFmtId="0" fontId="14" fillId="0" borderId="61" xfId="0" applyFont="1" applyFill="1" applyBorder="1" applyAlignment="1">
      <alignment horizontal="left" wrapText="1"/>
    </xf>
    <xf numFmtId="0" fontId="14" fillId="0" borderId="63" xfId="0" applyFont="1" applyFill="1" applyBorder="1" applyAlignment="1">
      <alignment horizontal="left" wrapText="1"/>
    </xf>
    <xf numFmtId="166" fontId="8" fillId="0" borderId="62" xfId="0" applyNumberFormat="1" applyFont="1" applyFill="1" applyBorder="1" applyAlignment="1">
      <alignment horizontal="right"/>
    </xf>
    <xf numFmtId="166" fontId="8" fillId="0" borderId="63" xfId="0" applyNumberFormat="1" applyFont="1" applyFill="1" applyBorder="1" applyAlignment="1">
      <alignment horizontal="right"/>
    </xf>
    <xf numFmtId="0" fontId="8" fillId="0" borderId="98" xfId="0" applyFont="1" applyFill="1" applyBorder="1" applyAlignment="1">
      <alignment horizontal="left" wrapText="1"/>
    </xf>
    <xf numFmtId="0" fontId="8" fillId="0" borderId="99" xfId="0" applyFont="1" applyFill="1" applyBorder="1" applyAlignment="1">
      <alignment horizontal="left" wrapText="1"/>
    </xf>
    <xf numFmtId="0" fontId="8" fillId="0" borderId="100" xfId="0" applyFont="1" applyFill="1" applyBorder="1" applyAlignment="1">
      <alignment horizontal="left" wrapText="1"/>
    </xf>
    <xf numFmtId="0" fontId="10" fillId="0" borderId="94" xfId="0" applyFont="1" applyFill="1" applyBorder="1" applyAlignment="1">
      <alignment horizontal="left" vertical="center" wrapText="1"/>
    </xf>
    <xf numFmtId="0" fontId="8" fillId="0" borderId="65" xfId="0" applyFont="1" applyFill="1" applyBorder="1" applyAlignment="1">
      <alignment horizontal="left" wrapText="1"/>
    </xf>
    <xf numFmtId="0" fontId="8" fillId="0" borderId="98" xfId="0" applyFont="1" applyFill="1" applyBorder="1" applyAlignment="1">
      <alignment horizontal="center"/>
    </xf>
    <xf numFmtId="0" fontId="8" fillId="0" borderId="99" xfId="0" applyFont="1" applyFill="1" applyBorder="1" applyAlignment="1">
      <alignment horizontal="center"/>
    </xf>
    <xf numFmtId="0" fontId="8" fillId="0" borderId="100" xfId="0" applyFont="1" applyFill="1" applyBorder="1" applyAlignment="1">
      <alignment horizontal="center"/>
    </xf>
    <xf numFmtId="0" fontId="14" fillId="0" borderId="98" xfId="0" applyFont="1" applyFill="1" applyBorder="1" applyAlignment="1">
      <alignment horizontal="left" wrapText="1"/>
    </xf>
    <xf numFmtId="0" fontId="14" fillId="0" borderId="99" xfId="0" applyFont="1" applyFill="1" applyBorder="1" applyAlignment="1">
      <alignment horizontal="left" wrapText="1"/>
    </xf>
    <xf numFmtId="0" fontId="14" fillId="0" borderId="100" xfId="0" applyFont="1" applyFill="1" applyBorder="1" applyAlignment="1">
      <alignment horizontal="left" wrapText="1"/>
    </xf>
    <xf numFmtId="0" fontId="8" fillId="0" borderId="18" xfId="0" applyFont="1" applyFill="1" applyBorder="1" applyAlignment="1">
      <alignment horizontal="center"/>
    </xf>
    <xf numFmtId="0" fontId="8" fillId="0" borderId="20" xfId="0" applyFont="1" applyFill="1" applyBorder="1" applyAlignment="1">
      <alignment horizontal="center"/>
    </xf>
    <xf numFmtId="166" fontId="8" fillId="0" borderId="62" xfId="0" applyNumberFormat="1" applyFont="1" applyFill="1" applyBorder="1" applyAlignment="1">
      <alignment horizontal="center" vertical="center"/>
    </xf>
    <xf numFmtId="166" fontId="8" fillId="0" borderId="63" xfId="0" applyNumberFormat="1" applyFont="1" applyFill="1" applyBorder="1" applyAlignment="1">
      <alignment horizontal="center" vertical="center"/>
    </xf>
    <xf numFmtId="0" fontId="8" fillId="0" borderId="67" xfId="0" applyFont="1" applyFill="1" applyBorder="1" applyAlignment="1">
      <alignment horizontal="left" vertical="top" wrapText="1"/>
    </xf>
    <xf numFmtId="0" fontId="14" fillId="0" borderId="94" xfId="0" applyFont="1" applyFill="1" applyBorder="1" applyAlignment="1">
      <alignment horizontal="left" wrapText="1"/>
    </xf>
    <xf numFmtId="0" fontId="8" fillId="0" borderId="12" xfId="0" applyFont="1" applyFill="1" applyBorder="1" applyAlignment="1">
      <alignment horizontal="left" wrapText="1"/>
    </xf>
    <xf numFmtId="0" fontId="8" fillId="0" borderId="1" xfId="0" applyFont="1" applyFill="1" applyBorder="1" applyAlignment="1">
      <alignment horizontal="left" wrapText="1"/>
    </xf>
    <xf numFmtId="0" fontId="8" fillId="0" borderId="13" xfId="0" applyFont="1" applyFill="1" applyBorder="1" applyAlignment="1">
      <alignment horizontal="left" wrapText="1"/>
    </xf>
    <xf numFmtId="0" fontId="8" fillId="0" borderId="79" xfId="0" applyFont="1" applyFill="1" applyBorder="1" applyAlignment="1">
      <alignment wrapText="1"/>
    </xf>
    <xf numFmtId="0" fontId="8" fillId="0" borderId="0" xfId="0" applyFont="1" applyFill="1" applyAlignment="1">
      <alignment wrapText="1"/>
    </xf>
    <xf numFmtId="0" fontId="8" fillId="0" borderId="17" xfId="0" applyFont="1" applyFill="1" applyBorder="1" applyAlignment="1">
      <alignment wrapText="1"/>
    </xf>
    <xf numFmtId="0" fontId="8" fillId="0" borderId="21" xfId="0" applyFont="1" applyFill="1" applyBorder="1" applyAlignment="1">
      <alignment wrapText="1"/>
    </xf>
    <xf numFmtId="0" fontId="8" fillId="0" borderId="20" xfId="0" applyFont="1" applyFill="1" applyBorder="1" applyAlignment="1">
      <alignment wrapText="1"/>
    </xf>
    <xf numFmtId="0" fontId="8" fillId="0" borderId="19" xfId="0" applyFont="1" applyFill="1" applyBorder="1" applyAlignment="1">
      <alignment wrapText="1"/>
    </xf>
    <xf numFmtId="7" fontId="8" fillId="0" borderId="65" xfId="0" applyNumberFormat="1" applyFont="1" applyFill="1" applyBorder="1" applyAlignment="1">
      <alignment horizontal="center" wrapText="1"/>
    </xf>
    <xf numFmtId="166" fontId="8" fillId="0" borderId="65" xfId="0" applyNumberFormat="1" applyFont="1" applyFill="1" applyBorder="1" applyAlignment="1">
      <alignment horizontal="center" wrapText="1"/>
    </xf>
    <xf numFmtId="0" fontId="10" fillId="0" borderId="88"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12" fillId="0" borderId="98" xfId="0" applyFont="1" applyFill="1" applyBorder="1" applyAlignment="1">
      <alignment vertical="center" wrapText="1"/>
    </xf>
    <xf numFmtId="0" fontId="12" fillId="0" borderId="99" xfId="0" applyFont="1" applyFill="1" applyBorder="1" applyAlignment="1">
      <alignment vertical="center" wrapText="1"/>
    </xf>
    <xf numFmtId="0" fontId="12" fillId="0" borderId="100" xfId="0" applyFont="1" applyFill="1" applyBorder="1" applyAlignment="1">
      <alignment vertical="center" wrapText="1"/>
    </xf>
    <xf numFmtId="0" fontId="12" fillId="0" borderId="62" xfId="0" applyFont="1" applyFill="1" applyBorder="1" applyAlignment="1">
      <alignment horizontal="left" vertical="center"/>
    </xf>
    <xf numFmtId="0" fontId="12" fillId="0" borderId="61" xfId="0" applyFont="1" applyFill="1" applyBorder="1" applyAlignment="1">
      <alignment horizontal="left" vertical="center"/>
    </xf>
    <xf numFmtId="0" fontId="12" fillId="0" borderId="63" xfId="0" applyFont="1" applyFill="1" applyBorder="1" applyAlignment="1">
      <alignment horizontal="left" vertical="center"/>
    </xf>
    <xf numFmtId="0" fontId="12" fillId="0" borderId="62" xfId="0" applyFont="1" applyFill="1" applyBorder="1" applyAlignment="1">
      <alignment horizontal="left" vertical="center" wrapText="1"/>
    </xf>
    <xf numFmtId="0" fontId="12" fillId="0" borderId="61" xfId="0" applyFont="1" applyFill="1" applyBorder="1" applyAlignment="1">
      <alignment horizontal="left" vertical="center" wrapText="1"/>
    </xf>
    <xf numFmtId="0" fontId="12" fillId="0" borderId="63" xfId="0" applyFont="1" applyFill="1" applyBorder="1" applyAlignment="1">
      <alignment horizontal="left" vertical="center" wrapText="1"/>
    </xf>
    <xf numFmtId="0" fontId="8" fillId="0" borderId="62"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12" fillId="0" borderId="62" xfId="0" applyFont="1" applyFill="1" applyBorder="1" applyAlignment="1">
      <alignment wrapText="1"/>
    </xf>
    <xf numFmtId="0" fontId="12" fillId="0" borderId="61" xfId="0" applyFont="1" applyFill="1" applyBorder="1" applyAlignment="1">
      <alignment wrapText="1"/>
    </xf>
    <xf numFmtId="0" fontId="12" fillId="0" borderId="66" xfId="0" applyFont="1" applyFill="1" applyBorder="1" applyAlignment="1">
      <alignment wrapText="1"/>
    </xf>
    <xf numFmtId="0" fontId="8" fillId="0" borderId="95"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44" fontId="8" fillId="0" borderId="65" xfId="0" applyNumberFormat="1" applyFont="1" applyFill="1" applyBorder="1" applyAlignment="1">
      <alignment horizontal="left" wrapText="1"/>
    </xf>
    <xf numFmtId="166" fontId="8" fillId="0" borderId="90" xfId="0" applyNumberFormat="1" applyFont="1" applyFill="1" applyBorder="1" applyAlignment="1">
      <alignment horizontal="center" wrapText="1"/>
    </xf>
    <xf numFmtId="166" fontId="8" fillId="0" borderId="89" xfId="0" applyNumberFormat="1" applyFont="1" applyFill="1" applyBorder="1" applyAlignment="1">
      <alignment horizontal="center" wrapText="1"/>
    </xf>
    <xf numFmtId="0" fontId="12" fillId="0" borderId="88" xfId="0" applyFont="1" applyFill="1" applyBorder="1" applyAlignment="1">
      <alignment wrapText="1"/>
    </xf>
    <xf numFmtId="0" fontId="12" fillId="0" borderId="92" xfId="0" applyFont="1" applyFill="1" applyBorder="1" applyAlignment="1">
      <alignment wrapText="1"/>
    </xf>
    <xf numFmtId="0" fontId="12" fillId="0" borderId="0" xfId="0" applyFont="1" applyFill="1" applyAlignment="1">
      <alignment wrapText="1"/>
    </xf>
    <xf numFmtId="0" fontId="12" fillId="0" borderId="74" xfId="0" applyFont="1" applyFill="1" applyBorder="1" applyAlignment="1">
      <alignment wrapText="1"/>
    </xf>
    <xf numFmtId="0" fontId="12" fillId="0" borderId="77" xfId="0" applyFont="1" applyFill="1" applyBorder="1" applyAlignment="1">
      <alignment wrapText="1"/>
    </xf>
    <xf numFmtId="0" fontId="12" fillId="0" borderId="78" xfId="0" applyFont="1" applyFill="1" applyBorder="1" applyAlignment="1">
      <alignment wrapText="1"/>
    </xf>
    <xf numFmtId="0" fontId="12" fillId="0" borderId="90" xfId="0" applyFont="1" applyFill="1" applyBorder="1" applyAlignment="1">
      <alignment horizontal="center" vertical="center" wrapText="1"/>
    </xf>
    <xf numFmtId="0" fontId="12" fillId="0" borderId="92" xfId="0" applyFont="1" applyFill="1" applyBorder="1" applyAlignment="1">
      <alignment horizontal="center" vertical="center" wrapText="1"/>
    </xf>
    <xf numFmtId="0" fontId="12" fillId="0" borderId="79" xfId="0" applyFont="1" applyFill="1" applyBorder="1" applyAlignment="1">
      <alignment horizontal="center" vertical="center" wrapText="1"/>
    </xf>
    <xf numFmtId="0" fontId="12" fillId="0" borderId="74" xfId="0" applyFont="1" applyFill="1" applyBorder="1" applyAlignment="1">
      <alignment horizontal="center" vertical="center" wrapText="1"/>
    </xf>
    <xf numFmtId="0" fontId="12" fillId="0" borderId="80" xfId="0" applyFont="1" applyFill="1" applyBorder="1" applyAlignment="1">
      <alignment horizontal="center" vertical="center" wrapText="1"/>
    </xf>
    <xf numFmtId="0" fontId="12" fillId="0" borderId="78" xfId="0" applyFont="1" applyFill="1" applyBorder="1" applyAlignment="1">
      <alignment horizontal="center" vertical="center" wrapText="1"/>
    </xf>
    <xf numFmtId="0" fontId="10" fillId="0" borderId="12" xfId="0" applyFont="1" applyFill="1" applyBorder="1" applyAlignment="1">
      <alignment horizontal="left" vertical="center"/>
    </xf>
    <xf numFmtId="0" fontId="10" fillId="0" borderId="13" xfId="0" applyFont="1" applyFill="1" applyBorder="1" applyAlignment="1">
      <alignment horizontal="left" vertical="center"/>
    </xf>
    <xf numFmtId="0" fontId="68" fillId="0" borderId="101" xfId="0" applyFont="1" applyFill="1" applyBorder="1" applyAlignment="1">
      <alignment horizontal="center" vertical="center" wrapText="1"/>
    </xf>
    <xf numFmtId="0" fontId="68" fillId="0" borderId="62" xfId="0" applyFont="1" applyFill="1" applyBorder="1" applyAlignment="1"/>
    <xf numFmtId="0" fontId="68" fillId="0" borderId="61" xfId="0" applyFont="1" applyFill="1" applyBorder="1" applyAlignment="1"/>
    <xf numFmtId="0" fontId="68" fillId="0" borderId="66" xfId="0" applyFont="1" applyFill="1" applyBorder="1" applyAlignment="1"/>
    <xf numFmtId="0" fontId="12" fillId="0" borderId="62" xfId="0" applyFont="1" applyFill="1" applyBorder="1" applyAlignment="1"/>
    <xf numFmtId="0" fontId="12" fillId="0" borderId="61" xfId="0" applyFont="1" applyFill="1" applyBorder="1" applyAlignment="1"/>
    <xf numFmtId="0" fontId="12" fillId="0" borderId="66" xfId="0" applyFont="1" applyFill="1" applyBorder="1" applyAlignment="1"/>
    <xf numFmtId="0" fontId="74" fillId="0" borderId="85" xfId="0" applyFont="1" applyFill="1" applyBorder="1" applyAlignment="1">
      <alignment horizontal="center" wrapText="1"/>
    </xf>
    <xf numFmtId="0" fontId="74" fillId="0" borderId="86" xfId="0" applyFont="1" applyFill="1" applyBorder="1" applyAlignment="1">
      <alignment horizontal="center" wrapText="1"/>
    </xf>
    <xf numFmtId="0" fontId="74" fillId="0" borderId="87" xfId="0" applyFont="1" applyFill="1" applyBorder="1" applyAlignment="1">
      <alignment horizontal="center" wrapText="1"/>
    </xf>
    <xf numFmtId="0" fontId="8" fillId="0" borderId="2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97" xfId="0" applyFont="1" applyFill="1" applyBorder="1" applyAlignment="1">
      <alignment horizontal="center" vertical="center"/>
    </xf>
    <xf numFmtId="0" fontId="8" fillId="0" borderId="9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20" xfId="0" applyFont="1" applyFill="1" applyBorder="1" applyAlignment="1">
      <alignment horizontal="left"/>
    </xf>
    <xf numFmtId="0" fontId="8" fillId="0" borderId="26" xfId="0" applyFont="1" applyFill="1" applyBorder="1" applyAlignment="1">
      <alignment horizontal="left"/>
    </xf>
    <xf numFmtId="0" fontId="12" fillId="0" borderId="65" xfId="0" applyFont="1" applyFill="1" applyBorder="1" applyAlignment="1">
      <alignment vertical="center" wrapText="1"/>
    </xf>
    <xf numFmtId="0" fontId="8" fillId="0" borderId="65" xfId="0" applyFont="1" applyFill="1" applyBorder="1" applyAlignment="1">
      <alignment wrapText="1"/>
    </xf>
    <xf numFmtId="0" fontId="8" fillId="0" borderId="65" xfId="0" quotePrefix="1" applyFont="1" applyFill="1" applyBorder="1" applyAlignment="1">
      <alignment horizontal="left" vertical="top" wrapText="1"/>
    </xf>
    <xf numFmtId="0" fontId="8" fillId="0" borderId="65" xfId="0" applyFont="1" applyFill="1" applyBorder="1" applyAlignment="1">
      <alignment horizontal="left" vertical="top"/>
    </xf>
    <xf numFmtId="0" fontId="8" fillId="0" borderId="62" xfId="0" applyFont="1" applyFill="1" applyBorder="1" applyAlignment="1">
      <alignment vertical="top" wrapText="1"/>
    </xf>
    <xf numFmtId="0" fontId="8" fillId="0" borderId="61" xfId="0" applyFont="1" applyFill="1" applyBorder="1" applyAlignment="1">
      <alignment vertical="top" wrapText="1"/>
    </xf>
    <xf numFmtId="0" fontId="8" fillId="0" borderId="63" xfId="0" applyFont="1" applyFill="1" applyBorder="1" applyAlignment="1">
      <alignment vertical="top" wrapText="1"/>
    </xf>
    <xf numFmtId="0" fontId="68" fillId="0" borderId="76" xfId="0" applyFont="1" applyFill="1" applyBorder="1" applyAlignment="1">
      <alignment horizontal="center" vertical="center" wrapText="1"/>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96" xfId="0" applyFont="1" applyFill="1" applyBorder="1" applyAlignment="1">
      <alignment horizontal="left" vertical="center" wrapText="1"/>
    </xf>
    <xf numFmtId="0" fontId="8" fillId="0" borderId="82" xfId="0" applyFont="1" applyFill="1" applyBorder="1" applyAlignment="1">
      <alignment horizontal="center" vertical="top" wrapText="1"/>
    </xf>
    <xf numFmtId="0" fontId="8" fillId="0" borderId="83" xfId="0" applyFont="1" applyFill="1" applyBorder="1" applyAlignment="1">
      <alignment horizontal="center" vertical="top" wrapText="1"/>
    </xf>
    <xf numFmtId="0" fontId="8" fillId="0" borderId="84" xfId="0" applyFont="1" applyFill="1" applyBorder="1" applyAlignment="1">
      <alignment horizontal="center" vertical="top" wrapText="1"/>
    </xf>
    <xf numFmtId="0" fontId="10" fillId="0" borderId="90" xfId="0" applyFont="1" applyFill="1" applyBorder="1" applyAlignment="1">
      <alignment vertical="center"/>
    </xf>
    <xf numFmtId="0" fontId="10" fillId="0" borderId="89" xfId="0" applyFont="1" applyFill="1" applyBorder="1" applyAlignment="1">
      <alignment vertical="center"/>
    </xf>
    <xf numFmtId="0" fontId="10" fillId="0" borderId="65" xfId="0" applyFont="1" applyFill="1" applyBorder="1" applyAlignment="1">
      <alignment horizontal="center"/>
    </xf>
    <xf numFmtId="0" fontId="8" fillId="0" borderId="67" xfId="0" applyFont="1" applyFill="1" applyBorder="1" applyAlignment="1">
      <alignment horizontal="left" vertical="center" wrapText="1"/>
    </xf>
    <xf numFmtId="0" fontId="8" fillId="0" borderId="67" xfId="0" applyFont="1" applyFill="1" applyBorder="1" applyAlignment="1">
      <alignment horizontal="left" vertical="center"/>
    </xf>
    <xf numFmtId="0" fontId="8" fillId="0" borderId="68"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90" xfId="0" applyFont="1" applyFill="1" applyBorder="1" applyAlignment="1">
      <alignment horizontal="center" vertical="center"/>
    </xf>
    <xf numFmtId="0" fontId="8" fillId="0" borderId="89" xfId="0" applyFont="1" applyFill="1" applyBorder="1" applyAlignment="1">
      <alignment horizontal="center" vertical="center"/>
    </xf>
    <xf numFmtId="0" fontId="8" fillId="0" borderId="12" xfId="0" applyFont="1" applyFill="1" applyBorder="1" applyAlignment="1">
      <alignment horizontal="left" vertical="center"/>
    </xf>
    <xf numFmtId="0" fontId="8" fillId="0" borderId="1" xfId="0" applyFont="1" applyFill="1" applyBorder="1" applyAlignment="1">
      <alignment horizontal="left" vertical="center"/>
    </xf>
    <xf numFmtId="0" fontId="10" fillId="0" borderId="67"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63" xfId="0" applyFont="1" applyFill="1" applyBorder="1" applyAlignment="1">
      <alignment horizontal="center" vertical="center"/>
    </xf>
    <xf numFmtId="0" fontId="8" fillId="0" borderId="66" xfId="0" applyFont="1" applyFill="1" applyBorder="1" applyAlignment="1">
      <alignment horizontal="left" vertical="center"/>
    </xf>
    <xf numFmtId="0" fontId="8" fillId="0" borderId="94" xfId="0" applyFont="1" applyFill="1" applyBorder="1" applyAlignment="1">
      <alignment horizontal="left" vertical="top" wrapText="1"/>
    </xf>
    <xf numFmtId="44" fontId="8" fillId="0" borderId="62" xfId="2" applyFont="1" applyFill="1" applyBorder="1" applyAlignment="1">
      <alignment horizontal="center" vertical="center" wrapText="1"/>
    </xf>
    <xf numFmtId="44" fontId="8" fillId="0" borderId="61" xfId="2" applyFont="1" applyFill="1" applyBorder="1" applyAlignment="1">
      <alignment horizontal="center" vertical="center" wrapText="1"/>
    </xf>
    <xf numFmtId="0" fontId="10" fillId="0" borderId="24" xfId="0" applyFont="1" applyFill="1" applyBorder="1" applyAlignment="1">
      <alignment horizontal="left" vertical="center"/>
    </xf>
    <xf numFmtId="0" fontId="10" fillId="0" borderId="22" xfId="0" applyFont="1" applyFill="1" applyBorder="1" applyAlignment="1">
      <alignment horizontal="left" vertical="center"/>
    </xf>
    <xf numFmtId="0" fontId="10" fillId="0" borderId="7" xfId="0" applyFont="1" applyFill="1" applyBorder="1" applyAlignment="1">
      <alignment horizontal="left" vertical="center"/>
    </xf>
    <xf numFmtId="0" fontId="10" fillId="0" borderId="7" xfId="0" applyFont="1" applyFill="1" applyBorder="1" applyAlignment="1">
      <alignment horizontal="center" vertical="center" wrapText="1"/>
    </xf>
    <xf numFmtId="0" fontId="10" fillId="0" borderId="90" xfId="0" applyFont="1" applyFill="1" applyBorder="1" applyAlignment="1">
      <alignment horizontal="center" vertical="center" wrapText="1"/>
    </xf>
    <xf numFmtId="0" fontId="10" fillId="0" borderId="8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9" xfId="0" applyFont="1" applyFill="1" applyBorder="1" applyAlignment="1">
      <alignment horizontal="center" wrapText="1"/>
    </xf>
    <xf numFmtId="0" fontId="10" fillId="0" borderId="10" xfId="0" applyFont="1" applyFill="1" applyBorder="1" applyAlignment="1">
      <alignment horizontal="center" wrapText="1"/>
    </xf>
    <xf numFmtId="0" fontId="10" fillId="0" borderId="11" xfId="0" applyFont="1" applyFill="1" applyBorder="1" applyAlignment="1">
      <alignment horizontal="center" wrapText="1"/>
    </xf>
    <xf numFmtId="0" fontId="8" fillId="0" borderId="26" xfId="0" applyFont="1" applyFill="1" applyBorder="1" applyAlignment="1">
      <alignment horizontal="center"/>
    </xf>
    <xf numFmtId="172" fontId="8" fillId="0" borderId="62" xfId="0" applyNumberFormat="1" applyFont="1" applyFill="1" applyBorder="1" applyAlignment="1">
      <alignment horizontal="center" wrapText="1"/>
    </xf>
    <xf numFmtId="172" fontId="8" fillId="0" borderId="63" xfId="0" applyNumberFormat="1" applyFont="1" applyFill="1" applyBorder="1" applyAlignment="1">
      <alignment horizontal="center" wrapText="1"/>
    </xf>
    <xf numFmtId="0" fontId="8" fillId="0" borderId="9" xfId="0" applyFont="1" applyFill="1" applyBorder="1" applyAlignment="1">
      <alignment horizontal="left" vertical="center"/>
    </xf>
    <xf numFmtId="0" fontId="8" fillId="0" borderId="10" xfId="0" applyFont="1" applyFill="1" applyBorder="1" applyAlignment="1">
      <alignment horizontal="left" vertical="center"/>
    </xf>
    <xf numFmtId="0" fontId="8" fillId="0" borderId="11" xfId="0" applyFont="1" applyFill="1" applyBorder="1" applyAlignment="1">
      <alignment horizontal="left" vertical="center"/>
    </xf>
    <xf numFmtId="0" fontId="10" fillId="0" borderId="61" xfId="0" applyFont="1" applyFill="1" applyBorder="1" applyAlignment="1">
      <alignment horizontal="center" vertical="center"/>
    </xf>
    <xf numFmtId="0" fontId="10" fillId="0" borderId="7" xfId="0" applyFont="1" applyFill="1" applyBorder="1" applyAlignment="1">
      <alignment horizontal="left" vertical="center" wrapText="1"/>
    </xf>
    <xf numFmtId="0" fontId="12" fillId="0" borderId="94" xfId="0" applyFont="1" applyFill="1" applyBorder="1" applyAlignment="1">
      <alignment horizontal="left" vertical="top" wrapText="1"/>
    </xf>
    <xf numFmtId="0" fontId="10" fillId="0" borderId="61" xfId="0" applyFont="1" applyFill="1" applyBorder="1" applyAlignment="1">
      <alignment wrapText="1"/>
    </xf>
    <xf numFmtId="0" fontId="12" fillId="0" borderId="62" xfId="0" applyFont="1" applyFill="1" applyBorder="1" applyAlignment="1">
      <alignment vertical="top" wrapText="1"/>
    </xf>
    <xf numFmtId="0" fontId="12" fillId="0" borderId="61" xfId="0" applyFont="1" applyFill="1" applyBorder="1" applyAlignment="1">
      <alignment vertical="top" wrapText="1"/>
    </xf>
    <xf numFmtId="0" fontId="12" fillId="0" borderId="63" xfId="0" applyFont="1" applyFill="1" applyBorder="1" applyAlignment="1">
      <alignment vertical="top" wrapText="1"/>
    </xf>
    <xf numFmtId="0" fontId="8" fillId="0" borderId="100" xfId="0" applyFont="1" applyFill="1" applyBorder="1" applyAlignment="1">
      <alignment horizontal="left"/>
    </xf>
    <xf numFmtId="0" fontId="10" fillId="0" borderId="63" xfId="0" applyFont="1" applyFill="1" applyBorder="1" applyAlignment="1">
      <alignment horizontal="right"/>
    </xf>
    <xf numFmtId="0" fontId="10" fillId="0" borderId="94" xfId="0" applyFont="1" applyFill="1" applyBorder="1" applyAlignment="1">
      <alignment vertical="center"/>
    </xf>
    <xf numFmtId="0" fontId="10" fillId="0" borderId="94" xfId="0" applyFont="1" applyFill="1" applyBorder="1" applyAlignment="1">
      <alignment horizontal="left"/>
    </xf>
    <xf numFmtId="0" fontId="8" fillId="0" borderId="62" xfId="0" applyFont="1" applyFill="1" applyBorder="1" applyAlignment="1">
      <alignment horizontal="right" wrapText="1"/>
    </xf>
    <xf numFmtId="0" fontId="8" fillId="0" borderId="61" xfId="0" applyFont="1" applyFill="1" applyBorder="1" applyAlignment="1">
      <alignment horizontal="right" wrapText="1"/>
    </xf>
    <xf numFmtId="0" fontId="8" fillId="0" borderId="63" xfId="0" applyFont="1" applyFill="1" applyBorder="1" applyAlignment="1">
      <alignment horizontal="right" wrapText="1"/>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1" xfId="0" applyFont="1" applyFill="1" applyBorder="1" applyAlignment="1">
      <alignment horizontal="center" vertical="center" wrapText="1"/>
    </xf>
    <xf numFmtId="0" fontId="8" fillId="0" borderId="90" xfId="0" applyFont="1" applyFill="1" applyBorder="1" applyAlignment="1">
      <alignment horizontal="right" wrapText="1"/>
    </xf>
    <xf numFmtId="0" fontId="8" fillId="0" borderId="88" xfId="0" applyFont="1" applyFill="1" applyBorder="1" applyAlignment="1">
      <alignment horizontal="right" wrapText="1"/>
    </xf>
    <xf numFmtId="0" fontId="8" fillId="0" borderId="89" xfId="0" applyFont="1" applyFill="1" applyBorder="1" applyAlignment="1">
      <alignment horizontal="right" wrapText="1"/>
    </xf>
    <xf numFmtId="0" fontId="8" fillId="0" borderId="65" xfId="0" applyFont="1" applyFill="1" applyBorder="1" applyAlignment="1">
      <alignment horizontal="left" vertical="center" wrapText="1"/>
    </xf>
    <xf numFmtId="164" fontId="8" fillId="0" borderId="94" xfId="0" applyNumberFormat="1" applyFont="1" applyFill="1" applyBorder="1" applyAlignment="1">
      <alignment horizontal="left" wrapText="1"/>
    </xf>
    <xf numFmtId="0" fontId="10" fillId="0" borderId="24" xfId="0" applyFont="1" applyFill="1" applyBorder="1" applyAlignment="1">
      <alignment horizontal="left" wrapText="1"/>
    </xf>
    <xf numFmtId="0" fontId="10" fillId="0" borderId="2" xfId="0" applyFont="1" applyFill="1" applyBorder="1" applyAlignment="1">
      <alignment horizontal="left" wrapText="1"/>
    </xf>
    <xf numFmtId="0" fontId="10" fillId="0" borderId="22" xfId="0" applyFont="1" applyFill="1" applyBorder="1" applyAlignment="1">
      <alignment horizontal="left" wrapText="1"/>
    </xf>
    <xf numFmtId="0" fontId="10" fillId="0" borderId="24" xfId="0" applyFont="1" applyFill="1" applyBorder="1" applyAlignment="1">
      <alignment horizontal="center" wrapText="1"/>
    </xf>
    <xf numFmtId="0" fontId="10" fillId="0" borderId="22" xfId="0" applyFont="1" applyFill="1" applyBorder="1" applyAlignment="1">
      <alignment horizontal="center" wrapText="1"/>
    </xf>
    <xf numFmtId="0" fontId="10" fillId="0" borderId="24" xfId="0" applyFont="1" applyFill="1" applyBorder="1" applyAlignment="1">
      <alignment horizontal="center"/>
    </xf>
    <xf numFmtId="0" fontId="10" fillId="0" borderId="22" xfId="0" applyFont="1" applyFill="1" applyBorder="1" applyAlignment="1">
      <alignment horizontal="center"/>
    </xf>
    <xf numFmtId="0" fontId="10" fillId="0" borderId="14" xfId="0" applyFont="1" applyFill="1" applyBorder="1" applyAlignment="1">
      <alignment horizontal="left" vertical="center" wrapText="1"/>
    </xf>
    <xf numFmtId="165" fontId="8" fillId="0" borderId="62" xfId="1" applyNumberFormat="1" applyFont="1" applyFill="1" applyBorder="1" applyAlignment="1">
      <alignment horizontal="right" vertical="center" wrapText="1"/>
    </xf>
    <xf numFmtId="165" fontId="8" fillId="0" borderId="63" xfId="1" applyNumberFormat="1" applyFont="1" applyFill="1" applyBorder="1" applyAlignment="1">
      <alignment horizontal="right" vertical="center" wrapText="1"/>
    </xf>
    <xf numFmtId="166" fontId="8" fillId="0" borderId="67" xfId="0" applyNumberFormat="1" applyFont="1" applyFill="1" applyBorder="1" applyAlignment="1">
      <alignment horizontal="center" vertical="center" wrapText="1"/>
    </xf>
    <xf numFmtId="0" fontId="10" fillId="0" borderId="67" xfId="0" applyFont="1" applyFill="1" applyBorder="1" applyAlignment="1">
      <alignment horizontal="center" wrapText="1"/>
    </xf>
    <xf numFmtId="0" fontId="10" fillId="0" borderId="91" xfId="0" applyFont="1" applyFill="1" applyBorder="1" applyAlignment="1">
      <alignment horizontal="center" vertical="center" wrapText="1"/>
    </xf>
    <xf numFmtId="0" fontId="10" fillId="0" borderId="12"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8" fillId="0" borderId="103" xfId="0" applyFont="1" applyFill="1" applyBorder="1" applyAlignment="1">
      <alignment horizontal="right" wrapText="1"/>
    </xf>
    <xf numFmtId="0" fontId="10" fillId="0" borderId="103" xfId="0" applyFont="1" applyFill="1" applyBorder="1" applyAlignment="1">
      <alignment horizontal="center"/>
    </xf>
    <xf numFmtId="165" fontId="10" fillId="0" borderId="62" xfId="0" applyNumberFormat="1" applyFont="1" applyFill="1" applyBorder="1" applyAlignment="1">
      <alignment horizontal="right"/>
    </xf>
    <xf numFmtId="165" fontId="10" fillId="0" borderId="61" xfId="0" applyNumberFormat="1" applyFont="1" applyFill="1" applyBorder="1" applyAlignment="1">
      <alignment horizontal="right"/>
    </xf>
    <xf numFmtId="165" fontId="10" fillId="0" borderId="63" xfId="0" applyNumberFormat="1" applyFont="1" applyFill="1" applyBorder="1" applyAlignment="1">
      <alignment horizontal="right"/>
    </xf>
    <xf numFmtId="0" fontId="68" fillId="0" borderId="62" xfId="0" applyFont="1" applyFill="1" applyBorder="1" applyAlignment="1">
      <alignment horizontal="left" vertical="center" wrapText="1"/>
    </xf>
    <xf numFmtId="0" fontId="68" fillId="0" borderId="63" xfId="0" applyFont="1" applyFill="1" applyBorder="1" applyAlignment="1">
      <alignment horizontal="left" vertical="center" wrapText="1"/>
    </xf>
    <xf numFmtId="0" fontId="12" fillId="0" borderId="62" xfId="0" applyFont="1" applyFill="1" applyBorder="1" applyAlignment="1">
      <alignment horizontal="left"/>
    </xf>
    <xf numFmtId="0" fontId="12" fillId="0" borderId="61" xfId="0" applyFont="1" applyFill="1" applyBorder="1" applyAlignment="1">
      <alignment horizontal="left"/>
    </xf>
    <xf numFmtId="0" fontId="12" fillId="0" borderId="63" xfId="0" applyFont="1" applyFill="1" applyBorder="1" applyAlignment="1">
      <alignment horizontal="left"/>
    </xf>
    <xf numFmtId="0" fontId="68" fillId="0" borderId="62" xfId="0" applyFont="1" applyFill="1" applyBorder="1" applyAlignment="1">
      <alignment horizontal="left"/>
    </xf>
    <xf numFmtId="0" fontId="68" fillId="0" borderId="61" xfId="0" applyFont="1" applyFill="1" applyBorder="1" applyAlignment="1">
      <alignment horizontal="left"/>
    </xf>
    <xf numFmtId="0" fontId="68" fillId="0" borderId="63" xfId="0" applyFont="1" applyFill="1" applyBorder="1" applyAlignment="1">
      <alignment horizontal="left"/>
    </xf>
    <xf numFmtId="0" fontId="68" fillId="0" borderId="12" xfId="0" applyFont="1" applyFill="1" applyBorder="1" applyAlignment="1">
      <alignment horizontal="center"/>
    </xf>
    <xf numFmtId="0" fontId="68" fillId="0" borderId="13" xfId="0" applyFont="1" applyFill="1" applyBorder="1" applyAlignment="1">
      <alignment horizont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68" fillId="0" borderId="62" xfId="0" applyFont="1" applyFill="1" applyBorder="1" applyAlignment="1">
      <alignment horizontal="left" vertical="center"/>
    </xf>
    <xf numFmtId="0" fontId="68" fillId="0" borderId="63" xfId="0" applyFont="1" applyFill="1" applyBorder="1" applyAlignment="1">
      <alignment horizontal="left" vertical="center"/>
    </xf>
    <xf numFmtId="0" fontId="8" fillId="0" borderId="90" xfId="0" applyFont="1" applyFill="1" applyBorder="1" applyAlignment="1">
      <alignment horizontal="left"/>
    </xf>
    <xf numFmtId="0" fontId="8" fillId="0" borderId="88" xfId="0" applyFont="1" applyFill="1" applyBorder="1" applyAlignment="1">
      <alignment horizontal="left"/>
    </xf>
    <xf numFmtId="0" fontId="8" fillId="0" borderId="89" xfId="0" applyFont="1" applyFill="1" applyBorder="1" applyAlignment="1">
      <alignment horizontal="left"/>
    </xf>
    <xf numFmtId="166" fontId="8" fillId="0" borderId="94" xfId="0" applyNumberFormat="1" applyFont="1" applyFill="1" applyBorder="1" applyAlignment="1">
      <alignment horizontal="center" vertical="center"/>
    </xf>
    <xf numFmtId="0" fontId="10" fillId="0" borderId="24" xfId="0" applyFont="1" applyFill="1" applyBorder="1" applyAlignment="1">
      <alignment horizontal="center" vertical="center" wrapText="1"/>
    </xf>
    <xf numFmtId="0" fontId="68" fillId="0" borderId="62" xfId="0" applyFont="1" applyFill="1" applyBorder="1" applyAlignment="1">
      <alignment vertical="center"/>
    </xf>
    <xf numFmtId="0" fontId="68" fillId="0" borderId="63" xfId="0" applyFont="1" applyFill="1" applyBorder="1" applyAlignment="1">
      <alignment vertical="center"/>
    </xf>
    <xf numFmtId="0" fontId="12" fillId="0" borderId="62" xfId="0" applyFont="1" applyFill="1" applyBorder="1" applyAlignment="1">
      <alignment horizontal="left" wrapText="1"/>
    </xf>
    <xf numFmtId="0" fontId="12" fillId="0" borderId="61" xfId="0" applyFont="1" applyFill="1" applyBorder="1" applyAlignment="1">
      <alignment horizontal="left" wrapText="1"/>
    </xf>
    <xf numFmtId="0" fontId="12" fillId="0" borderId="63" xfId="0" applyFont="1" applyFill="1" applyBorder="1" applyAlignment="1">
      <alignment horizontal="left" wrapText="1"/>
    </xf>
    <xf numFmtId="0" fontId="10" fillId="0" borderId="79" xfId="0" applyFont="1" applyFill="1" applyBorder="1" applyAlignment="1">
      <alignment horizontal="center"/>
    </xf>
    <xf numFmtId="0" fontId="10" fillId="0" borderId="17" xfId="0" applyFont="1" applyFill="1" applyBorder="1" applyAlignment="1">
      <alignment horizontal="center"/>
    </xf>
    <xf numFmtId="0" fontId="10" fillId="0" borderId="12" xfId="0" applyFont="1" applyFill="1" applyBorder="1" applyAlignment="1">
      <alignment horizontal="center" wrapText="1"/>
    </xf>
    <xf numFmtId="0" fontId="10" fillId="0" borderId="13" xfId="0" applyFont="1" applyFill="1" applyBorder="1" applyAlignment="1">
      <alignment horizontal="center" wrapText="1"/>
    </xf>
    <xf numFmtId="0" fontId="8" fillId="0" borderId="62" xfId="0" applyFont="1" applyFill="1" applyBorder="1" applyAlignment="1"/>
    <xf numFmtId="0" fontId="8" fillId="0" borderId="61" xfId="0" applyFont="1" applyFill="1" applyBorder="1" applyAlignment="1"/>
    <xf numFmtId="0" fontId="69" fillId="0" borderId="12" xfId="0" applyFont="1" applyFill="1" applyBorder="1" applyAlignment="1">
      <alignment horizontal="left"/>
    </xf>
    <xf numFmtId="0" fontId="10" fillId="0" borderId="1" xfId="0" applyFont="1" applyFill="1" applyBorder="1" applyAlignment="1">
      <alignment horizontal="left"/>
    </xf>
    <xf numFmtId="0" fontId="10" fillId="0" borderId="13" xfId="0" applyFont="1" applyFill="1" applyBorder="1" applyAlignment="1">
      <alignment horizontal="left"/>
    </xf>
    <xf numFmtId="0" fontId="8" fillId="0" borderId="67" xfId="0" applyFont="1" applyFill="1" applyBorder="1" applyAlignment="1">
      <alignment horizontal="left"/>
    </xf>
    <xf numFmtId="0" fontId="10" fillId="0" borderId="90" xfId="0" applyFont="1" applyFill="1" applyBorder="1" applyAlignment="1">
      <alignment horizontal="center"/>
    </xf>
    <xf numFmtId="0" fontId="10" fillId="0" borderId="89" xfId="0" applyFont="1" applyFill="1" applyBorder="1" applyAlignment="1">
      <alignment horizontal="center"/>
    </xf>
    <xf numFmtId="0" fontId="8" fillId="0" borderId="67" xfId="0" applyFont="1" applyFill="1" applyBorder="1" applyAlignment="1">
      <alignment horizontal="right" wrapText="1"/>
    </xf>
    <xf numFmtId="0" fontId="10" fillId="0" borderId="61"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91" xfId="0" applyFont="1" applyFill="1" applyBorder="1" applyAlignment="1">
      <alignment horizontal="center" vertical="center"/>
    </xf>
    <xf numFmtId="0" fontId="8" fillId="0" borderId="62" xfId="0" quotePrefix="1" applyFont="1" applyFill="1" applyBorder="1" applyAlignment="1">
      <alignment horizontal="left" vertical="center" wrapText="1"/>
    </xf>
    <xf numFmtId="0" fontId="12" fillId="0" borderId="62" xfId="0" quotePrefix="1" applyFont="1" applyFill="1" applyBorder="1" applyAlignment="1"/>
    <xf numFmtId="0" fontId="8" fillId="0" borderId="62" xfId="0" applyFont="1" applyFill="1" applyBorder="1" applyAlignment="1">
      <alignment horizontal="center" vertical="center" wrapText="1"/>
    </xf>
    <xf numFmtId="0" fontId="12" fillId="0" borderId="62" xfId="0" quotePrefix="1" applyFont="1" applyFill="1" applyBorder="1" applyAlignment="1">
      <alignment wrapText="1"/>
    </xf>
    <xf numFmtId="0" fontId="10" fillId="0" borderId="81" xfId="0" applyFont="1" applyFill="1" applyBorder="1" applyAlignment="1">
      <alignment horizontal="center"/>
    </xf>
    <xf numFmtId="0" fontId="10" fillId="0" borderId="91" xfId="0" applyFont="1" applyFill="1" applyBorder="1" applyAlignment="1">
      <alignment vertical="center"/>
    </xf>
    <xf numFmtId="0" fontId="10" fillId="0" borderId="67" xfId="0" applyFont="1" applyFill="1" applyBorder="1" applyAlignment="1">
      <alignment horizontal="center"/>
    </xf>
    <xf numFmtId="0" fontId="8" fillId="0" borderId="85" xfId="0" applyFont="1" applyFill="1" applyBorder="1" applyAlignment="1">
      <alignment horizontal="left"/>
    </xf>
    <xf numFmtId="0" fontId="8" fillId="0" borderId="86" xfId="0" applyFont="1" applyFill="1" applyBorder="1" applyAlignment="1">
      <alignment horizontal="left"/>
    </xf>
    <xf numFmtId="0" fontId="8" fillId="0" borderId="87" xfId="0" applyFont="1" applyFill="1" applyBorder="1" applyAlignment="1">
      <alignment horizontal="left"/>
    </xf>
    <xf numFmtId="0" fontId="10" fillId="0" borderId="2" xfId="0" applyFont="1" applyFill="1" applyBorder="1" applyAlignment="1">
      <alignment horizontal="center" wrapText="1"/>
    </xf>
    <xf numFmtId="0" fontId="8" fillId="0" borderId="9" xfId="0" applyFont="1" applyFill="1" applyBorder="1" applyAlignment="1">
      <alignment horizontal="center" vertical="center" wrapText="1"/>
    </xf>
    <xf numFmtId="165" fontId="4" fillId="0" borderId="24" xfId="1" applyNumberFormat="1" applyFont="1" applyFill="1" applyBorder="1" applyAlignment="1">
      <alignment horizontal="center" wrapText="1"/>
    </xf>
    <xf numFmtId="165" fontId="4" fillId="0" borderId="2" xfId="1" applyNumberFormat="1" applyFont="1" applyFill="1" applyBorder="1" applyAlignment="1">
      <alignment horizontal="center"/>
    </xf>
    <xf numFmtId="165" fontId="4" fillId="0" borderId="3" xfId="1" applyNumberFormat="1" applyFont="1" applyFill="1" applyBorder="1" applyAlignment="1">
      <alignment horizontal="center"/>
    </xf>
    <xf numFmtId="0" fontId="8" fillId="0" borderId="104" xfId="0" applyFont="1" applyFill="1" applyBorder="1" applyAlignment="1">
      <alignment horizontal="right"/>
    </xf>
    <xf numFmtId="0" fontId="8" fillId="0" borderId="105" xfId="0" applyFont="1" applyFill="1" applyBorder="1" applyAlignment="1">
      <alignment horizontal="right"/>
    </xf>
    <xf numFmtId="0" fontId="8" fillId="0" borderId="106" xfId="0" applyFont="1" applyFill="1" applyBorder="1" applyAlignment="1">
      <alignment horizontal="right"/>
    </xf>
    <xf numFmtId="0" fontId="10" fillId="0" borderId="79" xfId="0" applyFont="1" applyFill="1" applyBorder="1" applyAlignment="1">
      <alignment vertical="center"/>
    </xf>
    <xf numFmtId="0" fontId="10" fillId="0" borderId="17" xfId="0" applyFont="1" applyFill="1" applyBorder="1" applyAlignment="1">
      <alignment vertical="center"/>
    </xf>
    <xf numFmtId="0" fontId="10" fillId="0" borderId="0" xfId="0" applyFont="1" applyFill="1" applyAlignment="1">
      <alignment horizontal="center" vertical="center" wrapText="1"/>
    </xf>
    <xf numFmtId="0" fontId="10" fillId="0" borderId="17" xfId="0" applyFont="1" applyFill="1" applyBorder="1" applyAlignment="1">
      <alignment horizontal="center" vertical="center" wrapText="1"/>
    </xf>
    <xf numFmtId="0" fontId="8" fillId="0" borderId="94" xfId="0" applyFont="1" applyFill="1" applyBorder="1" applyAlignment="1">
      <alignment horizontal="center" wrapText="1"/>
    </xf>
    <xf numFmtId="166" fontId="8" fillId="0" borderId="94" xfId="0" applyNumberFormat="1" applyFont="1" applyFill="1" applyBorder="1" applyAlignment="1">
      <alignment horizontal="center" wrapText="1"/>
    </xf>
    <xf numFmtId="44" fontId="8" fillId="0" borderId="90" xfId="2" applyFont="1" applyFill="1" applyBorder="1" applyAlignment="1">
      <alignment horizontal="center" vertical="center" wrapText="1"/>
    </xf>
    <xf numFmtId="44" fontId="8" fillId="0" borderId="88" xfId="2" applyFont="1" applyFill="1" applyBorder="1" applyAlignment="1">
      <alignment horizontal="center" vertical="center" wrapText="1"/>
    </xf>
    <xf numFmtId="0" fontId="8" fillId="0" borderId="90" xfId="0" applyFont="1" applyFill="1" applyBorder="1" applyAlignment="1">
      <alignment horizontal="left" vertical="center"/>
    </xf>
    <xf numFmtId="0" fontId="8" fillId="0" borderId="88" xfId="0" applyFont="1" applyFill="1" applyBorder="1" applyAlignment="1">
      <alignment horizontal="left" vertical="center"/>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99" xfId="0" applyFont="1" applyFill="1" applyBorder="1" applyAlignment="1">
      <alignment horizontal="center" vertical="center" wrapText="1"/>
    </xf>
    <xf numFmtId="0" fontId="8" fillId="0" borderId="100" xfId="0" applyFont="1" applyFill="1" applyBorder="1" applyAlignment="1">
      <alignment horizontal="center" vertical="center" wrapText="1"/>
    </xf>
    <xf numFmtId="44" fontId="8" fillId="0" borderId="62" xfId="0" applyNumberFormat="1" applyFont="1" applyFill="1" applyBorder="1" applyAlignment="1">
      <alignment horizontal="left" wrapText="1"/>
    </xf>
    <xf numFmtId="44" fontId="8" fillId="0" borderId="61" xfId="0" applyNumberFormat="1" applyFont="1" applyFill="1" applyBorder="1" applyAlignment="1">
      <alignment horizontal="left" wrapText="1"/>
    </xf>
    <xf numFmtId="44" fontId="8" fillId="0" borderId="63" xfId="0" applyNumberFormat="1" applyFont="1" applyFill="1" applyBorder="1" applyAlignment="1">
      <alignment horizontal="left" wrapText="1"/>
    </xf>
    <xf numFmtId="0" fontId="10" fillId="0" borderId="8" xfId="0" applyFont="1" applyFill="1" applyBorder="1" applyAlignment="1">
      <alignment horizontal="center" vertical="center" wrapText="1"/>
    </xf>
    <xf numFmtId="0" fontId="8" fillId="0" borderId="98" xfId="0" applyFont="1" applyFill="1" applyBorder="1" applyAlignment="1">
      <alignment horizontal="left" vertical="center"/>
    </xf>
    <xf numFmtId="0" fontId="8" fillId="0" borderId="100" xfId="0" applyFont="1" applyFill="1" applyBorder="1" applyAlignment="1">
      <alignment horizontal="left" vertical="center"/>
    </xf>
    <xf numFmtId="0" fontId="10" fillId="0" borderId="0" xfId="0" applyFont="1" applyFill="1" applyAlignment="1">
      <alignment horizontal="center" wrapText="1"/>
    </xf>
    <xf numFmtId="0" fontId="10" fillId="0" borderId="0" xfId="0" applyFont="1" applyFill="1" applyAlignment="1">
      <alignment horizontal="center"/>
    </xf>
    <xf numFmtId="44" fontId="8" fillId="0" borderId="0" xfId="0" applyNumberFormat="1" applyFont="1" applyFill="1" applyAlignment="1">
      <alignment horizontal="left" wrapText="1"/>
    </xf>
    <xf numFmtId="166" fontId="8" fillId="0" borderId="0" xfId="0" applyNumberFormat="1" applyFont="1" applyFill="1" applyAlignment="1">
      <alignment horizontal="center" wrapText="1"/>
    </xf>
    <xf numFmtId="0" fontId="10" fillId="0" borderId="0" xfId="0" applyFont="1" applyFill="1" applyAlignment="1">
      <alignment vertical="center"/>
    </xf>
    <xf numFmtId="0" fontId="10" fillId="0" borderId="65" xfId="0" applyFont="1" applyFill="1" applyBorder="1" applyAlignment="1">
      <alignment horizontal="left" wrapText="1"/>
    </xf>
    <xf numFmtId="166" fontId="8" fillId="0" borderId="90" xfId="0" applyNumberFormat="1" applyFont="1" applyFill="1" applyBorder="1" applyAlignment="1">
      <alignment horizontal="center" vertical="center" wrapText="1"/>
    </xf>
    <xf numFmtId="166" fontId="8" fillId="0" borderId="89" xfId="0" applyNumberFormat="1" applyFont="1" applyFill="1" applyBorder="1" applyAlignment="1">
      <alignment horizontal="center" vertical="center" wrapText="1"/>
    </xf>
    <xf numFmtId="165" fontId="8" fillId="0" borderId="62" xfId="1" applyNumberFormat="1" applyFont="1" applyFill="1" applyBorder="1" applyAlignment="1">
      <alignment horizontal="center" vertical="center"/>
    </xf>
    <xf numFmtId="165" fontId="8" fillId="0" borderId="63" xfId="1" applyNumberFormat="1" applyFont="1" applyFill="1" applyBorder="1" applyAlignment="1">
      <alignment horizontal="center" vertical="center"/>
    </xf>
    <xf numFmtId="0" fontId="10" fillId="0" borderId="61"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61" xfId="0" applyFont="1" applyFill="1" applyBorder="1" applyAlignment="1">
      <alignment horizontal="center"/>
    </xf>
    <xf numFmtId="0" fontId="75" fillId="0" borderId="69" xfId="0" applyFont="1" applyFill="1" applyBorder="1" applyAlignment="1">
      <alignment horizontal="left"/>
    </xf>
    <xf numFmtId="0" fontId="75" fillId="0" borderId="75" xfId="0" applyFont="1" applyFill="1" applyBorder="1" applyAlignment="1">
      <alignment horizontal="left"/>
    </xf>
    <xf numFmtId="0" fontId="8" fillId="0" borderId="62" xfId="0" applyFont="1" applyFill="1" applyBorder="1" applyAlignment="1">
      <alignment horizontal="center" vertical="top" wrapText="1"/>
    </xf>
    <xf numFmtId="0" fontId="8" fillId="0" borderId="61" xfId="0" applyFont="1" applyFill="1" applyBorder="1" applyAlignment="1">
      <alignment horizontal="center" vertical="top" wrapText="1"/>
    </xf>
    <xf numFmtId="0" fontId="8" fillId="0" borderId="63" xfId="0" applyFont="1" applyFill="1" applyBorder="1" applyAlignment="1">
      <alignment horizontal="center" vertical="top" wrapText="1"/>
    </xf>
    <xf numFmtId="1" fontId="8" fillId="0" borderId="62" xfId="0" applyNumberFormat="1" applyFont="1" applyFill="1" applyBorder="1" applyAlignment="1">
      <alignment horizontal="center" wrapText="1"/>
    </xf>
    <xf numFmtId="1" fontId="8" fillId="0" borderId="63" xfId="0" applyNumberFormat="1" applyFont="1" applyFill="1" applyBorder="1" applyAlignment="1">
      <alignment horizontal="center" wrapText="1"/>
    </xf>
    <xf numFmtId="0" fontId="8" fillId="0" borderId="98" xfId="0" applyFont="1" applyFill="1" applyBorder="1" applyAlignment="1">
      <alignment horizontal="center" vertical="center" wrapText="1"/>
    </xf>
    <xf numFmtId="0" fontId="12" fillId="0" borderId="69" xfId="0" applyFont="1" applyFill="1" applyBorder="1" applyAlignment="1">
      <alignment horizontal="left" vertical="center"/>
    </xf>
    <xf numFmtId="0" fontId="8" fillId="0" borderId="107" xfId="0" applyFont="1" applyFill="1" applyBorder="1" applyAlignment="1">
      <alignment horizontal="left" vertical="top" wrapText="1"/>
    </xf>
    <xf numFmtId="0" fontId="8" fillId="0" borderId="102" xfId="0" applyFont="1" applyFill="1" applyBorder="1" applyAlignment="1">
      <alignment horizontal="left" vertical="top" wrapText="1"/>
    </xf>
    <xf numFmtId="0" fontId="12" fillId="0" borderId="90" xfId="0" applyFont="1" applyFill="1" applyBorder="1" applyAlignment="1">
      <alignment horizontal="left" wrapText="1"/>
    </xf>
    <xf numFmtId="0" fontId="12" fillId="0" borderId="88" xfId="0" applyFont="1" applyFill="1" applyBorder="1" applyAlignment="1">
      <alignment horizontal="left" wrapText="1"/>
    </xf>
    <xf numFmtId="0" fontId="12" fillId="0" borderId="89" xfId="0" applyFont="1" applyFill="1" applyBorder="1" applyAlignment="1">
      <alignment horizontal="left" wrapText="1"/>
    </xf>
    <xf numFmtId="0" fontId="4" fillId="3" borderId="0" xfId="0" applyFont="1" applyFill="1" applyAlignment="1">
      <alignment horizontal="center" wrapText="1"/>
    </xf>
    <xf numFmtId="0" fontId="19" fillId="59" borderId="9" xfId="6" applyFill="1" applyBorder="1" applyAlignment="1">
      <alignment horizontal="left" vertical="center" wrapText="1"/>
    </xf>
    <xf numFmtId="0" fontId="19" fillId="59" borderId="10" xfId="6" applyFill="1" applyBorder="1" applyAlignment="1">
      <alignment horizontal="left" vertical="center" wrapText="1"/>
    </xf>
    <xf numFmtId="0" fontId="19" fillId="59" borderId="11" xfId="6" applyFill="1" applyBorder="1" applyAlignment="1">
      <alignment horizontal="left" vertical="center" wrapText="1"/>
    </xf>
    <xf numFmtId="0" fontId="10" fillId="0" borderId="25"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97" xfId="0" applyFont="1" applyBorder="1" applyAlignment="1">
      <alignment horizontal="left" vertical="top" wrapText="1"/>
    </xf>
    <xf numFmtId="0" fontId="8" fillId="0" borderId="94" xfId="0" applyFont="1" applyBorder="1" applyAlignment="1">
      <alignment horizontal="left" vertical="top" wrapText="1"/>
    </xf>
    <xf numFmtId="0" fontId="8" fillId="0" borderId="96" xfId="0" applyFont="1" applyBorder="1" applyAlignment="1">
      <alignment horizontal="left" vertical="top" wrapText="1"/>
    </xf>
    <xf numFmtId="0" fontId="10" fillId="59" borderId="9" xfId="0" applyFont="1" applyFill="1" applyBorder="1" applyAlignment="1">
      <alignment horizontal="left"/>
    </xf>
    <xf numFmtId="0" fontId="10" fillId="59" borderId="10" xfId="0" applyFont="1" applyFill="1" applyBorder="1" applyAlignment="1">
      <alignment horizontal="left"/>
    </xf>
    <xf numFmtId="0" fontId="10" fillId="59" borderId="11" xfId="0" applyFont="1" applyFill="1" applyBorder="1" applyAlignment="1">
      <alignment horizontal="left"/>
    </xf>
    <xf numFmtId="0" fontId="8" fillId="0" borderId="0" xfId="0" applyFont="1" applyAlignment="1">
      <alignment horizontal="left" wrapText="1"/>
    </xf>
    <xf numFmtId="0" fontId="20" fillId="3" borderId="94" xfId="0" applyFont="1" applyFill="1" applyBorder="1" applyAlignment="1">
      <alignment horizontal="center" vertical="center" wrapText="1"/>
    </xf>
    <xf numFmtId="0" fontId="20" fillId="3" borderId="96" xfId="0" applyFont="1" applyFill="1" applyBorder="1" applyAlignment="1">
      <alignment horizontal="center" vertical="center" wrapText="1"/>
    </xf>
    <xf numFmtId="0" fontId="20" fillId="3" borderId="22" xfId="0" applyFont="1" applyFill="1" applyBorder="1" applyAlignment="1">
      <alignment horizontal="center"/>
    </xf>
    <xf numFmtId="0" fontId="20" fillId="3" borderId="14" xfId="0" applyFont="1" applyFill="1" applyBorder="1" applyAlignment="1">
      <alignment horizontal="center"/>
    </xf>
    <xf numFmtId="0" fontId="20" fillId="3" borderId="15" xfId="0" applyFont="1" applyFill="1" applyBorder="1" applyAlignment="1">
      <alignment horizontal="center"/>
    </xf>
    <xf numFmtId="0" fontId="20" fillId="3" borderId="25" xfId="0" applyFont="1" applyFill="1" applyBorder="1" applyAlignment="1">
      <alignment horizontal="center"/>
    </xf>
    <xf numFmtId="0" fontId="20" fillId="3" borderId="2" xfId="0" applyFont="1" applyFill="1" applyBorder="1" applyAlignment="1">
      <alignment horizontal="center"/>
    </xf>
    <xf numFmtId="0" fontId="20" fillId="3" borderId="23" xfId="0" applyFont="1" applyFill="1" applyBorder="1" applyAlignment="1">
      <alignment horizontal="center"/>
    </xf>
    <xf numFmtId="0" fontId="8" fillId="0" borderId="0" xfId="0" applyFont="1" applyAlignment="1">
      <alignment wrapText="1"/>
    </xf>
    <xf numFmtId="0" fontId="8" fillId="0" borderId="103" xfId="0" applyFont="1" applyBorder="1" applyAlignment="1">
      <alignment horizontal="left" vertical="top" wrapText="1"/>
    </xf>
    <xf numFmtId="0" fontId="8" fillId="0" borderId="103" xfId="0" applyFont="1" applyBorder="1" applyAlignment="1">
      <alignment horizontal="left" vertical="top"/>
    </xf>
    <xf numFmtId="0" fontId="66" fillId="0" borderId="0" xfId="0" applyFont="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horizontal="left" vertical="top"/>
    </xf>
    <xf numFmtId="0" fontId="10" fillId="0" borderId="20" xfId="0" applyFont="1" applyBorder="1" applyAlignment="1">
      <alignment horizontal="center"/>
    </xf>
    <xf numFmtId="0" fontId="8" fillId="0" borderId="62" xfId="0" applyFont="1" applyBorder="1" applyAlignment="1">
      <alignment horizontal="left"/>
    </xf>
    <xf numFmtId="0" fontId="8" fillId="0" borderId="61" xfId="0" applyFont="1" applyBorder="1" applyAlignment="1">
      <alignment horizontal="left"/>
    </xf>
    <xf numFmtId="0" fontId="8" fillId="0" borderId="63"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0" fontId="8" fillId="0" borderId="100" xfId="0" applyFont="1" applyBorder="1" applyAlignment="1">
      <alignment horizontal="left"/>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1" fontId="8" fillId="3" borderId="62" xfId="0" applyNumberFormat="1" applyFont="1" applyFill="1" applyBorder="1" applyAlignment="1">
      <alignment horizontal="center"/>
    </xf>
    <xf numFmtId="1" fontId="8" fillId="3" borderId="61" xfId="0" applyNumberFormat="1" applyFont="1" applyFill="1" applyBorder="1" applyAlignment="1">
      <alignment horizontal="center"/>
    </xf>
    <xf numFmtId="1" fontId="8" fillId="3" borderId="63" xfId="0" applyNumberFormat="1" applyFont="1" applyFill="1" applyBorder="1" applyAlignment="1">
      <alignment horizontal="center"/>
    </xf>
    <xf numFmtId="0" fontId="0" fillId="0" borderId="0" xfId="0" applyAlignment="1">
      <alignment horizontal="left" wrapText="1"/>
    </xf>
    <xf numFmtId="0" fontId="21" fillId="5" borderId="94" xfId="0" applyFont="1" applyFill="1" applyBorder="1" applyAlignment="1">
      <alignment horizontal="center" wrapText="1"/>
    </xf>
    <xf numFmtId="0" fontId="21" fillId="3" borderId="94" xfId="0" applyFont="1" applyFill="1" applyBorder="1" applyAlignment="1">
      <alignment horizontal="center" wrapText="1"/>
    </xf>
    <xf numFmtId="0" fontId="8" fillId="0" borderId="0" xfId="0" applyFont="1" applyFill="1" applyBorder="1" applyAlignment="1">
      <alignment horizontal="center"/>
    </xf>
    <xf numFmtId="17" fontId="8" fillId="0" borderId="103" xfId="0" quotePrefix="1" applyNumberFormat="1" applyFont="1" applyFill="1" applyBorder="1" applyAlignment="1">
      <alignment horizontal="center"/>
    </xf>
    <xf numFmtId="0" fontId="8" fillId="0" borderId="103" xfId="0" applyFont="1" applyFill="1" applyBorder="1" applyAlignment="1">
      <alignment horizontal="left" wrapText="1"/>
    </xf>
    <xf numFmtId="172" fontId="8" fillId="0" borderId="103" xfId="0" applyNumberFormat="1" applyFont="1" applyFill="1" applyBorder="1" applyAlignment="1">
      <alignment horizontal="center"/>
    </xf>
    <xf numFmtId="0" fontId="8" fillId="0" borderId="103" xfId="0" applyFont="1" applyBorder="1" applyAlignment="1">
      <alignment horizontal="left" indent="1"/>
    </xf>
    <xf numFmtId="0" fontId="8" fillId="0" borderId="108" xfId="0" applyFont="1" applyFill="1" applyBorder="1" applyAlignment="1">
      <alignment wrapText="1"/>
    </xf>
    <xf numFmtId="0" fontId="8" fillId="0" borderId="108" xfId="0" applyFont="1" applyFill="1" applyBorder="1"/>
    <xf numFmtId="165" fontId="10" fillId="0" borderId="108" xfId="0" applyNumberFormat="1" applyFont="1" applyFill="1" applyBorder="1" applyAlignment="1">
      <alignment horizontal="right"/>
    </xf>
    <xf numFmtId="166" fontId="8" fillId="0" borderId="108" xfId="0" applyNumberFormat="1" applyFont="1" applyFill="1" applyBorder="1"/>
    <xf numFmtId="44" fontId="8" fillId="0" borderId="108" xfId="2" applyFont="1" applyFill="1" applyBorder="1"/>
    <xf numFmtId="0" fontId="8" fillId="0" borderId="108" xfId="0" applyFont="1" applyFill="1" applyBorder="1" applyAlignment="1">
      <alignment horizontal="center"/>
    </xf>
    <xf numFmtId="0" fontId="8" fillId="0" borderId="81" xfId="0" applyFont="1" applyFill="1" applyBorder="1" applyAlignment="1">
      <alignment horizontal="center" vertical="center"/>
    </xf>
    <xf numFmtId="44" fontId="8" fillId="0" borderId="108" xfId="0" applyNumberFormat="1" applyFont="1" applyFill="1" applyBorder="1"/>
    <xf numFmtId="164" fontId="8" fillId="0" borderId="0" xfId="0" applyNumberFormat="1" applyFont="1" applyFill="1" applyBorder="1" applyAlignment="1">
      <alignment horizontal="right"/>
    </xf>
    <xf numFmtId="0" fontId="8" fillId="0" borderId="0" xfId="0" applyFont="1" applyFill="1" applyBorder="1" applyAlignment="1">
      <alignment horizontal="right"/>
    </xf>
    <xf numFmtId="0" fontId="8" fillId="0" borderId="0" xfId="0" applyFont="1" applyFill="1" applyBorder="1" applyAlignment="1">
      <alignment horizontal="center" vertical="center" wrapText="1"/>
    </xf>
    <xf numFmtId="3" fontId="8" fillId="0" borderId="0" xfId="0" applyNumberFormat="1" applyFont="1" applyFill="1" applyBorder="1" applyAlignment="1">
      <alignment vertical="center" wrapText="1"/>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8" fontId="8" fillId="0" borderId="0" xfId="2" applyNumberFormat="1" applyFont="1" applyFill="1" applyBorder="1" applyAlignment="1"/>
    <xf numFmtId="3" fontId="8" fillId="0" borderId="63" xfId="0" applyNumberFormat="1" applyFont="1" applyFill="1" applyBorder="1" applyAlignment="1">
      <alignment horizontal="center" vertical="center" wrapText="1"/>
    </xf>
  </cellXfs>
  <cellStyles count="312">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cost factors v5" xfId="4" xr:uid="{7DE4B25D-8254-423C-B276-300477A49D35}"/>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2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00"/>
      <color rgb="FFFF505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749</xdr:row>
          <xdr:rowOff>333375</xdr:rowOff>
        </xdr:from>
        <xdr:to>
          <xdr:col>1</xdr:col>
          <xdr:colOff>0</xdr:colOff>
          <xdr:row>749</xdr:row>
          <xdr:rowOff>1143000</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1739</xdr:row>
          <xdr:rowOff>447675</xdr:rowOff>
        </xdr:from>
        <xdr:to>
          <xdr:col>1</xdr:col>
          <xdr:colOff>0</xdr:colOff>
          <xdr:row>1741</xdr:row>
          <xdr:rowOff>333375</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5271</xdr:row>
          <xdr:rowOff>38100</xdr:rowOff>
        </xdr:from>
        <xdr:to>
          <xdr:col>3</xdr:col>
          <xdr:colOff>933450</xdr:colOff>
          <xdr:row>5272</xdr:row>
          <xdr:rowOff>342900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28575</xdr:colOff>
      <xdr:row>2</xdr:row>
      <xdr:rowOff>22150</xdr:rowOff>
    </xdr:from>
    <xdr:to>
      <xdr:col>8</xdr:col>
      <xdr:colOff>333375</xdr:colOff>
      <xdr:row>45</xdr:row>
      <xdr:rowOff>161925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28575" y="393625"/>
          <a:ext cx="4791075" cy="8331275"/>
          <a:chOff x="53975" y="82550"/>
          <a:chExt cx="4977783" cy="7745468"/>
        </a:xfrm>
      </xdr:grpSpPr>
      <xdr:grpSp>
        <xdr:nvGrpSpPr>
          <xdr:cNvPr id="6" name="Group 5">
            <a:extLst>
              <a:ext uri="{FF2B5EF4-FFF2-40B4-BE49-F238E27FC236}">
                <a16:creationId xmlns:a16="http://schemas.microsoft.com/office/drawing/2014/main" id="{00000000-0008-0000-0200-000006000000}"/>
              </a:ext>
            </a:extLst>
          </xdr:cNvPr>
          <xdr:cNvGrpSpPr/>
        </xdr:nvGrpSpPr>
        <xdr:grpSpPr>
          <a:xfrm>
            <a:off x="53975" y="82550"/>
            <a:ext cx="4977783" cy="7745468"/>
            <a:chOff x="196850" y="158750"/>
            <a:chExt cx="4977783" cy="7745468"/>
          </a:xfrm>
        </xdr:grpSpPr>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34950" y="158750"/>
              <a:ext cx="4939683" cy="6422223"/>
            </a:xfrm>
            <a:prstGeom prst="rect">
              <a:avLst/>
            </a:prstGeom>
          </xdr:spPr>
        </xdr:pic>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96850" y="6578600"/>
              <a:ext cx="4777779" cy="939683"/>
            </a:xfrm>
            <a:prstGeom prst="rect">
              <a:avLst/>
            </a:prstGeom>
          </xdr:spPr>
        </xdr:pic>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266700" y="7407275"/>
              <a:ext cx="4679365" cy="496943"/>
            </a:xfrm>
            <a:prstGeom prst="rect">
              <a:avLst/>
            </a:prstGeom>
          </xdr:spPr>
        </xdr:pic>
      </xdr:grpSp>
      <xdr:sp macro="" textlink="">
        <xdr:nvSpPr>
          <xdr:cNvPr id="5" name="Rectangle 4">
            <a:extLst>
              <a:ext uri="{FF2B5EF4-FFF2-40B4-BE49-F238E27FC236}">
                <a16:creationId xmlns:a16="http://schemas.microsoft.com/office/drawing/2014/main" id="{00000000-0008-0000-0200-000005000000}"/>
              </a:ext>
            </a:extLst>
          </xdr:cNvPr>
          <xdr:cNvSpPr/>
        </xdr:nvSpPr>
        <xdr:spPr>
          <a:xfrm>
            <a:off x="3276600" y="5768975"/>
            <a:ext cx="67627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161925</xdr:colOff>
      <xdr:row>44</xdr:row>
      <xdr:rowOff>126999</xdr:rowOff>
    </xdr:from>
    <xdr:to>
      <xdr:col>3</xdr:col>
      <xdr:colOff>609599</xdr:colOff>
      <xdr:row>45</xdr:row>
      <xdr:rowOff>126999</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61925" y="8089899"/>
          <a:ext cx="2276474"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VF = Vertical Feet (FAC 1413-Control Tower)</a:t>
          </a:r>
        </a:p>
      </xdr:txBody>
    </xdr:sp>
    <xdr:clientData/>
  </xdr:twoCellAnchor>
  <xdr:twoCellAnchor>
    <xdr:from>
      <xdr:col>11</xdr:col>
      <xdr:colOff>371475</xdr:colOff>
      <xdr:row>27</xdr:row>
      <xdr:rowOff>47625</xdr:rowOff>
    </xdr:from>
    <xdr:to>
      <xdr:col>14</xdr:col>
      <xdr:colOff>295275</xdr:colOff>
      <xdr:row>28</xdr:row>
      <xdr:rowOff>171450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6696075" y="4933950"/>
          <a:ext cx="17526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578574</xdr:colOff>
      <xdr:row>78</xdr:row>
      <xdr:rowOff>57150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941774"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8</xdr:row>
          <xdr:rowOff>104775</xdr:rowOff>
        </xdr:from>
        <xdr:to>
          <xdr:col>0</xdr:col>
          <xdr:colOff>1943100</xdr:colOff>
          <xdr:row>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9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tabColor rgb="FFFFFF00"/>
    <pageSetUpPr fitToPage="1"/>
  </sheetPr>
  <dimension ref="A1:AI5286"/>
  <sheetViews>
    <sheetView tabSelected="1" zoomScale="85" zoomScaleNormal="85" workbookViewId="0">
      <selection sqref="A1:L1"/>
    </sheetView>
  </sheetViews>
  <sheetFormatPr defaultColWidth="8.85546875" defaultRowHeight="30" customHeight="1" x14ac:dyDescent="0.25"/>
  <cols>
    <col min="1" max="1" width="16.85546875" style="336" customWidth="1"/>
    <col min="2" max="3" width="9.140625" style="334"/>
    <col min="4" max="4" width="38.140625" style="334" customWidth="1"/>
    <col min="5" max="5" width="19.140625" style="334" customWidth="1"/>
    <col min="6" max="6" width="14.85546875" style="334" customWidth="1"/>
    <col min="7" max="7" width="17.140625" style="334" customWidth="1"/>
    <col min="8" max="8" width="17" style="334" customWidth="1"/>
    <col min="9" max="9" width="16.140625" style="334" customWidth="1"/>
    <col min="10" max="10" width="18.42578125" style="334" customWidth="1"/>
    <col min="11" max="11" width="19.140625" style="334" customWidth="1"/>
    <col min="12" max="12" width="9.140625" style="334" customWidth="1"/>
    <col min="13" max="14" width="17.5703125" style="11" customWidth="1"/>
    <col min="15" max="15" width="20.140625" style="334" customWidth="1"/>
    <col min="16" max="16" width="49.42578125" style="340" customWidth="1"/>
    <col min="17" max="17" width="11.85546875" style="334" customWidth="1"/>
    <col min="18" max="18" width="8.85546875" style="334"/>
    <col min="19" max="20" width="12.140625" style="334" customWidth="1"/>
    <col min="21" max="21" width="11.85546875" style="334" customWidth="1"/>
    <col min="22" max="22" width="8.85546875" style="334"/>
    <col min="23" max="23" width="13.42578125" style="334" customWidth="1"/>
    <col min="24" max="16384" width="8.85546875" style="334"/>
  </cols>
  <sheetData>
    <row r="1" spans="1:23" ht="30" customHeight="1" thickBot="1" x14ac:dyDescent="0.3">
      <c r="A1" s="1498" t="s">
        <v>0</v>
      </c>
      <c r="B1" s="1499"/>
      <c r="C1" s="1499"/>
      <c r="D1" s="1499"/>
      <c r="E1" s="1499"/>
      <c r="F1" s="1499"/>
      <c r="G1" s="1499"/>
      <c r="H1" s="1499"/>
      <c r="I1" s="1499"/>
      <c r="J1" s="1499"/>
      <c r="K1" s="1499"/>
      <c r="L1" s="1500"/>
    </row>
    <row r="2" spans="1:23" ht="30" customHeight="1" x14ac:dyDescent="0.25">
      <c r="A2" s="1501" t="s">
        <v>1</v>
      </c>
      <c r="B2" s="1501"/>
      <c r="C2" s="1501"/>
      <c r="D2" s="1501"/>
      <c r="E2" s="1501"/>
      <c r="F2" s="1501"/>
      <c r="G2" s="1501"/>
      <c r="H2" s="1501"/>
      <c r="I2" s="1501"/>
      <c r="J2" s="1501"/>
      <c r="K2" s="1501"/>
      <c r="L2" s="1502"/>
    </row>
    <row r="3" spans="1:23" s="344" customFormat="1" ht="30" customHeight="1" x14ac:dyDescent="0.25">
      <c r="A3" s="1268" t="s">
        <v>2</v>
      </c>
      <c r="B3" s="1167"/>
      <c r="C3" s="1167"/>
      <c r="D3" s="1167"/>
      <c r="E3" s="1167"/>
      <c r="F3" s="1167"/>
      <c r="G3" s="1167"/>
      <c r="H3" s="1167"/>
      <c r="I3" s="1167"/>
      <c r="J3" s="1167"/>
      <c r="K3" s="1167"/>
      <c r="L3" s="1449"/>
    </row>
    <row r="4" spans="1:23" ht="30" customHeight="1" x14ac:dyDescent="0.25">
      <c r="A4" s="1164" t="s">
        <v>3</v>
      </c>
      <c r="B4" s="1164"/>
      <c r="C4" s="1164"/>
      <c r="D4" s="1164"/>
      <c r="E4" s="1164"/>
      <c r="F4" s="1164"/>
      <c r="G4" s="1164"/>
      <c r="H4" s="1164"/>
      <c r="I4" s="1164"/>
      <c r="J4" s="1164"/>
      <c r="K4" s="1164"/>
      <c r="L4" s="1503"/>
    </row>
    <row r="5" spans="1:23" s="344" customFormat="1" ht="30" customHeight="1" thickBot="1" x14ac:dyDescent="0.3">
      <c r="A5" s="1164" t="s">
        <v>4</v>
      </c>
      <c r="B5" s="1164"/>
      <c r="C5" s="1164"/>
      <c r="D5" s="1164"/>
      <c r="E5" s="1164"/>
      <c r="F5" s="1164"/>
      <c r="G5" s="1164"/>
      <c r="H5" s="1164"/>
      <c r="I5" s="1164"/>
      <c r="J5" s="1164"/>
      <c r="K5" s="1164"/>
      <c r="L5" s="1503"/>
    </row>
    <row r="6" spans="1:23" ht="30" customHeight="1" thickBot="1" x14ac:dyDescent="0.3">
      <c r="A6" s="1180"/>
      <c r="B6" s="1181"/>
      <c r="C6" s="1181"/>
      <c r="D6" s="1181"/>
      <c r="E6" s="1181"/>
      <c r="F6" s="1181"/>
      <c r="G6" s="1181"/>
      <c r="H6" s="1181"/>
      <c r="I6" s="1181"/>
      <c r="J6" s="1181"/>
      <c r="K6" s="1181"/>
      <c r="L6" s="1182"/>
    </row>
    <row r="7" spans="1:23" s="345" customFormat="1" ht="30" customHeight="1" x14ac:dyDescent="0.25">
      <c r="A7" s="327" t="s">
        <v>5</v>
      </c>
      <c r="B7" s="328">
        <v>1111</v>
      </c>
      <c r="C7" s="1364" t="s">
        <v>6</v>
      </c>
      <c r="D7" s="1365"/>
      <c r="E7" s="342" t="s">
        <v>7</v>
      </c>
      <c r="F7" s="347">
        <v>333333</v>
      </c>
      <c r="G7" s="331" t="s">
        <v>8</v>
      </c>
      <c r="H7" s="332" t="s">
        <v>9</v>
      </c>
      <c r="I7" s="331" t="s">
        <v>10</v>
      </c>
      <c r="J7" s="1253" t="s">
        <v>11</v>
      </c>
      <c r="K7" s="1254"/>
      <c r="L7" s="1255"/>
      <c r="M7" s="147"/>
      <c r="N7" s="57"/>
      <c r="P7" s="344"/>
      <c r="Q7" s="334"/>
      <c r="R7" s="334"/>
      <c r="S7" s="334"/>
      <c r="T7" s="334"/>
      <c r="U7" s="334"/>
      <c r="V7" s="334"/>
    </row>
    <row r="8" spans="1:23" ht="30" customHeight="1" x14ac:dyDescent="0.25">
      <c r="A8" s="356" t="s">
        <v>12</v>
      </c>
      <c r="B8" s="1163" t="s">
        <v>13</v>
      </c>
      <c r="C8" s="1163"/>
      <c r="D8" s="1163"/>
      <c r="E8" s="356" t="s">
        <v>14</v>
      </c>
      <c r="F8" s="357" t="s">
        <v>15</v>
      </c>
      <c r="G8" s="357" t="s">
        <v>16</v>
      </c>
      <c r="H8" s="357" t="s">
        <v>17</v>
      </c>
      <c r="I8" s="357" t="s">
        <v>18</v>
      </c>
      <c r="J8" s="358" t="s">
        <v>19</v>
      </c>
      <c r="K8" s="358" t="s">
        <v>20</v>
      </c>
      <c r="L8" s="359"/>
      <c r="M8" s="110"/>
      <c r="N8" s="110"/>
    </row>
    <row r="9" spans="1:23" ht="30" customHeight="1" x14ac:dyDescent="0.25">
      <c r="A9" s="360" t="s">
        <v>21</v>
      </c>
      <c r="B9" s="1164" t="s">
        <v>22</v>
      </c>
      <c r="C9" s="1164"/>
      <c r="D9" s="1164"/>
      <c r="E9" s="361">
        <v>1227603.21</v>
      </c>
      <c r="F9" s="360" t="s">
        <v>9</v>
      </c>
      <c r="G9" s="362">
        <v>0</v>
      </c>
      <c r="H9" s="362">
        <v>902433.12837727997</v>
      </c>
      <c r="I9" s="362">
        <v>561510.55156681698</v>
      </c>
      <c r="J9" s="363">
        <v>770233.2</v>
      </c>
      <c r="K9" s="362">
        <f>G9+H9+I9</f>
        <v>1463943.6799440971</v>
      </c>
      <c r="L9" s="339" t="s">
        <v>9</v>
      </c>
      <c r="M9" s="58"/>
      <c r="N9" s="58"/>
      <c r="O9" s="336"/>
      <c r="V9" s="10"/>
      <c r="W9" s="10"/>
    </row>
    <row r="10" spans="1:23" ht="30" customHeight="1" x14ac:dyDescent="0.25">
      <c r="A10" s="360" t="s">
        <v>23</v>
      </c>
      <c r="B10" s="1164" t="s">
        <v>24</v>
      </c>
      <c r="C10" s="1164"/>
      <c r="D10" s="1164"/>
      <c r="E10" s="361">
        <v>166847.19</v>
      </c>
      <c r="F10" s="360" t="s">
        <v>25</v>
      </c>
      <c r="G10" s="362">
        <v>12335236.609322101</v>
      </c>
      <c r="H10" s="362">
        <v>3234952.8813414001</v>
      </c>
      <c r="I10" s="362">
        <v>1101137.9144937799</v>
      </c>
      <c r="J10" s="363">
        <v>9753970.9600000009</v>
      </c>
      <c r="K10" s="362">
        <f>G10+H10+I10</f>
        <v>16671327.405157281</v>
      </c>
      <c r="L10" s="339" t="s">
        <v>25</v>
      </c>
      <c r="M10" s="58"/>
      <c r="N10" s="58"/>
      <c r="O10" s="336"/>
      <c r="V10" s="10"/>
      <c r="W10" s="10"/>
    </row>
    <row r="11" spans="1:23" ht="30" customHeight="1" x14ac:dyDescent="0.25">
      <c r="A11" s="360" t="s">
        <v>26</v>
      </c>
      <c r="B11" s="1164" t="s">
        <v>27</v>
      </c>
      <c r="C11" s="1164"/>
      <c r="D11" s="1164"/>
      <c r="E11" s="361">
        <v>340560.89</v>
      </c>
      <c r="F11" s="360" t="s">
        <v>25</v>
      </c>
      <c r="G11" s="362">
        <v>17193419.6629478</v>
      </c>
      <c r="H11" s="362">
        <v>0</v>
      </c>
      <c r="I11" s="362">
        <v>0</v>
      </c>
      <c r="J11" s="363">
        <v>10524956</v>
      </c>
      <c r="K11" s="362">
        <f t="shared" ref="K11:K23" si="0">G11+H11+I11</f>
        <v>17193419.6629478</v>
      </c>
      <c r="L11" s="339" t="s">
        <v>25</v>
      </c>
      <c r="M11" s="58"/>
      <c r="N11" s="58"/>
      <c r="O11" s="336"/>
      <c r="V11" s="10"/>
      <c r="W11" s="10"/>
    </row>
    <row r="12" spans="1:23" ht="30" customHeight="1" x14ac:dyDescent="0.25">
      <c r="A12" s="360" t="s">
        <v>28</v>
      </c>
      <c r="B12" s="1164" t="s">
        <v>29</v>
      </c>
      <c r="C12" s="1164"/>
      <c r="D12" s="1164"/>
      <c r="E12" s="361">
        <v>333334</v>
      </c>
      <c r="F12" s="360" t="s">
        <v>9</v>
      </c>
      <c r="G12" s="364">
        <v>1026827.41272238</v>
      </c>
      <c r="H12" s="362">
        <v>260354.83148087701</v>
      </c>
      <c r="I12" s="362">
        <v>114351.234598628</v>
      </c>
      <c r="J12" s="363">
        <v>821620.69</v>
      </c>
      <c r="K12" s="362">
        <f t="shared" si="0"/>
        <v>1401533.4788018849</v>
      </c>
      <c r="L12" s="339" t="s">
        <v>9</v>
      </c>
      <c r="M12" s="58"/>
      <c r="N12" s="58"/>
      <c r="O12" s="336"/>
      <c r="V12" s="10"/>
      <c r="W12" s="10"/>
    </row>
    <row r="13" spans="1:23" ht="30" customHeight="1" x14ac:dyDescent="0.25">
      <c r="A13" s="360" t="s">
        <v>30</v>
      </c>
      <c r="B13" s="1164" t="s">
        <v>31</v>
      </c>
      <c r="C13" s="1164"/>
      <c r="D13" s="1164"/>
      <c r="E13" s="361">
        <v>333334</v>
      </c>
      <c r="F13" s="360" t="s">
        <v>9</v>
      </c>
      <c r="G13" s="362">
        <v>7153564.3086325601</v>
      </c>
      <c r="H13" s="362">
        <v>17030268.9768668</v>
      </c>
      <c r="I13" s="362">
        <v>5118579.0725100301</v>
      </c>
      <c r="J13" s="363">
        <v>15561173</v>
      </c>
      <c r="K13" s="362">
        <f t="shared" si="0"/>
        <v>29302412.358009391</v>
      </c>
      <c r="L13" s="339" t="s">
        <v>9</v>
      </c>
      <c r="M13" s="54"/>
      <c r="N13" s="54"/>
      <c r="O13" s="336"/>
      <c r="V13" s="10"/>
      <c r="W13" s="10"/>
    </row>
    <row r="14" spans="1:23" ht="30" customHeight="1" x14ac:dyDescent="0.25">
      <c r="A14" s="360" t="s">
        <v>32</v>
      </c>
      <c r="B14" s="1164" t="s">
        <v>33</v>
      </c>
      <c r="C14" s="1164"/>
      <c r="D14" s="1164"/>
      <c r="E14" s="361">
        <v>333334</v>
      </c>
      <c r="F14" s="360" t="s">
        <v>9</v>
      </c>
      <c r="G14" s="362">
        <v>0</v>
      </c>
      <c r="H14" s="362">
        <v>2940478.0967251998</v>
      </c>
      <c r="I14" s="362">
        <v>2368704.1452573002</v>
      </c>
      <c r="J14" s="363">
        <v>2839719.97</v>
      </c>
      <c r="K14" s="362">
        <f t="shared" si="0"/>
        <v>5309182.2419825001</v>
      </c>
      <c r="L14" s="339" t="s">
        <v>9</v>
      </c>
      <c r="M14" s="54"/>
      <c r="N14" s="54"/>
      <c r="O14" s="336"/>
      <c r="V14" s="10"/>
      <c r="W14" s="10"/>
    </row>
    <row r="15" spans="1:23" ht="30" customHeight="1" x14ac:dyDescent="0.25">
      <c r="A15" s="360" t="s">
        <v>34</v>
      </c>
      <c r="B15" s="1164" t="s">
        <v>35</v>
      </c>
      <c r="C15" s="1164"/>
      <c r="D15" s="1164"/>
      <c r="E15" s="361">
        <v>166665.06</v>
      </c>
      <c r="F15" s="360" t="s">
        <v>25</v>
      </c>
      <c r="G15" s="362">
        <v>33571148.9414685</v>
      </c>
      <c r="H15" s="362">
        <v>0</v>
      </c>
      <c r="I15" s="362">
        <v>0</v>
      </c>
      <c r="J15" s="363">
        <v>20550588.140000001</v>
      </c>
      <c r="K15" s="362">
        <f t="shared" si="0"/>
        <v>33571148.9414685</v>
      </c>
      <c r="L15" s="339" t="s">
        <v>25</v>
      </c>
      <c r="M15" s="54"/>
      <c r="N15" s="54"/>
      <c r="O15" s="336"/>
      <c r="V15" s="10"/>
      <c r="W15" s="10"/>
    </row>
    <row r="16" spans="1:23" ht="30" customHeight="1" x14ac:dyDescent="0.25">
      <c r="A16" s="360" t="s">
        <v>36</v>
      </c>
      <c r="B16" s="1164" t="s">
        <v>37</v>
      </c>
      <c r="C16" s="1164"/>
      <c r="D16" s="1164"/>
      <c r="E16" s="361">
        <v>166665.06</v>
      </c>
      <c r="F16" s="360" t="s">
        <v>25</v>
      </c>
      <c r="G16" s="362">
        <v>0</v>
      </c>
      <c r="H16" s="362">
        <v>225893.39303705501</v>
      </c>
      <c r="I16" s="362">
        <v>332159.124075239</v>
      </c>
      <c r="J16" s="363">
        <v>310092.14</v>
      </c>
      <c r="K16" s="362">
        <f t="shared" si="0"/>
        <v>558052.51711229398</v>
      </c>
      <c r="L16" s="339" t="s">
        <v>25</v>
      </c>
      <c r="M16" s="54"/>
      <c r="N16" s="54"/>
      <c r="O16" s="336"/>
      <c r="V16" s="10"/>
      <c r="W16" s="10"/>
    </row>
    <row r="17" spans="1:23" ht="30" customHeight="1" x14ac:dyDescent="0.25">
      <c r="A17" s="360" t="s">
        <v>38</v>
      </c>
      <c r="B17" s="1164" t="s">
        <v>39</v>
      </c>
      <c r="C17" s="1164"/>
      <c r="D17" s="1164"/>
      <c r="E17" s="361">
        <v>143333.62</v>
      </c>
      <c r="F17" s="360" t="s">
        <v>40</v>
      </c>
      <c r="G17" s="362">
        <v>370400.448143229</v>
      </c>
      <c r="H17" s="362">
        <v>1112943.2802104</v>
      </c>
      <c r="I17" s="362">
        <v>0</v>
      </c>
      <c r="J17" s="363">
        <v>752735.56</v>
      </c>
      <c r="K17" s="362">
        <f t="shared" si="0"/>
        <v>1483343.7283536289</v>
      </c>
      <c r="L17" s="339" t="s">
        <v>40</v>
      </c>
      <c r="M17" s="54"/>
      <c r="N17" s="54"/>
      <c r="O17" s="336"/>
      <c r="V17" s="10"/>
      <c r="W17" s="10"/>
    </row>
    <row r="18" spans="1:23" ht="30" customHeight="1" x14ac:dyDescent="0.25">
      <c r="A18" s="360" t="s">
        <v>41</v>
      </c>
      <c r="B18" s="1164" t="s">
        <v>42</v>
      </c>
      <c r="C18" s="1164"/>
      <c r="D18" s="1164"/>
      <c r="E18" s="361">
        <v>140000.28</v>
      </c>
      <c r="F18" s="360" t="s">
        <v>40</v>
      </c>
      <c r="G18" s="362">
        <v>361784.801512915</v>
      </c>
      <c r="H18" s="362">
        <v>1087055.82227145</v>
      </c>
      <c r="I18" s="362">
        <v>0</v>
      </c>
      <c r="J18" s="363">
        <v>735226.67</v>
      </c>
      <c r="K18" s="362">
        <f t="shared" si="0"/>
        <v>1448840.6237843649</v>
      </c>
      <c r="L18" s="339" t="s">
        <v>40</v>
      </c>
      <c r="M18" s="54"/>
      <c r="N18" s="54"/>
      <c r="O18" s="336"/>
      <c r="V18" s="10"/>
      <c r="W18" s="10"/>
    </row>
    <row r="19" spans="1:23" ht="30" customHeight="1" x14ac:dyDescent="0.25">
      <c r="A19" s="360" t="s">
        <v>43</v>
      </c>
      <c r="B19" s="1164" t="s">
        <v>44</v>
      </c>
      <c r="C19" s="1164"/>
      <c r="D19" s="1164"/>
      <c r="E19" s="361">
        <v>33333.4</v>
      </c>
      <c r="F19" s="360" t="s">
        <v>40</v>
      </c>
      <c r="G19" s="362">
        <v>108386.03736412901</v>
      </c>
      <c r="H19" s="362">
        <v>835422.68407941295</v>
      </c>
      <c r="I19" s="362">
        <v>0</v>
      </c>
      <c r="J19" s="363">
        <v>461182.69</v>
      </c>
      <c r="K19" s="362">
        <f t="shared" si="0"/>
        <v>943808.72144354193</v>
      </c>
      <c r="L19" s="339" t="s">
        <v>40</v>
      </c>
      <c r="M19" s="54"/>
      <c r="N19" s="54"/>
      <c r="O19" s="336"/>
      <c r="V19" s="10"/>
      <c r="W19" s="10"/>
    </row>
    <row r="20" spans="1:23" ht="30" customHeight="1" x14ac:dyDescent="0.25">
      <c r="A20" s="360" t="s">
        <v>45</v>
      </c>
      <c r="B20" s="1164" t="s">
        <v>46</v>
      </c>
      <c r="C20" s="1164"/>
      <c r="D20" s="1164"/>
      <c r="E20" s="361">
        <v>89310</v>
      </c>
      <c r="F20" s="360" t="s">
        <v>40</v>
      </c>
      <c r="G20" s="362">
        <v>151314.52515083799</v>
      </c>
      <c r="H20" s="362">
        <v>45136.707961018503</v>
      </c>
      <c r="I20" s="362">
        <v>21884.3321499146</v>
      </c>
      <c r="J20" s="363">
        <v>127356.06</v>
      </c>
      <c r="K20" s="362">
        <f t="shared" si="0"/>
        <v>218335.56526177112</v>
      </c>
      <c r="L20" s="339" t="s">
        <v>40</v>
      </c>
      <c r="M20" s="54"/>
      <c r="N20" s="54"/>
      <c r="O20" s="336"/>
      <c r="V20" s="10"/>
      <c r="W20" s="10"/>
    </row>
    <row r="21" spans="1:23" ht="30" customHeight="1" x14ac:dyDescent="0.25">
      <c r="A21" s="360" t="s">
        <v>47</v>
      </c>
      <c r="B21" s="1164" t="s">
        <v>48</v>
      </c>
      <c r="C21" s="1164"/>
      <c r="D21" s="1164"/>
      <c r="E21" s="361">
        <v>60000</v>
      </c>
      <c r="F21" s="360" t="s">
        <v>40</v>
      </c>
      <c r="G21" s="362">
        <v>101655.71054809399</v>
      </c>
      <c r="H21" s="362">
        <v>30323.619725239201</v>
      </c>
      <c r="I21" s="362">
        <v>14702.2721867078</v>
      </c>
      <c r="J21" s="363">
        <v>85560</v>
      </c>
      <c r="K21" s="362">
        <f t="shared" si="0"/>
        <v>146681.60246004097</v>
      </c>
      <c r="L21" s="339" t="s">
        <v>40</v>
      </c>
      <c r="M21" s="54"/>
      <c r="N21" s="54"/>
      <c r="O21" s="336"/>
      <c r="V21" s="10"/>
      <c r="W21" s="10"/>
    </row>
    <row r="22" spans="1:23" ht="30" customHeight="1" x14ac:dyDescent="0.25">
      <c r="A22" s="360" t="s">
        <v>49</v>
      </c>
      <c r="B22" s="1164" t="s">
        <v>50</v>
      </c>
      <c r="C22" s="1164"/>
      <c r="D22" s="1164"/>
      <c r="E22" s="361">
        <v>100800</v>
      </c>
      <c r="F22" s="360" t="s">
        <v>40</v>
      </c>
      <c r="G22" s="362">
        <v>81078.130352298205</v>
      </c>
      <c r="H22" s="362">
        <v>74099.899837675403</v>
      </c>
      <c r="I22" s="362">
        <v>18113.199334024099</v>
      </c>
      <c r="J22" s="363">
        <v>95740.800000000003</v>
      </c>
      <c r="K22" s="362">
        <f t="shared" si="0"/>
        <v>173291.2295239977</v>
      </c>
      <c r="L22" s="339" t="s">
        <v>40</v>
      </c>
      <c r="M22" s="54"/>
      <c r="N22" s="54"/>
      <c r="O22" s="336"/>
      <c r="V22" s="10"/>
      <c r="W22" s="10"/>
    </row>
    <row r="23" spans="1:23" ht="30" customHeight="1" x14ac:dyDescent="0.25">
      <c r="A23" s="360" t="s">
        <v>51</v>
      </c>
      <c r="B23" s="1164" t="s">
        <v>52</v>
      </c>
      <c r="C23" s="1164"/>
      <c r="D23" s="1164"/>
      <c r="E23" s="361">
        <v>34026</v>
      </c>
      <c r="F23" s="360" t="s">
        <v>40</v>
      </c>
      <c r="G23" s="362">
        <v>27368.6950730883</v>
      </c>
      <c r="H23" s="362">
        <v>25013.126903539101</v>
      </c>
      <c r="I23" s="362">
        <v>6114.2829418601495</v>
      </c>
      <c r="J23" s="363">
        <v>32318.22</v>
      </c>
      <c r="K23" s="362">
        <f t="shared" si="0"/>
        <v>58496.104918487545</v>
      </c>
      <c r="L23" s="339" t="s">
        <v>40</v>
      </c>
      <c r="M23" s="54"/>
      <c r="N23" s="54"/>
      <c r="O23" s="336"/>
      <c r="V23" s="10"/>
      <c r="W23" s="10"/>
    </row>
    <row r="24" spans="1:23" ht="30" customHeight="1" x14ac:dyDescent="0.25">
      <c r="A24" s="365"/>
      <c r="B24" s="1269"/>
      <c r="C24" s="1269"/>
      <c r="D24" s="1269"/>
      <c r="E24" s="366"/>
      <c r="F24" s="366"/>
      <c r="G24" s="366"/>
      <c r="H24" s="366"/>
      <c r="I24" s="367" t="s">
        <v>53</v>
      </c>
      <c r="J24" s="362">
        <f>SUM(J9:J23)</f>
        <v>63422474.100000001</v>
      </c>
      <c r="K24" s="368">
        <f>SUM(K9:K23)</f>
        <v>109943817.86116959</v>
      </c>
      <c r="L24" s="339" t="s">
        <v>54</v>
      </c>
      <c r="M24" s="54"/>
      <c r="N24" s="54"/>
      <c r="T24" s="10"/>
      <c r="U24" s="10"/>
    </row>
    <row r="25" spans="1:23" ht="30" customHeight="1" thickBot="1" x14ac:dyDescent="0.3">
      <c r="A25" s="369"/>
      <c r="B25" s="370"/>
      <c r="C25" s="370"/>
      <c r="D25" s="370"/>
      <c r="E25" s="371"/>
      <c r="F25" s="371"/>
      <c r="G25" s="372"/>
      <c r="H25" s="373"/>
      <c r="I25" s="374"/>
      <c r="J25" s="375" t="s">
        <v>55</v>
      </c>
      <c r="K25" s="155">
        <f>+K24/F7</f>
        <v>329.83178341529219</v>
      </c>
      <c r="L25" s="375" t="s">
        <v>9</v>
      </c>
      <c r="M25" s="54"/>
      <c r="N25" s="54"/>
      <c r="T25" s="10"/>
      <c r="U25" s="10"/>
    </row>
    <row r="26" spans="1:23" ht="30" customHeight="1" thickBot="1" x14ac:dyDescent="0.3">
      <c r="A26" s="1180"/>
      <c r="B26" s="1181"/>
      <c r="C26" s="1181"/>
      <c r="D26" s="1181"/>
      <c r="E26" s="1181"/>
      <c r="F26" s="1181"/>
      <c r="G26" s="1181"/>
      <c r="H26" s="1181"/>
      <c r="I26" s="1181"/>
      <c r="J26" s="1181"/>
      <c r="K26" s="1181"/>
      <c r="L26" s="1182"/>
      <c r="M26" s="54"/>
      <c r="N26" s="54"/>
      <c r="T26" s="10"/>
      <c r="U26" s="10"/>
    </row>
    <row r="27" spans="1:23" ht="30" customHeight="1" x14ac:dyDescent="0.25">
      <c r="A27" s="349" t="s">
        <v>5</v>
      </c>
      <c r="B27" s="350">
        <v>1111</v>
      </c>
      <c r="C27" s="1470" t="s">
        <v>56</v>
      </c>
      <c r="D27" s="1471"/>
      <c r="E27" s="376" t="s">
        <v>7</v>
      </c>
      <c r="F27" s="377">
        <v>222222</v>
      </c>
      <c r="G27" s="351" t="s">
        <v>8</v>
      </c>
      <c r="H27" s="352" t="s">
        <v>9</v>
      </c>
      <c r="I27" s="351" t="s">
        <v>10</v>
      </c>
      <c r="J27" s="1253" t="s">
        <v>11</v>
      </c>
      <c r="K27" s="1254"/>
      <c r="L27" s="1255"/>
      <c r="M27" s="54"/>
      <c r="N27" s="54"/>
      <c r="T27" s="10"/>
      <c r="U27" s="10"/>
    </row>
    <row r="28" spans="1:23" ht="30" customHeight="1" x14ac:dyDescent="0.25">
      <c r="A28" s="356" t="s">
        <v>12</v>
      </c>
      <c r="B28" s="1163" t="s">
        <v>13</v>
      </c>
      <c r="C28" s="1163"/>
      <c r="D28" s="1163"/>
      <c r="E28" s="356" t="s">
        <v>14</v>
      </c>
      <c r="F28" s="356" t="s">
        <v>15</v>
      </c>
      <c r="G28" s="357" t="s">
        <v>16</v>
      </c>
      <c r="H28" s="357" t="s">
        <v>17</v>
      </c>
      <c r="I28" s="357" t="s">
        <v>18</v>
      </c>
      <c r="J28" s="358" t="s">
        <v>19</v>
      </c>
      <c r="K28" s="358" t="s">
        <v>20</v>
      </c>
      <c r="L28" s="359"/>
      <c r="M28" s="54"/>
      <c r="N28" s="334"/>
    </row>
    <row r="29" spans="1:23" ht="30" customHeight="1" x14ac:dyDescent="0.25">
      <c r="A29" s="360" t="s">
        <v>21</v>
      </c>
      <c r="B29" s="1164" t="s">
        <v>22</v>
      </c>
      <c r="C29" s="1164"/>
      <c r="D29" s="1164"/>
      <c r="E29" s="361">
        <v>927673.78</v>
      </c>
      <c r="F29" s="360" t="s">
        <v>9</v>
      </c>
      <c r="G29" s="362">
        <v>0</v>
      </c>
      <c r="H29" s="362">
        <v>683153.485509436</v>
      </c>
      <c r="I29" s="362">
        <v>425070.70982973301</v>
      </c>
      <c r="J29" s="363">
        <v>582049.03</v>
      </c>
      <c r="K29" s="362">
        <v>1108224.1953391701</v>
      </c>
      <c r="L29" s="339" t="s">
        <v>9</v>
      </c>
      <c r="M29" s="54"/>
      <c r="N29" s="54"/>
      <c r="O29" s="336"/>
      <c r="V29" s="10"/>
      <c r="W29" s="10"/>
    </row>
    <row r="30" spans="1:23" ht="30" customHeight="1" x14ac:dyDescent="0.25">
      <c r="A30" s="360" t="s">
        <v>23</v>
      </c>
      <c r="B30" s="1164" t="s">
        <v>24</v>
      </c>
      <c r="C30" s="1164"/>
      <c r="D30" s="1164"/>
      <c r="E30" s="361">
        <v>111231.12</v>
      </c>
      <c r="F30" s="360" t="s">
        <v>25</v>
      </c>
      <c r="G30" s="362">
        <v>8237990.9449917004</v>
      </c>
      <c r="H30" s="362">
        <v>2160437.8892761199</v>
      </c>
      <c r="I30" s="362">
        <v>735386.31289256702</v>
      </c>
      <c r="J30" s="363">
        <v>6502634.8399999999</v>
      </c>
      <c r="K30" s="362">
        <v>11133815.1471604</v>
      </c>
      <c r="L30" s="339" t="s">
        <v>25</v>
      </c>
      <c r="M30" s="54"/>
      <c r="N30" s="54"/>
      <c r="O30" s="336"/>
      <c r="V30" s="10"/>
      <c r="W30" s="10"/>
    </row>
    <row r="31" spans="1:23" ht="30" customHeight="1" x14ac:dyDescent="0.25">
      <c r="A31" s="360" t="s">
        <v>26</v>
      </c>
      <c r="B31" s="1164" t="s">
        <v>27</v>
      </c>
      <c r="C31" s="1164"/>
      <c r="D31" s="1164"/>
      <c r="E31" s="361">
        <v>257354.66</v>
      </c>
      <c r="F31" s="360" t="s">
        <v>25</v>
      </c>
      <c r="G31" s="362">
        <v>13015633.341943501</v>
      </c>
      <c r="H31" s="362">
        <v>0</v>
      </c>
      <c r="I31" s="362">
        <v>0</v>
      </c>
      <c r="J31" s="363">
        <v>7953484.4900000002</v>
      </c>
      <c r="K31" s="362">
        <v>13015633.341943501</v>
      </c>
      <c r="L31" s="339" t="s">
        <v>25</v>
      </c>
      <c r="M31" s="54"/>
      <c r="N31" s="54"/>
      <c r="O31" s="336"/>
      <c r="V31" s="10"/>
      <c r="W31" s="10"/>
    </row>
    <row r="32" spans="1:23" ht="30" customHeight="1" x14ac:dyDescent="0.25">
      <c r="A32" s="360" t="s">
        <v>28</v>
      </c>
      <c r="B32" s="1164" t="s">
        <v>29</v>
      </c>
      <c r="C32" s="1164"/>
      <c r="D32" s="1164"/>
      <c r="E32" s="361">
        <v>222222</v>
      </c>
      <c r="F32" s="360" t="s">
        <v>9</v>
      </c>
      <c r="G32" s="362">
        <v>685757.88553971599</v>
      </c>
      <c r="H32" s="362">
        <v>173875.74242200999</v>
      </c>
      <c r="I32" s="362">
        <v>76368.491798741103</v>
      </c>
      <c r="J32" s="363">
        <v>547745.48</v>
      </c>
      <c r="K32" s="362">
        <v>936002.11976046802</v>
      </c>
      <c r="L32" s="339" t="s">
        <v>9</v>
      </c>
      <c r="M32" s="54"/>
      <c r="N32" s="54"/>
      <c r="O32" s="336"/>
      <c r="V32" s="10"/>
      <c r="W32" s="10"/>
    </row>
    <row r="33" spans="1:23" ht="30" customHeight="1" x14ac:dyDescent="0.25">
      <c r="A33" s="360" t="s">
        <v>57</v>
      </c>
      <c r="B33" s="1164" t="s">
        <v>58</v>
      </c>
      <c r="C33" s="1164"/>
      <c r="D33" s="1164"/>
      <c r="E33" s="361">
        <v>177778</v>
      </c>
      <c r="F33" s="360" t="s">
        <v>9</v>
      </c>
      <c r="G33" s="362">
        <v>2304151.6797482502</v>
      </c>
      <c r="H33" s="362">
        <v>4778525.2728191996</v>
      </c>
      <c r="I33" s="362">
        <v>896058.98656876199</v>
      </c>
      <c r="J33" s="363">
        <v>4209986.21</v>
      </c>
      <c r="K33" s="362">
        <v>7978735.9391362099</v>
      </c>
      <c r="L33" s="339" t="s">
        <v>9</v>
      </c>
      <c r="M33" s="54"/>
      <c r="N33" s="54"/>
      <c r="O33" s="336"/>
      <c r="V33" s="10"/>
      <c r="W33" s="10"/>
    </row>
    <row r="34" spans="1:23" ht="30" customHeight="1" x14ac:dyDescent="0.25">
      <c r="A34" s="360" t="s">
        <v>30</v>
      </c>
      <c r="B34" s="1164" t="s">
        <v>31</v>
      </c>
      <c r="C34" s="1164"/>
      <c r="D34" s="1164"/>
      <c r="E34" s="361">
        <v>44444</v>
      </c>
      <c r="F34" s="360" t="s">
        <v>9</v>
      </c>
      <c r="G34" s="362">
        <v>955480.72110618697</v>
      </c>
      <c r="H34" s="362">
        <v>2274683.3579188902</v>
      </c>
      <c r="I34" s="362">
        <v>683673.67821647599</v>
      </c>
      <c r="J34" s="363">
        <v>2074798.3</v>
      </c>
      <c r="K34" s="362">
        <v>3913837.7572415499</v>
      </c>
      <c r="L34" s="339" t="s">
        <v>9</v>
      </c>
      <c r="M34" s="54"/>
      <c r="N34" s="54"/>
      <c r="O34" s="336"/>
      <c r="V34" s="10"/>
      <c r="W34" s="10"/>
    </row>
    <row r="35" spans="1:23" ht="30" customHeight="1" x14ac:dyDescent="0.25">
      <c r="A35" s="360" t="s">
        <v>32</v>
      </c>
      <c r="B35" s="1164" t="s">
        <v>33</v>
      </c>
      <c r="C35" s="1164"/>
      <c r="D35" s="1164"/>
      <c r="E35" s="361">
        <v>222222</v>
      </c>
      <c r="F35" s="360" t="s">
        <v>9</v>
      </c>
      <c r="G35" s="362">
        <v>0</v>
      </c>
      <c r="H35" s="362">
        <v>1963773.0908838799</v>
      </c>
      <c r="I35" s="362">
        <v>1581918.75868821</v>
      </c>
      <c r="J35" s="363">
        <v>1893140.96</v>
      </c>
      <c r="K35" s="362">
        <v>3545691.84957209</v>
      </c>
      <c r="L35" s="339" t="s">
        <v>9</v>
      </c>
      <c r="M35" s="54"/>
      <c r="N35" s="54"/>
      <c r="O35" s="336"/>
      <c r="V35" s="10"/>
      <c r="W35" s="10"/>
    </row>
    <row r="36" spans="1:23" ht="30" customHeight="1" x14ac:dyDescent="0.25">
      <c r="A36" s="360" t="s">
        <v>34</v>
      </c>
      <c r="B36" s="1164" t="s">
        <v>35</v>
      </c>
      <c r="C36" s="1164"/>
      <c r="D36" s="1164"/>
      <c r="E36" s="361">
        <v>74998.77</v>
      </c>
      <c r="F36" s="360" t="s">
        <v>25</v>
      </c>
      <c r="G36" s="362">
        <v>15133586.2754538</v>
      </c>
      <c r="H36" s="362">
        <v>0</v>
      </c>
      <c r="I36" s="362">
        <v>0</v>
      </c>
      <c r="J36" s="363">
        <v>9247705.4800000004</v>
      </c>
      <c r="K36" s="362">
        <v>15133586.2754538</v>
      </c>
      <c r="L36" s="339" t="s">
        <v>25</v>
      </c>
      <c r="M36" s="54"/>
      <c r="N36" s="54"/>
      <c r="O36" s="336"/>
      <c r="V36" s="10"/>
      <c r="W36" s="10"/>
    </row>
    <row r="37" spans="1:23" ht="30" customHeight="1" x14ac:dyDescent="0.25">
      <c r="A37" s="360" t="s">
        <v>36</v>
      </c>
      <c r="B37" s="1164" t="s">
        <v>37</v>
      </c>
      <c r="C37" s="1164"/>
      <c r="D37" s="1164"/>
      <c r="E37" s="361">
        <v>74998.77</v>
      </c>
      <c r="F37" s="360" t="s">
        <v>25</v>
      </c>
      <c r="G37" s="362">
        <v>0</v>
      </c>
      <c r="H37" s="362">
        <v>101830.80592629001</v>
      </c>
      <c r="I37" s="362">
        <v>149734.48689932999</v>
      </c>
      <c r="J37" s="363">
        <v>139540.57</v>
      </c>
      <c r="K37" s="362">
        <v>251565.29282562001</v>
      </c>
      <c r="L37" s="339" t="s">
        <v>25</v>
      </c>
      <c r="M37" s="54"/>
      <c r="N37" s="54"/>
      <c r="O37" s="336"/>
      <c r="V37" s="10"/>
      <c r="W37" s="10"/>
    </row>
    <row r="38" spans="1:23" ht="30" customHeight="1" x14ac:dyDescent="0.25">
      <c r="A38" s="360" t="s">
        <v>38</v>
      </c>
      <c r="B38" s="1164" t="s">
        <v>39</v>
      </c>
      <c r="C38" s="1164"/>
      <c r="D38" s="1164"/>
      <c r="E38" s="361">
        <v>95555.46</v>
      </c>
      <c r="F38" s="360" t="s">
        <v>40</v>
      </c>
      <c r="G38" s="362">
        <v>247368.10837829899</v>
      </c>
      <c r="H38" s="362">
        <v>743267.658929853</v>
      </c>
      <c r="I38" s="362">
        <v>0</v>
      </c>
      <c r="J38" s="363">
        <v>501820.87</v>
      </c>
      <c r="K38" s="362">
        <v>990635.767308151</v>
      </c>
      <c r="L38" s="339" t="s">
        <v>40</v>
      </c>
      <c r="M38" s="54"/>
      <c r="N38" s="54"/>
      <c r="O38" s="336"/>
      <c r="V38" s="10"/>
      <c r="W38" s="10"/>
    </row>
    <row r="39" spans="1:23" ht="30" customHeight="1" x14ac:dyDescent="0.25">
      <c r="A39" s="360" t="s">
        <v>41</v>
      </c>
      <c r="B39" s="1164" t="s">
        <v>42</v>
      </c>
      <c r="C39" s="1164"/>
      <c r="D39" s="1164"/>
      <c r="E39" s="361">
        <v>104444.34</v>
      </c>
      <c r="F39" s="360" t="s">
        <v>40</v>
      </c>
      <c r="G39" s="362">
        <v>270379.09520418698</v>
      </c>
      <c r="H39" s="362">
        <v>812408.83650472295</v>
      </c>
      <c r="I39" s="362">
        <v>0</v>
      </c>
      <c r="J39" s="363">
        <v>548501.89</v>
      </c>
      <c r="K39" s="362">
        <v>1082787.93170891</v>
      </c>
      <c r="L39" s="339" t="s">
        <v>40</v>
      </c>
      <c r="M39" s="54"/>
      <c r="N39" s="54"/>
      <c r="O39" s="336"/>
      <c r="V39" s="10"/>
      <c r="W39" s="10"/>
    </row>
    <row r="40" spans="1:23" ht="30" customHeight="1" x14ac:dyDescent="0.25">
      <c r="A40" s="360" t="s">
        <v>43</v>
      </c>
      <c r="B40" s="1164" t="s">
        <v>44</v>
      </c>
      <c r="C40" s="1164"/>
      <c r="D40" s="1164"/>
      <c r="E40" s="361">
        <v>22222.2</v>
      </c>
      <c r="F40" s="360" t="s">
        <v>40</v>
      </c>
      <c r="G40" s="362">
        <v>72385.554584747806</v>
      </c>
      <c r="H40" s="362">
        <v>557936.57347768603</v>
      </c>
      <c r="I40" s="362">
        <v>0</v>
      </c>
      <c r="J40" s="363">
        <v>307457.89</v>
      </c>
      <c r="K40" s="362">
        <v>630322.12806243403</v>
      </c>
      <c r="L40" s="339" t="s">
        <v>40</v>
      </c>
      <c r="M40" s="54"/>
      <c r="N40" s="54"/>
      <c r="O40" s="336"/>
      <c r="V40" s="10"/>
      <c r="W40" s="10"/>
    </row>
    <row r="41" spans="1:23" ht="30" customHeight="1" x14ac:dyDescent="0.25">
      <c r="A41" s="360" t="s">
        <v>45</v>
      </c>
      <c r="B41" s="1164" t="s">
        <v>46</v>
      </c>
      <c r="C41" s="1164"/>
      <c r="D41" s="1164"/>
      <c r="E41" s="361">
        <v>89310</v>
      </c>
      <c r="F41" s="360" t="s">
        <v>40</v>
      </c>
      <c r="G41" s="362">
        <v>151581.61755655901</v>
      </c>
      <c r="H41" s="362">
        <v>45216.380893300498</v>
      </c>
      <c r="I41" s="362">
        <v>21922.9612168577</v>
      </c>
      <c r="J41" s="363">
        <v>127356.06</v>
      </c>
      <c r="K41" s="362">
        <v>218720.95966671701</v>
      </c>
      <c r="L41" s="339" t="s">
        <v>40</v>
      </c>
      <c r="M41" s="54"/>
      <c r="N41" s="54"/>
      <c r="O41" s="336"/>
      <c r="V41" s="10"/>
      <c r="W41" s="10"/>
    </row>
    <row r="42" spans="1:23" ht="30" customHeight="1" x14ac:dyDescent="0.25">
      <c r="A42" s="360" t="s">
        <v>47</v>
      </c>
      <c r="B42" s="1164" t="s">
        <v>48</v>
      </c>
      <c r="C42" s="1164"/>
      <c r="D42" s="1164"/>
      <c r="E42" s="361">
        <v>60000</v>
      </c>
      <c r="F42" s="360" t="s">
        <v>40</v>
      </c>
      <c r="G42" s="362">
        <v>101835.147837796</v>
      </c>
      <c r="H42" s="362">
        <v>30377.145376755401</v>
      </c>
      <c r="I42" s="362">
        <v>14728.223860838199</v>
      </c>
      <c r="J42" s="363">
        <v>85560</v>
      </c>
      <c r="K42" s="362">
        <v>146940.51707538901</v>
      </c>
      <c r="L42" s="339" t="s">
        <v>40</v>
      </c>
      <c r="M42" s="54"/>
      <c r="N42" s="54"/>
      <c r="O42" s="336"/>
      <c r="V42" s="10"/>
      <c r="W42" s="10"/>
    </row>
    <row r="43" spans="1:23" ht="30" customHeight="1" x14ac:dyDescent="0.25">
      <c r="A43" s="360" t="s">
        <v>49</v>
      </c>
      <c r="B43" s="1164" t="s">
        <v>50</v>
      </c>
      <c r="C43" s="1164"/>
      <c r="D43" s="1164"/>
      <c r="E43" s="361">
        <v>100800</v>
      </c>
      <c r="F43" s="360" t="s">
        <v>40</v>
      </c>
      <c r="G43" s="362">
        <v>81221.245184569096</v>
      </c>
      <c r="H43" s="362">
        <v>74230.697066107896</v>
      </c>
      <c r="I43" s="362">
        <v>18145.171796552699</v>
      </c>
      <c r="J43" s="363">
        <v>95740.800000000003</v>
      </c>
      <c r="K43" s="362">
        <v>173597.11404722999</v>
      </c>
      <c r="L43" s="339" t="s">
        <v>40</v>
      </c>
      <c r="M43" s="54"/>
      <c r="N43" s="54"/>
      <c r="O43" s="336"/>
      <c r="V43" s="10"/>
      <c r="W43" s="10"/>
    </row>
    <row r="44" spans="1:23" ht="30" customHeight="1" x14ac:dyDescent="0.25">
      <c r="A44" s="360" t="s">
        <v>51</v>
      </c>
      <c r="B44" s="1164" t="s">
        <v>52</v>
      </c>
      <c r="C44" s="1164"/>
      <c r="D44" s="1164"/>
      <c r="E44" s="361">
        <v>34026</v>
      </c>
      <c r="F44" s="360" t="s">
        <v>40</v>
      </c>
      <c r="G44" s="362">
        <v>27417.004847719702</v>
      </c>
      <c r="H44" s="362">
        <v>25057.278753684401</v>
      </c>
      <c r="I44" s="362">
        <v>6125.0755510863301</v>
      </c>
      <c r="J44" s="363">
        <v>32318.22</v>
      </c>
      <c r="K44" s="362">
        <v>58599.359152490397</v>
      </c>
      <c r="L44" s="339" t="s">
        <v>40</v>
      </c>
      <c r="M44" s="54"/>
      <c r="N44" s="54"/>
      <c r="O44" s="336"/>
      <c r="V44" s="10"/>
      <c r="W44" s="10"/>
    </row>
    <row r="45" spans="1:23" ht="30" customHeight="1" x14ac:dyDescent="0.25">
      <c r="A45" s="365"/>
      <c r="B45" s="1269"/>
      <c r="C45" s="1269"/>
      <c r="D45" s="1269"/>
      <c r="E45" s="366"/>
      <c r="F45" s="366"/>
      <c r="G45" s="366"/>
      <c r="H45" s="366"/>
      <c r="I45" s="378" t="s">
        <v>59</v>
      </c>
      <c r="J45" s="379">
        <f>SUM(J29:J44)</f>
        <v>34849841.090000004</v>
      </c>
      <c r="K45" s="379">
        <f>SUM(K29:K44)</f>
        <v>60318695.695454121</v>
      </c>
      <c r="L45" s="339" t="s">
        <v>54</v>
      </c>
      <c r="M45" s="54"/>
      <c r="N45" s="54"/>
      <c r="T45" s="10"/>
      <c r="U45" s="10"/>
    </row>
    <row r="46" spans="1:23" ht="30" customHeight="1" thickBot="1" x14ac:dyDescent="0.3">
      <c r="A46" s="365"/>
      <c r="B46" s="365"/>
      <c r="C46" s="366"/>
      <c r="D46" s="366"/>
      <c r="E46" s="366"/>
      <c r="F46" s="366"/>
      <c r="G46" s="380"/>
      <c r="H46" s="380"/>
      <c r="I46" s="380"/>
      <c r="J46" s="381" t="s">
        <v>60</v>
      </c>
      <c r="K46" s="55">
        <f>+K45/F27</f>
        <v>271.43440206394558</v>
      </c>
      <c r="L46" s="360" t="s">
        <v>9</v>
      </c>
      <c r="M46" s="54"/>
      <c r="N46" s="54"/>
      <c r="T46" s="10"/>
      <c r="U46" s="10"/>
    </row>
    <row r="47" spans="1:23" ht="30" customHeight="1" thickBot="1" x14ac:dyDescent="0.3">
      <c r="A47" s="1180"/>
      <c r="B47" s="1181"/>
      <c r="C47" s="1181"/>
      <c r="D47" s="1181"/>
      <c r="E47" s="1181"/>
      <c r="F47" s="1181"/>
      <c r="G47" s="1181"/>
      <c r="H47" s="1181"/>
      <c r="I47" s="1181"/>
      <c r="J47" s="1181"/>
      <c r="K47" s="1181"/>
      <c r="L47" s="1182"/>
      <c r="M47" s="54"/>
      <c r="N47" s="54"/>
      <c r="T47" s="10"/>
      <c r="U47" s="10"/>
    </row>
    <row r="48" spans="1:23" ht="30" customHeight="1" x14ac:dyDescent="0.25">
      <c r="A48" s="327" t="s">
        <v>5</v>
      </c>
      <c r="B48" s="328">
        <v>1111</v>
      </c>
      <c r="C48" s="1364" t="s">
        <v>61</v>
      </c>
      <c r="D48" s="1365"/>
      <c r="E48" s="342" t="s">
        <v>7</v>
      </c>
      <c r="F48" s="347">
        <v>166667</v>
      </c>
      <c r="G48" s="331" t="s">
        <v>8</v>
      </c>
      <c r="H48" s="332" t="s">
        <v>9</v>
      </c>
      <c r="I48" s="331" t="s">
        <v>10</v>
      </c>
      <c r="J48" s="1253" t="s">
        <v>11</v>
      </c>
      <c r="K48" s="1254"/>
      <c r="L48" s="1255"/>
      <c r="M48" s="208"/>
      <c r="N48" s="125"/>
      <c r="T48" s="10"/>
      <c r="U48" s="10"/>
    </row>
    <row r="49" spans="1:23" ht="30" customHeight="1" x14ac:dyDescent="0.25">
      <c r="A49" s="356" t="s">
        <v>12</v>
      </c>
      <c r="B49" s="1163" t="s">
        <v>13</v>
      </c>
      <c r="C49" s="1163"/>
      <c r="D49" s="1163"/>
      <c r="E49" s="356" t="s">
        <v>14</v>
      </c>
      <c r="F49" s="356" t="s">
        <v>15</v>
      </c>
      <c r="G49" s="357" t="s">
        <v>16</v>
      </c>
      <c r="H49" s="357" t="s">
        <v>17</v>
      </c>
      <c r="I49" s="357" t="s">
        <v>18</v>
      </c>
      <c r="J49" s="358" t="s">
        <v>19</v>
      </c>
      <c r="K49" s="358" t="s">
        <v>20</v>
      </c>
      <c r="L49" s="382"/>
      <c r="M49" s="334"/>
      <c r="N49" s="334"/>
      <c r="O49" s="113"/>
    </row>
    <row r="50" spans="1:23" ht="30" customHeight="1" x14ac:dyDescent="0.25">
      <c r="A50" s="360" t="s">
        <v>21</v>
      </c>
      <c r="B50" s="1164" t="s">
        <v>22</v>
      </c>
      <c r="C50" s="1164"/>
      <c r="D50" s="1164"/>
      <c r="E50" s="361">
        <v>360957.26</v>
      </c>
      <c r="F50" s="360" t="s">
        <v>9</v>
      </c>
      <c r="G50" s="362">
        <v>0</v>
      </c>
      <c r="H50" s="362">
        <v>265814.573619765</v>
      </c>
      <c r="I50" s="362">
        <v>165394.734694771</v>
      </c>
      <c r="J50" s="383">
        <v>226474.9</v>
      </c>
      <c r="K50" s="362">
        <v>431209.308314536</v>
      </c>
      <c r="L50" s="339" t="s">
        <v>9</v>
      </c>
      <c r="M50" s="54"/>
      <c r="N50" s="54"/>
      <c r="O50" s="348"/>
      <c r="V50" s="10"/>
      <c r="W50" s="10"/>
    </row>
    <row r="51" spans="1:23" ht="30" customHeight="1" x14ac:dyDescent="0.25">
      <c r="A51" s="360" t="s">
        <v>23</v>
      </c>
      <c r="B51" s="1164" t="s">
        <v>24</v>
      </c>
      <c r="C51" s="1164"/>
      <c r="D51" s="1164"/>
      <c r="E51" s="361">
        <v>83423.09</v>
      </c>
      <c r="F51" s="360" t="s">
        <v>25</v>
      </c>
      <c r="G51" s="362">
        <v>6178474.6932623498</v>
      </c>
      <c r="H51" s="362">
        <v>1620323.56121642</v>
      </c>
      <c r="I51" s="362">
        <v>551538.08183541498</v>
      </c>
      <c r="J51" s="383">
        <v>4876961.51</v>
      </c>
      <c r="K51" s="362">
        <v>8350336.3363141902</v>
      </c>
      <c r="L51" s="339" t="s">
        <v>25</v>
      </c>
      <c r="M51" s="54"/>
      <c r="N51" s="54"/>
      <c r="O51" s="336"/>
      <c r="V51" s="10"/>
      <c r="W51" s="10"/>
    </row>
    <row r="52" spans="1:23" ht="30" customHeight="1" x14ac:dyDescent="0.25">
      <c r="A52" s="360" t="s">
        <v>26</v>
      </c>
      <c r="B52" s="1164" t="s">
        <v>27</v>
      </c>
      <c r="C52" s="1164"/>
      <c r="D52" s="1164"/>
      <c r="E52" s="361">
        <v>100136.53</v>
      </c>
      <c r="F52" s="360" t="s">
        <v>25</v>
      </c>
      <c r="G52" s="362">
        <v>5064374.4263831498</v>
      </c>
      <c r="H52" s="362">
        <v>0</v>
      </c>
      <c r="I52" s="362">
        <v>0</v>
      </c>
      <c r="J52" s="383">
        <v>3094695.62</v>
      </c>
      <c r="K52" s="362">
        <v>5064374.4263831498</v>
      </c>
      <c r="L52" s="339" t="s">
        <v>25</v>
      </c>
      <c r="M52" s="54"/>
      <c r="N52" s="54"/>
      <c r="O52" s="384"/>
      <c r="V52" s="10"/>
      <c r="W52" s="10"/>
    </row>
    <row r="53" spans="1:23" ht="30" customHeight="1" x14ac:dyDescent="0.25">
      <c r="A53" s="360" t="s">
        <v>28</v>
      </c>
      <c r="B53" s="1164" t="s">
        <v>29</v>
      </c>
      <c r="C53" s="1164"/>
      <c r="D53" s="1164"/>
      <c r="E53" s="361">
        <v>166666</v>
      </c>
      <c r="F53" s="360" t="s">
        <v>9</v>
      </c>
      <c r="G53" s="362">
        <v>514316.87119800202</v>
      </c>
      <c r="H53" s="362">
        <v>130406.415595696</v>
      </c>
      <c r="I53" s="362">
        <v>57276.197019777501</v>
      </c>
      <c r="J53" s="383">
        <v>410807.88</v>
      </c>
      <c r="K53" s="362">
        <v>701999.483813475</v>
      </c>
      <c r="L53" s="339" t="s">
        <v>9</v>
      </c>
      <c r="M53" s="54"/>
      <c r="N53" s="54"/>
      <c r="O53" s="336"/>
      <c r="V53" s="10"/>
      <c r="W53" s="10"/>
    </row>
    <row r="54" spans="1:23" ht="30" customHeight="1" x14ac:dyDescent="0.25">
      <c r="A54" s="360" t="s">
        <v>57</v>
      </c>
      <c r="B54" s="1164" t="s">
        <v>58</v>
      </c>
      <c r="C54" s="1164"/>
      <c r="D54" s="1164"/>
      <c r="E54" s="361">
        <v>166666</v>
      </c>
      <c r="F54" s="360" t="s">
        <v>9</v>
      </c>
      <c r="G54" s="362">
        <v>2160130.8590316102</v>
      </c>
      <c r="H54" s="362">
        <v>4479843.9239933304</v>
      </c>
      <c r="I54" s="362">
        <v>840050.88962340297</v>
      </c>
      <c r="J54" s="383">
        <v>3946841.36</v>
      </c>
      <c r="K54" s="362">
        <v>7480025.6726483405</v>
      </c>
      <c r="L54" s="339" t="s">
        <v>9</v>
      </c>
      <c r="M54" s="54"/>
      <c r="N54" s="54"/>
      <c r="O54" s="336"/>
      <c r="V54" s="10"/>
      <c r="W54" s="10"/>
    </row>
    <row r="55" spans="1:23" ht="30" customHeight="1" x14ac:dyDescent="0.25">
      <c r="A55" s="360" t="s">
        <v>32</v>
      </c>
      <c r="B55" s="1164" t="s">
        <v>33</v>
      </c>
      <c r="C55" s="1164"/>
      <c r="D55" s="1164"/>
      <c r="E55" s="361">
        <v>166666</v>
      </c>
      <c r="F55" s="360" t="s">
        <v>9</v>
      </c>
      <c r="G55" s="362">
        <v>0</v>
      </c>
      <c r="H55" s="362">
        <v>1472825.39966904</v>
      </c>
      <c r="I55" s="362">
        <v>1186435.50969539</v>
      </c>
      <c r="J55" s="383">
        <v>1419851.46</v>
      </c>
      <c r="K55" s="362">
        <v>2659260.9093644298</v>
      </c>
      <c r="L55" s="339" t="s">
        <v>9</v>
      </c>
      <c r="M55" s="54"/>
      <c r="N55" s="54"/>
      <c r="O55" s="336"/>
      <c r="V55" s="10"/>
      <c r="W55" s="10"/>
    </row>
    <row r="56" spans="1:23" ht="30" customHeight="1" x14ac:dyDescent="0.25">
      <c r="A56" s="360" t="s">
        <v>34</v>
      </c>
      <c r="B56" s="1164" t="s">
        <v>35</v>
      </c>
      <c r="C56" s="1164"/>
      <c r="D56" s="1164"/>
      <c r="E56" s="361">
        <v>50461.79</v>
      </c>
      <c r="F56" s="360" t="s">
        <v>25</v>
      </c>
      <c r="G56" s="362">
        <v>10182405.025826801</v>
      </c>
      <c r="H56" s="362">
        <v>0</v>
      </c>
      <c r="I56" s="362">
        <v>0</v>
      </c>
      <c r="J56" s="383">
        <v>6222179</v>
      </c>
      <c r="K56" s="362">
        <v>10182405.025826801</v>
      </c>
      <c r="L56" s="339" t="s">
        <v>25</v>
      </c>
      <c r="M56" s="54"/>
      <c r="N56" s="54"/>
      <c r="O56" s="336"/>
      <c r="V56" s="10"/>
      <c r="W56" s="10"/>
    </row>
    <row r="57" spans="1:23" ht="30" customHeight="1" x14ac:dyDescent="0.25">
      <c r="A57" s="360" t="s">
        <v>36</v>
      </c>
      <c r="B57" s="1164" t="s">
        <v>37</v>
      </c>
      <c r="C57" s="1164"/>
      <c r="D57" s="1164"/>
      <c r="E57" s="361">
        <v>50461.79</v>
      </c>
      <c r="F57" s="360" t="s">
        <v>25</v>
      </c>
      <c r="G57" s="362">
        <v>0</v>
      </c>
      <c r="H57" s="362">
        <v>68515.320240361296</v>
      </c>
      <c r="I57" s="362">
        <v>100746.588693011</v>
      </c>
      <c r="J57" s="383">
        <v>93887.76</v>
      </c>
      <c r="K57" s="362">
        <v>169261.908933372</v>
      </c>
      <c r="L57" s="339" t="s">
        <v>25</v>
      </c>
      <c r="M57" s="54"/>
      <c r="N57" s="54"/>
      <c r="O57" s="336"/>
      <c r="V57" s="10"/>
      <c r="W57" s="10"/>
    </row>
    <row r="58" spans="1:23" ht="30" customHeight="1" x14ac:dyDescent="0.25">
      <c r="A58" s="360" t="s">
        <v>38</v>
      </c>
      <c r="B58" s="1164" t="s">
        <v>39</v>
      </c>
      <c r="C58" s="1164"/>
      <c r="D58" s="1164"/>
      <c r="E58" s="361">
        <v>71666.38</v>
      </c>
      <c r="F58" s="360" t="s">
        <v>40</v>
      </c>
      <c r="G58" s="362">
        <v>185525.524704924</v>
      </c>
      <c r="H58" s="362">
        <v>557449.071843485</v>
      </c>
      <c r="I58" s="362">
        <v>0</v>
      </c>
      <c r="J58" s="383">
        <v>376364.53</v>
      </c>
      <c r="K58" s="362">
        <v>742974.59654840804</v>
      </c>
      <c r="L58" s="339" t="s">
        <v>40</v>
      </c>
      <c r="M58" s="54"/>
      <c r="N58" s="54"/>
      <c r="O58" s="336"/>
      <c r="V58" s="10"/>
      <c r="W58" s="10"/>
    </row>
    <row r="59" spans="1:23" ht="30" customHeight="1" x14ac:dyDescent="0.25">
      <c r="A59" s="360" t="s">
        <v>41</v>
      </c>
      <c r="B59" s="1164" t="s">
        <v>42</v>
      </c>
      <c r="C59" s="1164"/>
      <c r="D59" s="1164"/>
      <c r="E59" s="361">
        <v>83333.02</v>
      </c>
      <c r="F59" s="360" t="s">
        <v>40</v>
      </c>
      <c r="G59" s="362">
        <v>215727.406082823</v>
      </c>
      <c r="H59" s="362">
        <v>648196.75073464797</v>
      </c>
      <c r="I59" s="362">
        <v>0</v>
      </c>
      <c r="J59" s="383">
        <v>437633.28000000003</v>
      </c>
      <c r="K59" s="362">
        <v>863924.15681746998</v>
      </c>
      <c r="L59" s="339" t="s">
        <v>40</v>
      </c>
      <c r="M59" s="54"/>
      <c r="N59" s="54"/>
      <c r="O59" s="336"/>
      <c r="V59" s="10"/>
      <c r="W59" s="10"/>
    </row>
    <row r="60" spans="1:23" ht="30" customHeight="1" x14ac:dyDescent="0.25">
      <c r="A60" s="360" t="s">
        <v>43</v>
      </c>
      <c r="B60" s="1164" t="s">
        <v>44</v>
      </c>
      <c r="C60" s="1164"/>
      <c r="D60" s="1164"/>
      <c r="E60" s="361">
        <v>16666.599999999999</v>
      </c>
      <c r="F60" s="360" t="s">
        <v>40</v>
      </c>
      <c r="G60" s="362">
        <v>54289.003070900202</v>
      </c>
      <c r="H60" s="362">
        <v>418451.17474971898</v>
      </c>
      <c r="I60" s="362">
        <v>0</v>
      </c>
      <c r="J60" s="383">
        <v>230592.73</v>
      </c>
      <c r="K60" s="362">
        <v>472740.17782061902</v>
      </c>
      <c r="L60" s="339" t="s">
        <v>40</v>
      </c>
      <c r="M60" s="54"/>
      <c r="N60" s="54"/>
      <c r="O60" s="336"/>
      <c r="V60" s="10"/>
      <c r="W60" s="10"/>
    </row>
    <row r="61" spans="1:23" ht="30" customHeight="1" x14ac:dyDescent="0.25">
      <c r="A61" s="360" t="s">
        <v>45</v>
      </c>
      <c r="B61" s="1164" t="s">
        <v>46</v>
      </c>
      <c r="C61" s="1164"/>
      <c r="D61" s="1164"/>
      <c r="E61" s="361">
        <v>89310</v>
      </c>
      <c r="F61" s="360" t="s">
        <v>40</v>
      </c>
      <c r="G61" s="362">
        <v>151581.61755655901</v>
      </c>
      <c r="H61" s="362">
        <v>45216.380893300498</v>
      </c>
      <c r="I61" s="362">
        <v>21922.9612168577</v>
      </c>
      <c r="J61" s="383">
        <v>127356.06</v>
      </c>
      <c r="K61" s="362">
        <v>218720.95966671701</v>
      </c>
      <c r="L61" s="339" t="s">
        <v>40</v>
      </c>
      <c r="M61" s="54"/>
      <c r="N61" s="54"/>
      <c r="O61" s="336"/>
      <c r="V61" s="10"/>
      <c r="W61" s="10"/>
    </row>
    <row r="62" spans="1:23" ht="30" customHeight="1" x14ac:dyDescent="0.25">
      <c r="A62" s="360" t="s">
        <v>47</v>
      </c>
      <c r="B62" s="1164" t="s">
        <v>48</v>
      </c>
      <c r="C62" s="1164"/>
      <c r="D62" s="1164"/>
      <c r="E62" s="361">
        <v>60000</v>
      </c>
      <c r="F62" s="360" t="s">
        <v>40</v>
      </c>
      <c r="G62" s="362">
        <v>101835.147837796</v>
      </c>
      <c r="H62" s="362">
        <v>30377.145376755401</v>
      </c>
      <c r="I62" s="362">
        <v>14728.223860838199</v>
      </c>
      <c r="J62" s="383">
        <v>85560</v>
      </c>
      <c r="K62" s="362">
        <v>146940.51707538901</v>
      </c>
      <c r="L62" s="339" t="s">
        <v>40</v>
      </c>
      <c r="M62" s="54"/>
      <c r="N62" s="54"/>
      <c r="O62" s="336"/>
      <c r="V62" s="10"/>
      <c r="W62" s="10"/>
    </row>
    <row r="63" spans="1:23" ht="30" customHeight="1" x14ac:dyDescent="0.25">
      <c r="A63" s="360" t="s">
        <v>49</v>
      </c>
      <c r="B63" s="1164" t="s">
        <v>50</v>
      </c>
      <c r="C63" s="1164"/>
      <c r="D63" s="1164"/>
      <c r="E63" s="361">
        <v>100800</v>
      </c>
      <c r="F63" s="360" t="s">
        <v>40</v>
      </c>
      <c r="G63" s="362">
        <v>81221.245184569096</v>
      </c>
      <c r="H63" s="362">
        <v>74230.697066107896</v>
      </c>
      <c r="I63" s="362">
        <v>18145.171796552699</v>
      </c>
      <c r="J63" s="383">
        <v>95740.800000000003</v>
      </c>
      <c r="K63" s="362">
        <v>173597.11404722999</v>
      </c>
      <c r="L63" s="339" t="s">
        <v>40</v>
      </c>
      <c r="M63" s="54"/>
      <c r="N63" s="54"/>
      <c r="O63" s="336"/>
      <c r="V63" s="10"/>
      <c r="W63" s="10"/>
    </row>
    <row r="64" spans="1:23" ht="30" customHeight="1" x14ac:dyDescent="0.25">
      <c r="A64" s="360" t="s">
        <v>51</v>
      </c>
      <c r="B64" s="1164" t="s">
        <v>52</v>
      </c>
      <c r="C64" s="1164"/>
      <c r="D64" s="1164"/>
      <c r="E64" s="361">
        <v>34026</v>
      </c>
      <c r="F64" s="360" t="s">
        <v>40</v>
      </c>
      <c r="G64" s="362">
        <v>27417.004847719702</v>
      </c>
      <c r="H64" s="362">
        <v>25057.278753684401</v>
      </c>
      <c r="I64" s="362">
        <v>6125.0755510863301</v>
      </c>
      <c r="J64" s="383">
        <v>32318.22</v>
      </c>
      <c r="K64" s="362">
        <v>58599.359152490397</v>
      </c>
      <c r="L64" s="339" t="s">
        <v>40</v>
      </c>
      <c r="M64" s="54"/>
      <c r="N64" s="54"/>
      <c r="O64" s="336"/>
      <c r="V64" s="10"/>
      <c r="W64" s="10"/>
    </row>
    <row r="65" spans="1:23" ht="30" customHeight="1" x14ac:dyDescent="0.25">
      <c r="A65" s="360"/>
      <c r="B65" s="385"/>
      <c r="C65" s="385"/>
      <c r="D65" s="385"/>
      <c r="E65" s="386"/>
      <c r="F65" s="360"/>
      <c r="G65" s="363"/>
      <c r="H65" s="366"/>
      <c r="I65" s="378" t="s">
        <v>62</v>
      </c>
      <c r="J65" s="362">
        <f>SUM(J50:J64)</f>
        <v>21677265.110000003</v>
      </c>
      <c r="K65" s="379">
        <f>SUM(K49:K64)</f>
        <v>37716369.95272661</v>
      </c>
      <c r="L65" s="339" t="s">
        <v>54</v>
      </c>
      <c r="M65" s="54"/>
      <c r="N65" s="54"/>
      <c r="O65" s="336"/>
      <c r="V65" s="10"/>
      <c r="W65" s="10"/>
    </row>
    <row r="66" spans="1:23" ht="30" customHeight="1" thickBot="1" x14ac:dyDescent="0.3">
      <c r="A66" s="1173" t="s">
        <v>63</v>
      </c>
      <c r="B66" s="1173"/>
      <c r="C66" s="1173"/>
      <c r="D66" s="1173"/>
      <c r="E66" s="387"/>
      <c r="F66" s="371"/>
      <c r="G66" s="371"/>
      <c r="H66" s="371"/>
      <c r="I66" s="371"/>
      <c r="J66" s="378" t="s">
        <v>64</v>
      </c>
      <c r="K66" s="388">
        <f>+K65/F48</f>
        <v>226.29776712082543</v>
      </c>
      <c r="L66" s="367" t="s">
        <v>9</v>
      </c>
      <c r="M66" s="54"/>
      <c r="N66" s="54"/>
      <c r="T66" s="10"/>
      <c r="U66" s="10"/>
    </row>
    <row r="67" spans="1:23" ht="30" customHeight="1" x14ac:dyDescent="0.25">
      <c r="A67" s="1176"/>
      <c r="B67" s="1176"/>
      <c r="C67" s="1176"/>
      <c r="D67" s="1176"/>
      <c r="E67" s="389"/>
      <c r="F67" s="1482" t="s">
        <v>65</v>
      </c>
      <c r="G67" s="1483"/>
      <c r="H67" s="390" t="s">
        <v>66</v>
      </c>
      <c r="I67" s="146">
        <v>0.71</v>
      </c>
      <c r="J67" s="391" t="s">
        <v>64</v>
      </c>
      <c r="K67" s="273">
        <f>+K66</f>
        <v>226.29776712082543</v>
      </c>
      <c r="L67" s="365" t="s">
        <v>9</v>
      </c>
      <c r="M67" s="54"/>
      <c r="N67" s="54"/>
      <c r="T67" s="10"/>
      <c r="U67" s="10"/>
    </row>
    <row r="68" spans="1:23" ht="30" customHeight="1" x14ac:dyDescent="0.25">
      <c r="A68" s="1176"/>
      <c r="B68" s="1176"/>
      <c r="C68" s="1176"/>
      <c r="D68" s="1176"/>
      <c r="E68" s="389"/>
      <c r="F68" s="1484"/>
      <c r="G68" s="1485"/>
      <c r="H68" s="365" t="s">
        <v>67</v>
      </c>
      <c r="I68" s="393">
        <v>0.14000000000000001</v>
      </c>
      <c r="J68" s="391" t="s">
        <v>60</v>
      </c>
      <c r="K68" s="273">
        <f>+K46</f>
        <v>271.43440206394558</v>
      </c>
      <c r="L68" s="365" t="s">
        <v>9</v>
      </c>
      <c r="M68" s="54"/>
      <c r="N68" s="54"/>
      <c r="T68" s="10"/>
      <c r="U68" s="10"/>
    </row>
    <row r="69" spans="1:23" ht="30" customHeight="1" thickBot="1" x14ac:dyDescent="0.3">
      <c r="A69" s="1176"/>
      <c r="B69" s="1176"/>
      <c r="C69" s="1176"/>
      <c r="D69" s="1176"/>
      <c r="E69" s="389"/>
      <c r="F69" s="1486"/>
      <c r="G69" s="1487"/>
      <c r="H69" s="394" t="s">
        <v>68</v>
      </c>
      <c r="I69" s="395">
        <v>0.15</v>
      </c>
      <c r="J69" s="391" t="s">
        <v>69</v>
      </c>
      <c r="K69" s="273">
        <f>+K25</f>
        <v>329.83178341529219</v>
      </c>
      <c r="L69" s="365" t="s">
        <v>9</v>
      </c>
      <c r="M69" s="54"/>
      <c r="N69" s="54"/>
      <c r="T69" s="10"/>
      <c r="U69" s="10"/>
    </row>
    <row r="70" spans="1:23" ht="30" customHeight="1" x14ac:dyDescent="0.25">
      <c r="A70" s="1176"/>
      <c r="B70" s="1176"/>
      <c r="C70" s="1176"/>
      <c r="D70" s="1176"/>
      <c r="E70" s="387"/>
      <c r="F70" s="381"/>
      <c r="G70" s="381"/>
      <c r="H70" s="396"/>
      <c r="I70" s="397"/>
      <c r="J70" s="398" t="s">
        <v>70</v>
      </c>
      <c r="K70" s="399">
        <f>+(K67*I67)+(K68*I68)+(K69*I69)</f>
        <v>248.14699845703225</v>
      </c>
      <c r="L70" s="359" t="s">
        <v>9</v>
      </c>
      <c r="M70" s="54"/>
      <c r="N70" s="54"/>
      <c r="T70" s="10"/>
      <c r="U70" s="10"/>
    </row>
    <row r="71" spans="1:23" ht="30" customHeight="1" x14ac:dyDescent="0.25">
      <c r="A71" s="1176"/>
      <c r="B71" s="1176"/>
      <c r="C71" s="1176"/>
      <c r="D71" s="1176"/>
      <c r="E71" s="387"/>
      <c r="F71" s="367"/>
      <c r="G71" s="367"/>
      <c r="H71" s="365"/>
      <c r="I71" s="400"/>
      <c r="J71" s="367" t="s">
        <v>71</v>
      </c>
      <c r="K71" s="378">
        <v>1.06</v>
      </c>
      <c r="L71" s="359"/>
      <c r="M71" s="54"/>
      <c r="N71" s="54"/>
      <c r="T71" s="10"/>
      <c r="U71" s="10"/>
    </row>
    <row r="72" spans="1:23" ht="30" customHeight="1" thickBot="1" x14ac:dyDescent="0.3">
      <c r="A72" s="1176"/>
      <c r="B72" s="1176"/>
      <c r="C72" s="1176"/>
      <c r="D72" s="1176"/>
      <c r="E72" s="387"/>
      <c r="F72" s="366"/>
      <c r="G72" s="366"/>
      <c r="H72" s="366"/>
      <c r="I72" s="401"/>
      <c r="J72" s="398" t="s">
        <v>72</v>
      </c>
      <c r="K72" s="399">
        <f>+K70/K71</f>
        <v>234.10094194059644</v>
      </c>
      <c r="L72" s="359" t="s">
        <v>9</v>
      </c>
      <c r="M72" s="54"/>
      <c r="N72" s="54"/>
      <c r="T72" s="10"/>
      <c r="U72" s="10"/>
    </row>
    <row r="73" spans="1:23" ht="30" customHeight="1" thickBot="1" x14ac:dyDescent="0.3">
      <c r="A73" s="1308"/>
      <c r="B73" s="1309"/>
      <c r="C73" s="1309"/>
      <c r="D73" s="1309"/>
      <c r="E73" s="1488"/>
      <c r="F73" s="1488"/>
      <c r="G73" s="1488"/>
      <c r="H73" s="1488"/>
      <c r="I73" s="1488"/>
      <c r="J73" s="1488"/>
      <c r="K73" s="1488"/>
      <c r="L73" s="1489"/>
      <c r="M73" s="54"/>
      <c r="N73" s="54"/>
      <c r="T73" s="10"/>
      <c r="U73" s="10"/>
    </row>
    <row r="74" spans="1:23" ht="45" customHeight="1" x14ac:dyDescent="0.25">
      <c r="A74" s="402" t="s">
        <v>5</v>
      </c>
      <c r="B74" s="403">
        <v>1112</v>
      </c>
      <c r="C74" s="1274" t="s">
        <v>73</v>
      </c>
      <c r="D74" s="1497"/>
      <c r="E74" s="404" t="s">
        <v>74</v>
      </c>
      <c r="F74" s="405">
        <v>1600</v>
      </c>
      <c r="G74" s="406" t="s">
        <v>8</v>
      </c>
      <c r="H74" s="407" t="s">
        <v>9</v>
      </c>
      <c r="I74" s="406" t="s">
        <v>10</v>
      </c>
      <c r="J74" s="1274" t="s">
        <v>3394</v>
      </c>
      <c r="K74" s="1274"/>
      <c r="L74" s="1497"/>
      <c r="M74" s="112"/>
      <c r="N74" s="112"/>
      <c r="T74" s="10"/>
      <c r="U74" s="10"/>
    </row>
    <row r="75" spans="1:23" ht="30" customHeight="1" x14ac:dyDescent="0.25">
      <c r="A75" s="408" t="s">
        <v>12</v>
      </c>
      <c r="B75" s="1473" t="s">
        <v>75</v>
      </c>
      <c r="C75" s="1474"/>
      <c r="D75" s="1475"/>
      <c r="E75" s="409" t="s">
        <v>14</v>
      </c>
      <c r="F75" s="1142" t="s">
        <v>15</v>
      </c>
      <c r="G75" s="411" t="s">
        <v>16</v>
      </c>
      <c r="H75" s="412" t="s">
        <v>17</v>
      </c>
      <c r="I75" s="412" t="s">
        <v>18</v>
      </c>
      <c r="J75" s="413" t="s">
        <v>19</v>
      </c>
      <c r="K75" s="414" t="s">
        <v>20</v>
      </c>
      <c r="L75" s="415" t="s">
        <v>75</v>
      </c>
      <c r="M75" s="112"/>
      <c r="N75" s="112"/>
      <c r="T75" s="10"/>
      <c r="U75" s="10"/>
    </row>
    <row r="76" spans="1:23" ht="30" customHeight="1" x14ac:dyDescent="0.25">
      <c r="A76" s="416" t="s">
        <v>21</v>
      </c>
      <c r="B76" s="1446" t="s">
        <v>22</v>
      </c>
      <c r="C76" s="1447"/>
      <c r="D76" s="1448"/>
      <c r="E76" s="417">
        <v>4858</v>
      </c>
      <c r="F76" s="1143" t="s">
        <v>9</v>
      </c>
      <c r="G76" s="419">
        <v>0</v>
      </c>
      <c r="H76" s="419">
        <v>3389.02</v>
      </c>
      <c r="I76" s="419">
        <v>2225.86</v>
      </c>
      <c r="J76" s="420">
        <v>2049.5700000000002</v>
      </c>
      <c r="K76" s="419">
        <v>5614.88</v>
      </c>
      <c r="L76" s="1143" t="s">
        <v>9</v>
      </c>
      <c r="M76" s="112"/>
      <c r="N76" s="112"/>
      <c r="T76" s="10"/>
      <c r="U76" s="10"/>
    </row>
    <row r="77" spans="1:23" ht="30" customHeight="1" x14ac:dyDescent="0.25">
      <c r="A77" s="416" t="s">
        <v>23</v>
      </c>
      <c r="B77" s="1446" t="s">
        <v>24</v>
      </c>
      <c r="C77" s="1447"/>
      <c r="D77" s="1448"/>
      <c r="E77" s="417">
        <v>1192</v>
      </c>
      <c r="F77" s="1143" t="s">
        <v>25</v>
      </c>
      <c r="G77" s="421">
        <v>82916.789999999994</v>
      </c>
      <c r="H77" s="421">
        <v>21929.77</v>
      </c>
      <c r="I77" s="421">
        <v>7879.32</v>
      </c>
      <c r="J77" s="422">
        <v>61458.98</v>
      </c>
      <c r="K77" s="423">
        <v>112725.89</v>
      </c>
      <c r="L77" s="1143" t="s">
        <v>25</v>
      </c>
      <c r="M77" s="112"/>
      <c r="N77" s="112"/>
      <c r="T77" s="10"/>
      <c r="U77" s="10"/>
    </row>
    <row r="78" spans="1:23" ht="30" customHeight="1" x14ac:dyDescent="0.25">
      <c r="A78" s="416" t="s">
        <v>26</v>
      </c>
      <c r="B78" s="1446" t="s">
        <v>27</v>
      </c>
      <c r="C78" s="1447"/>
      <c r="D78" s="1448"/>
      <c r="E78" s="417">
        <v>1348</v>
      </c>
      <c r="F78" s="1143" t="s">
        <v>25</v>
      </c>
      <c r="G78" s="421">
        <v>64025.31</v>
      </c>
      <c r="H78" s="421">
        <v>0</v>
      </c>
      <c r="I78" s="421">
        <v>0</v>
      </c>
      <c r="J78" s="424">
        <v>31778.400000000001</v>
      </c>
      <c r="K78" s="423">
        <v>64025.31</v>
      </c>
      <c r="L78" s="1143" t="s">
        <v>25</v>
      </c>
      <c r="M78" s="112"/>
      <c r="N78" s="112"/>
      <c r="T78" s="10"/>
      <c r="U78" s="10"/>
    </row>
    <row r="79" spans="1:23" ht="30" customHeight="1" x14ac:dyDescent="0.25">
      <c r="A79" s="416" t="s">
        <v>28</v>
      </c>
      <c r="B79" s="1446" t="s">
        <v>29</v>
      </c>
      <c r="C79" s="1447"/>
      <c r="D79" s="1448"/>
      <c r="E79" s="417">
        <v>2381</v>
      </c>
      <c r="F79" s="1143" t="s">
        <v>9</v>
      </c>
      <c r="G79" s="421">
        <v>6902.25</v>
      </c>
      <c r="H79" s="421">
        <v>1764.94</v>
      </c>
      <c r="I79" s="421">
        <v>818.25</v>
      </c>
      <c r="J79" s="424">
        <v>6295.06</v>
      </c>
      <c r="K79" s="423">
        <v>9485.4500000000007</v>
      </c>
      <c r="L79" s="1143" t="s">
        <v>9</v>
      </c>
      <c r="M79" s="112"/>
      <c r="N79" s="112"/>
      <c r="T79" s="10"/>
      <c r="U79" s="10"/>
    </row>
    <row r="80" spans="1:23" ht="30" customHeight="1" x14ac:dyDescent="0.25">
      <c r="A80" s="416" t="s">
        <v>57</v>
      </c>
      <c r="B80" s="1446" t="s">
        <v>58</v>
      </c>
      <c r="C80" s="1447"/>
      <c r="D80" s="1448"/>
      <c r="E80" s="417">
        <v>2381</v>
      </c>
      <c r="F80" s="1143" t="s">
        <v>9</v>
      </c>
      <c r="G80" s="421">
        <v>28989.46</v>
      </c>
      <c r="H80" s="421">
        <v>60630.92</v>
      </c>
      <c r="I80" s="421">
        <v>12001.02</v>
      </c>
      <c r="J80" s="424">
        <v>39679.07</v>
      </c>
      <c r="K80" s="423">
        <v>101621.4</v>
      </c>
      <c r="L80" s="1143" t="s">
        <v>9</v>
      </c>
      <c r="M80" s="112"/>
      <c r="N80" s="112"/>
      <c r="T80" s="10"/>
      <c r="U80" s="10"/>
    </row>
    <row r="81" spans="1:21" ht="30" customHeight="1" x14ac:dyDescent="0.25">
      <c r="A81" s="416" t="s">
        <v>32</v>
      </c>
      <c r="B81" s="1446" t="s">
        <v>33</v>
      </c>
      <c r="C81" s="1447"/>
      <c r="D81" s="1448"/>
      <c r="E81" s="417">
        <v>2381</v>
      </c>
      <c r="F81" s="1143" t="s">
        <v>9</v>
      </c>
      <c r="G81" s="421">
        <v>0</v>
      </c>
      <c r="H81" s="421">
        <v>19933.45</v>
      </c>
      <c r="I81" s="421">
        <v>16949.490000000002</v>
      </c>
      <c r="J81" s="424">
        <v>16880.22</v>
      </c>
      <c r="K81" s="423">
        <v>36882.94</v>
      </c>
      <c r="L81" s="1143" t="s">
        <v>9</v>
      </c>
      <c r="M81" s="112"/>
      <c r="N81" s="112"/>
      <c r="T81" s="10"/>
      <c r="U81" s="10"/>
    </row>
    <row r="82" spans="1:21" ht="30" customHeight="1" x14ac:dyDescent="0.25">
      <c r="A82" s="416" t="s">
        <v>34</v>
      </c>
      <c r="B82" s="1446" t="s">
        <v>35</v>
      </c>
      <c r="C82" s="1447"/>
      <c r="D82" s="1448"/>
      <c r="E82" s="416">
        <v>694</v>
      </c>
      <c r="F82" s="1143" t="s">
        <v>25</v>
      </c>
      <c r="G82" s="421">
        <v>131634.64000000001</v>
      </c>
      <c r="H82" s="421">
        <v>0</v>
      </c>
      <c r="I82" s="421">
        <v>0</v>
      </c>
      <c r="J82" s="424">
        <v>76555.73</v>
      </c>
      <c r="K82" s="423">
        <v>131634.64000000001</v>
      </c>
      <c r="L82" s="1143" t="s">
        <v>25</v>
      </c>
      <c r="M82" s="112"/>
      <c r="N82" s="112"/>
      <c r="T82" s="10"/>
      <c r="U82" s="10"/>
    </row>
    <row r="83" spans="1:21" ht="30" customHeight="1" x14ac:dyDescent="0.25">
      <c r="A83" s="416" t="s">
        <v>36</v>
      </c>
      <c r="B83" s="1446" t="s">
        <v>37</v>
      </c>
      <c r="C83" s="1447"/>
      <c r="D83" s="1448"/>
      <c r="E83" s="416">
        <v>694</v>
      </c>
      <c r="F83" s="1143" t="s">
        <v>25</v>
      </c>
      <c r="G83" s="421">
        <v>0</v>
      </c>
      <c r="H83" s="421">
        <v>893.26</v>
      </c>
      <c r="I83" s="421">
        <v>1386.44</v>
      </c>
      <c r="J83" s="424">
        <v>1008.88</v>
      </c>
      <c r="K83" s="423">
        <v>2279.71</v>
      </c>
      <c r="L83" s="1143" t="s">
        <v>25</v>
      </c>
      <c r="M83" s="112"/>
      <c r="N83" s="112"/>
      <c r="T83" s="10"/>
      <c r="U83" s="10"/>
    </row>
    <row r="84" spans="1:21" ht="30" customHeight="1" x14ac:dyDescent="0.25">
      <c r="A84" s="416" t="s">
        <v>38</v>
      </c>
      <c r="B84" s="1446" t="s">
        <v>39</v>
      </c>
      <c r="C84" s="1447"/>
      <c r="D84" s="1448"/>
      <c r="E84" s="417">
        <v>1024</v>
      </c>
      <c r="F84" s="1143" t="s">
        <v>40</v>
      </c>
      <c r="G84" s="421">
        <v>2489.8000000000002</v>
      </c>
      <c r="H84" s="421">
        <v>7544.6</v>
      </c>
      <c r="I84" s="421">
        <v>0</v>
      </c>
      <c r="J84" s="424">
        <v>3626.95</v>
      </c>
      <c r="K84" s="423">
        <v>10034.4</v>
      </c>
      <c r="L84" s="1143" t="s">
        <v>40</v>
      </c>
      <c r="M84" s="112"/>
      <c r="N84" s="112"/>
      <c r="T84" s="10"/>
      <c r="U84" s="10"/>
    </row>
    <row r="85" spans="1:21" ht="30" customHeight="1" x14ac:dyDescent="0.25">
      <c r="A85" s="416" t="s">
        <v>43</v>
      </c>
      <c r="B85" s="1446" t="s">
        <v>44</v>
      </c>
      <c r="C85" s="1447"/>
      <c r="D85" s="1448"/>
      <c r="E85" s="416">
        <v>238</v>
      </c>
      <c r="F85" s="1143" t="s">
        <v>40</v>
      </c>
      <c r="G85" s="421">
        <v>728.57</v>
      </c>
      <c r="H85" s="421">
        <v>5663.38</v>
      </c>
      <c r="I85" s="421">
        <v>0</v>
      </c>
      <c r="J85" s="424">
        <v>2409.0300000000002</v>
      </c>
      <c r="K85" s="423">
        <v>6391.96</v>
      </c>
      <c r="L85" s="1143" t="s">
        <v>40</v>
      </c>
      <c r="M85" s="112"/>
      <c r="N85" s="112"/>
      <c r="T85" s="10"/>
      <c r="U85" s="10"/>
    </row>
    <row r="86" spans="1:21" ht="30" customHeight="1" x14ac:dyDescent="0.25">
      <c r="A86" s="425" t="s">
        <v>75</v>
      </c>
      <c r="B86" s="410" t="s">
        <v>75</v>
      </c>
      <c r="C86" s="410" t="s">
        <v>75</v>
      </c>
      <c r="D86" s="410" t="s">
        <v>75</v>
      </c>
      <c r="E86" s="426" t="s">
        <v>75</v>
      </c>
      <c r="F86" s="426" t="s">
        <v>75</v>
      </c>
      <c r="G86" s="427" t="s">
        <v>75</v>
      </c>
      <c r="H86" s="428" t="s">
        <v>75</v>
      </c>
      <c r="I86" s="426" t="s">
        <v>75</v>
      </c>
      <c r="J86" s="429">
        <f>SUM(J76:J85)</f>
        <v>241741.89000000004</v>
      </c>
      <c r="K86" s="430">
        <v>492831.2</v>
      </c>
      <c r="L86" s="1144" t="s">
        <v>76</v>
      </c>
      <c r="M86" s="112"/>
      <c r="N86" s="112"/>
      <c r="T86" s="10"/>
      <c r="U86" s="10"/>
    </row>
    <row r="87" spans="1:21" ht="30" customHeight="1" thickBot="1" x14ac:dyDescent="0.3">
      <c r="A87" s="411" t="s">
        <v>75</v>
      </c>
      <c r="B87" s="412" t="s">
        <v>75</v>
      </c>
      <c r="C87" s="412" t="s">
        <v>75</v>
      </c>
      <c r="D87" s="412" t="s">
        <v>75</v>
      </c>
      <c r="E87" s="412" t="s">
        <v>75</v>
      </c>
      <c r="F87" s="412" t="s">
        <v>75</v>
      </c>
      <c r="G87" s="431" t="s">
        <v>75</v>
      </c>
      <c r="H87" s="432" t="s">
        <v>75</v>
      </c>
      <c r="I87" s="412" t="s">
        <v>75</v>
      </c>
      <c r="J87" s="433" t="s">
        <v>72</v>
      </c>
      <c r="K87" s="434">
        <v>308.02</v>
      </c>
      <c r="L87" s="1145" t="s">
        <v>9</v>
      </c>
      <c r="M87" s="112"/>
      <c r="N87" s="112"/>
      <c r="T87" s="10"/>
      <c r="U87" s="10"/>
    </row>
    <row r="88" spans="1:21" ht="30" customHeight="1" thickBot="1" x14ac:dyDescent="0.3">
      <c r="A88" s="1479" t="s">
        <v>75</v>
      </c>
      <c r="B88" s="1480"/>
      <c r="C88" s="1480"/>
      <c r="D88" s="1480"/>
      <c r="E88" s="1480"/>
      <c r="F88" s="1480"/>
      <c r="G88" s="1480"/>
      <c r="H88" s="1480"/>
      <c r="I88" s="1480"/>
      <c r="J88" s="1480"/>
      <c r="K88" s="1480"/>
      <c r="L88" s="1481"/>
      <c r="M88" s="112"/>
      <c r="N88" s="112"/>
      <c r="T88" s="10"/>
      <c r="U88" s="10"/>
    </row>
    <row r="89" spans="1:21" ht="45" customHeight="1" x14ac:dyDescent="0.25">
      <c r="A89" s="435" t="s">
        <v>5</v>
      </c>
      <c r="B89" s="436">
        <v>1112</v>
      </c>
      <c r="C89" s="1350" t="s">
        <v>77</v>
      </c>
      <c r="D89" s="1472"/>
      <c r="E89" s="437" t="s">
        <v>74</v>
      </c>
      <c r="F89" s="438">
        <v>4927</v>
      </c>
      <c r="G89" s="439" t="s">
        <v>8</v>
      </c>
      <c r="H89" s="440" t="s">
        <v>9</v>
      </c>
      <c r="I89" s="439" t="s">
        <v>10</v>
      </c>
      <c r="J89" s="1350" t="s">
        <v>3394</v>
      </c>
      <c r="K89" s="1350"/>
      <c r="L89" s="1472"/>
      <c r="M89" s="112"/>
      <c r="N89" s="112"/>
      <c r="T89" s="10"/>
      <c r="U89" s="10"/>
    </row>
    <row r="90" spans="1:21" ht="30" customHeight="1" x14ac:dyDescent="0.25">
      <c r="A90" s="408" t="s">
        <v>12</v>
      </c>
      <c r="B90" s="1473" t="s">
        <v>75</v>
      </c>
      <c r="C90" s="1474"/>
      <c r="D90" s="1475"/>
      <c r="E90" s="409" t="s">
        <v>14</v>
      </c>
      <c r="F90" s="410" t="s">
        <v>15</v>
      </c>
      <c r="G90" s="411" t="s">
        <v>16</v>
      </c>
      <c r="H90" s="412" t="s">
        <v>17</v>
      </c>
      <c r="I90" s="412" t="s">
        <v>18</v>
      </c>
      <c r="J90" s="413" t="s">
        <v>19</v>
      </c>
      <c r="K90" s="414" t="s">
        <v>20</v>
      </c>
      <c r="L90" s="415" t="s">
        <v>75</v>
      </c>
      <c r="M90" s="112"/>
      <c r="N90" s="112"/>
      <c r="T90" s="10"/>
      <c r="U90" s="10"/>
    </row>
    <row r="91" spans="1:21" ht="30" customHeight="1" x14ac:dyDescent="0.25">
      <c r="A91" s="416" t="s">
        <v>21</v>
      </c>
      <c r="B91" s="1446" t="s">
        <v>22</v>
      </c>
      <c r="C91" s="1447"/>
      <c r="D91" s="1448"/>
      <c r="E91" s="417">
        <v>20866</v>
      </c>
      <c r="F91" s="1143" t="s">
        <v>9</v>
      </c>
      <c r="G91" s="419">
        <v>0</v>
      </c>
      <c r="H91" s="419">
        <v>13667.74</v>
      </c>
      <c r="I91" s="419">
        <v>9083.01</v>
      </c>
      <c r="J91" s="420">
        <v>12358.55</v>
      </c>
      <c r="K91" s="419">
        <v>22750.75</v>
      </c>
      <c r="L91" s="1143" t="s">
        <v>9</v>
      </c>
      <c r="M91" s="112"/>
      <c r="N91" s="112"/>
      <c r="T91" s="10"/>
      <c r="U91" s="10"/>
    </row>
    <row r="92" spans="1:21" ht="30" customHeight="1" x14ac:dyDescent="0.25">
      <c r="A92" s="416" t="s">
        <v>26</v>
      </c>
      <c r="B92" s="1446" t="s">
        <v>27</v>
      </c>
      <c r="C92" s="1447"/>
      <c r="D92" s="1448"/>
      <c r="E92" s="417">
        <v>5789</v>
      </c>
      <c r="F92" s="1143" t="s">
        <v>25</v>
      </c>
      <c r="G92" s="421">
        <v>270136.90000000002</v>
      </c>
      <c r="H92" s="421">
        <v>0</v>
      </c>
      <c r="I92" s="421">
        <v>0</v>
      </c>
      <c r="J92" s="422">
        <v>136501.88</v>
      </c>
      <c r="K92" s="423">
        <v>270136.90000000002</v>
      </c>
      <c r="L92" s="1143" t="s">
        <v>25</v>
      </c>
      <c r="M92" s="112"/>
      <c r="N92" s="112"/>
      <c r="T92" s="10"/>
      <c r="U92" s="10"/>
    </row>
    <row r="93" spans="1:21" ht="30" customHeight="1" x14ac:dyDescent="0.25">
      <c r="A93" s="416" t="s">
        <v>28</v>
      </c>
      <c r="B93" s="1446" t="s">
        <v>29</v>
      </c>
      <c r="C93" s="1447"/>
      <c r="D93" s="1448"/>
      <c r="E93" s="417">
        <v>7821</v>
      </c>
      <c r="F93" s="1143" t="s">
        <v>9</v>
      </c>
      <c r="G93" s="421">
        <v>22269.96</v>
      </c>
      <c r="H93" s="421">
        <v>5443.11</v>
      </c>
      <c r="I93" s="421">
        <v>2553.37</v>
      </c>
      <c r="J93" s="424">
        <v>22235.13</v>
      </c>
      <c r="K93" s="423">
        <v>30266.44</v>
      </c>
      <c r="L93" s="1143" t="s">
        <v>25</v>
      </c>
      <c r="M93" s="112"/>
      <c r="N93" s="112"/>
      <c r="T93" s="10"/>
      <c r="U93" s="10"/>
    </row>
    <row r="94" spans="1:21" ht="30" customHeight="1" x14ac:dyDescent="0.25">
      <c r="A94" s="416" t="s">
        <v>78</v>
      </c>
      <c r="B94" s="1476" t="s">
        <v>79</v>
      </c>
      <c r="C94" s="1477"/>
      <c r="D94" s="1478"/>
      <c r="E94" s="417">
        <v>1232</v>
      </c>
      <c r="F94" s="1143" t="s">
        <v>80</v>
      </c>
      <c r="G94" s="421">
        <v>153454.24</v>
      </c>
      <c r="H94" s="421">
        <v>14851.32</v>
      </c>
      <c r="I94" s="421">
        <v>5189.7299999999996</v>
      </c>
      <c r="J94" s="424">
        <v>96395.77</v>
      </c>
      <c r="K94" s="423">
        <v>173495.29</v>
      </c>
      <c r="L94" s="1143" t="s">
        <v>9</v>
      </c>
      <c r="M94" s="112"/>
      <c r="N94" s="112"/>
      <c r="T94" s="10"/>
      <c r="U94" s="10"/>
    </row>
    <row r="95" spans="1:21" ht="30" customHeight="1" x14ac:dyDescent="0.25">
      <c r="A95" s="425" t="s">
        <v>75</v>
      </c>
      <c r="B95" s="410" t="s">
        <v>75</v>
      </c>
      <c r="C95" s="410" t="s">
        <v>75</v>
      </c>
      <c r="D95" s="410" t="s">
        <v>75</v>
      </c>
      <c r="E95" s="426" t="s">
        <v>75</v>
      </c>
      <c r="F95" s="426" t="s">
        <v>75</v>
      </c>
      <c r="G95" s="427" t="s">
        <v>75</v>
      </c>
      <c r="H95" s="428" t="s">
        <v>75</v>
      </c>
      <c r="I95" s="426" t="s">
        <v>75</v>
      </c>
      <c r="J95" s="424">
        <f>SUM(J91:J94)</f>
        <v>267491.33</v>
      </c>
      <c r="K95" s="441">
        <v>496649.38</v>
      </c>
      <c r="L95" s="1146" t="s">
        <v>76</v>
      </c>
      <c r="M95" s="112"/>
      <c r="N95" s="112"/>
      <c r="T95" s="10"/>
      <c r="U95" s="10"/>
    </row>
    <row r="96" spans="1:21" ht="30" customHeight="1" x14ac:dyDescent="0.25">
      <c r="A96" s="1458" t="s">
        <v>81</v>
      </c>
      <c r="B96" s="1458"/>
      <c r="C96" s="1458"/>
      <c r="D96" s="1458"/>
      <c r="E96" s="1459"/>
      <c r="F96" s="426" t="s">
        <v>75</v>
      </c>
      <c r="G96" s="427" t="s">
        <v>75</v>
      </c>
      <c r="H96" s="428" t="s">
        <v>75</v>
      </c>
      <c r="I96" s="426" t="s">
        <v>75</v>
      </c>
      <c r="J96" s="443" t="s">
        <v>82</v>
      </c>
      <c r="K96" s="444">
        <v>100.8</v>
      </c>
      <c r="L96" s="1147" t="s">
        <v>9</v>
      </c>
      <c r="M96" s="112"/>
      <c r="N96" s="112"/>
      <c r="T96" s="10"/>
      <c r="U96" s="10"/>
    </row>
    <row r="97" spans="1:23" ht="30" customHeight="1" x14ac:dyDescent="0.25">
      <c r="A97" s="1460"/>
      <c r="B97" s="1460"/>
      <c r="C97" s="1460"/>
      <c r="D97" s="1460"/>
      <c r="E97" s="1461"/>
      <c r="F97" s="1464" t="s">
        <v>83</v>
      </c>
      <c r="G97" s="1465"/>
      <c r="H97" s="445"/>
      <c r="I97" s="446" t="s">
        <v>75</v>
      </c>
      <c r="J97" s="447" t="s">
        <v>84</v>
      </c>
      <c r="K97" s="419">
        <v>308.02</v>
      </c>
      <c r="L97" s="440" t="s">
        <v>9</v>
      </c>
      <c r="M97" s="112"/>
      <c r="N97" s="112"/>
      <c r="T97" s="10"/>
      <c r="U97" s="10"/>
    </row>
    <row r="98" spans="1:23" ht="30" customHeight="1" x14ac:dyDescent="0.25">
      <c r="A98" s="1460"/>
      <c r="B98" s="1460"/>
      <c r="C98" s="1460"/>
      <c r="D98" s="1460"/>
      <c r="E98" s="1461"/>
      <c r="F98" s="1466"/>
      <c r="G98" s="1467"/>
      <c r="H98" s="448" t="s">
        <v>85</v>
      </c>
      <c r="I98" s="448">
        <v>0.76</v>
      </c>
      <c r="J98" s="449" t="s">
        <v>86</v>
      </c>
      <c r="K98" s="421">
        <v>234.09</v>
      </c>
      <c r="L98" s="440" t="s">
        <v>9</v>
      </c>
      <c r="M98" s="112"/>
      <c r="N98" s="112"/>
      <c r="T98" s="10"/>
      <c r="U98" s="10"/>
    </row>
    <row r="99" spans="1:23" ht="30" customHeight="1" x14ac:dyDescent="0.25">
      <c r="A99" s="1462"/>
      <c r="B99" s="1462"/>
      <c r="C99" s="1462"/>
      <c r="D99" s="1462"/>
      <c r="E99" s="1463"/>
      <c r="F99" s="1468"/>
      <c r="G99" s="1469"/>
      <c r="H99" s="448" t="s">
        <v>87</v>
      </c>
      <c r="I99" s="418">
        <v>0.24</v>
      </c>
      <c r="J99" s="449" t="s">
        <v>88</v>
      </c>
      <c r="K99" s="421">
        <v>24.19</v>
      </c>
      <c r="L99" s="440" t="s">
        <v>9</v>
      </c>
      <c r="M99" s="112"/>
      <c r="N99" s="112"/>
      <c r="T99" s="10"/>
      <c r="U99" s="10"/>
    </row>
    <row r="100" spans="1:23" ht="30" customHeight="1" thickBot="1" x14ac:dyDescent="0.3">
      <c r="A100" s="416" t="s">
        <v>75</v>
      </c>
      <c r="B100" s="418" t="s">
        <v>75</v>
      </c>
      <c r="C100" s="418" t="s">
        <v>75</v>
      </c>
      <c r="D100" s="418" t="s">
        <v>75</v>
      </c>
      <c r="E100" s="418" t="s">
        <v>75</v>
      </c>
      <c r="F100" s="448" t="s">
        <v>75</v>
      </c>
      <c r="G100" s="448" t="s">
        <v>75</v>
      </c>
      <c r="H100" s="448" t="s">
        <v>75</v>
      </c>
      <c r="I100" s="448" t="s">
        <v>75</v>
      </c>
      <c r="J100" s="428" t="s">
        <v>70</v>
      </c>
      <c r="K100" s="421">
        <f>+K98*I98+K99*I99</f>
        <v>183.714</v>
      </c>
      <c r="L100" s="440" t="s">
        <v>9</v>
      </c>
      <c r="M100" s="112"/>
      <c r="N100" s="112"/>
      <c r="T100" s="10"/>
      <c r="U100" s="10"/>
    </row>
    <row r="101" spans="1:23" ht="30" customHeight="1" thickBot="1" x14ac:dyDescent="0.3">
      <c r="A101" s="1180"/>
      <c r="B101" s="1181"/>
      <c r="C101" s="1181"/>
      <c r="D101" s="1181"/>
      <c r="E101" s="1181"/>
      <c r="F101" s="1181"/>
      <c r="G101" s="1181"/>
      <c r="H101" s="1181"/>
      <c r="I101" s="1181"/>
      <c r="J101" s="1181"/>
      <c r="K101" s="1181"/>
      <c r="L101" s="1182"/>
      <c r="M101" s="54"/>
      <c r="N101" s="54"/>
      <c r="O101" s="336"/>
      <c r="V101" s="10"/>
      <c r="W101" s="10"/>
    </row>
    <row r="102" spans="1:23" ht="30" customHeight="1" x14ac:dyDescent="0.25">
      <c r="A102" s="327" t="s">
        <v>5</v>
      </c>
      <c r="B102" s="328">
        <v>1113</v>
      </c>
      <c r="C102" s="1233" t="s">
        <v>89</v>
      </c>
      <c r="D102" s="1234"/>
      <c r="E102" s="331" t="s">
        <v>8</v>
      </c>
      <c r="F102" s="332" t="s">
        <v>9</v>
      </c>
      <c r="G102" s="346" t="s">
        <v>7</v>
      </c>
      <c r="H102" s="156">
        <v>33333</v>
      </c>
      <c r="I102" s="331" t="s">
        <v>10</v>
      </c>
      <c r="J102" s="1220" t="s">
        <v>11</v>
      </c>
      <c r="K102" s="1444"/>
      <c r="L102" s="1445"/>
      <c r="M102" s="54"/>
      <c r="N102" s="54"/>
      <c r="O102" s="336"/>
      <c r="V102" s="10"/>
      <c r="W102" s="10"/>
    </row>
    <row r="103" spans="1:23" ht="30" customHeight="1" x14ac:dyDescent="0.25">
      <c r="A103" s="356" t="s">
        <v>12</v>
      </c>
      <c r="B103" s="1322" t="s">
        <v>13</v>
      </c>
      <c r="C103" s="1323"/>
      <c r="D103" s="1324"/>
      <c r="E103" s="356" t="s">
        <v>14</v>
      </c>
      <c r="F103" s="356" t="s">
        <v>15</v>
      </c>
      <c r="G103" s="357" t="s">
        <v>16</v>
      </c>
      <c r="H103" s="357" t="s">
        <v>17</v>
      </c>
      <c r="I103" s="357" t="s">
        <v>18</v>
      </c>
      <c r="J103" s="358" t="s">
        <v>19</v>
      </c>
      <c r="K103" s="358" t="s">
        <v>20</v>
      </c>
      <c r="L103" s="359"/>
      <c r="O103" s="336"/>
      <c r="V103" s="10"/>
      <c r="W103" s="10"/>
    </row>
    <row r="104" spans="1:23" ht="30" customHeight="1" x14ac:dyDescent="0.25">
      <c r="A104" s="360" t="s">
        <v>21</v>
      </c>
      <c r="B104" s="1268" t="s">
        <v>22</v>
      </c>
      <c r="C104" s="1167"/>
      <c r="D104" s="1168"/>
      <c r="E104" s="361">
        <v>33333</v>
      </c>
      <c r="F104" s="360" t="s">
        <v>9</v>
      </c>
      <c r="G104" s="362">
        <v>0</v>
      </c>
      <c r="H104" s="362">
        <v>23214.02</v>
      </c>
      <c r="I104" s="362">
        <v>15246.65</v>
      </c>
      <c r="J104" s="363">
        <v>20304.560000000001</v>
      </c>
      <c r="K104" s="362">
        <v>38460.67</v>
      </c>
      <c r="L104" s="339" t="s">
        <v>9</v>
      </c>
      <c r="M104" s="54"/>
      <c r="N104" s="54"/>
      <c r="O104" s="336"/>
      <c r="V104" s="10"/>
      <c r="W104" s="10"/>
    </row>
    <row r="105" spans="1:23" ht="30" customHeight="1" x14ac:dyDescent="0.25">
      <c r="A105" s="360" t="s">
        <v>23</v>
      </c>
      <c r="B105" s="1268" t="s">
        <v>24</v>
      </c>
      <c r="C105" s="1167"/>
      <c r="D105" s="1168"/>
      <c r="E105" s="361">
        <v>11111</v>
      </c>
      <c r="F105" s="360" t="s">
        <v>25</v>
      </c>
      <c r="G105" s="362">
        <v>771597.65</v>
      </c>
      <c r="H105" s="362">
        <v>204071.58</v>
      </c>
      <c r="I105" s="362">
        <v>73322.52</v>
      </c>
      <c r="J105" s="363">
        <v>613665.61</v>
      </c>
      <c r="K105" s="362">
        <v>1048991.74</v>
      </c>
      <c r="L105" s="339" t="s">
        <v>25</v>
      </c>
      <c r="M105" s="54"/>
      <c r="N105" s="54"/>
      <c r="O105" s="336"/>
      <c r="V105" s="10"/>
      <c r="W105" s="10"/>
    </row>
    <row r="106" spans="1:23" ht="30" customHeight="1" x14ac:dyDescent="0.25">
      <c r="A106" s="360" t="s">
        <v>26</v>
      </c>
      <c r="B106" s="1268" t="s">
        <v>27</v>
      </c>
      <c r="C106" s="1167"/>
      <c r="D106" s="1168"/>
      <c r="E106" s="361">
        <v>11609.88</v>
      </c>
      <c r="F106" s="360" t="s">
        <v>25</v>
      </c>
      <c r="G106" s="362">
        <v>550608.4</v>
      </c>
      <c r="H106" s="362">
        <v>0</v>
      </c>
      <c r="I106" s="362">
        <v>0</v>
      </c>
      <c r="J106" s="363">
        <v>337055.09</v>
      </c>
      <c r="K106" s="362">
        <v>550608.4</v>
      </c>
      <c r="L106" s="339" t="s">
        <v>25</v>
      </c>
      <c r="M106" s="54"/>
      <c r="N106" s="54"/>
      <c r="O106" s="336"/>
      <c r="V106" s="10"/>
      <c r="W106" s="10"/>
    </row>
    <row r="107" spans="1:23" ht="30" customHeight="1" x14ac:dyDescent="0.25">
      <c r="A107" s="360" t="s">
        <v>28</v>
      </c>
      <c r="B107" s="1268" t="s">
        <v>29</v>
      </c>
      <c r="C107" s="1167"/>
      <c r="D107" s="1168"/>
      <c r="E107" s="361">
        <v>33333</v>
      </c>
      <c r="F107" s="360" t="s">
        <v>9</v>
      </c>
      <c r="G107" s="362">
        <v>96458.39</v>
      </c>
      <c r="H107" s="362">
        <v>24664.9</v>
      </c>
      <c r="I107" s="362">
        <v>11434.99</v>
      </c>
      <c r="J107" s="363">
        <v>77703.98</v>
      </c>
      <c r="K107" s="362">
        <v>132558.26999999999</v>
      </c>
      <c r="L107" s="339" t="s">
        <v>9</v>
      </c>
      <c r="M107" s="54"/>
      <c r="N107" s="54"/>
      <c r="O107" s="336"/>
      <c r="V107" s="10"/>
      <c r="W107" s="10"/>
    </row>
    <row r="108" spans="1:23" ht="30" customHeight="1" x14ac:dyDescent="0.25">
      <c r="A108" s="360" t="s">
        <v>78</v>
      </c>
      <c r="B108" s="1268" t="s">
        <v>90</v>
      </c>
      <c r="C108" s="1167"/>
      <c r="D108" s="1168"/>
      <c r="E108" s="361">
        <v>7286</v>
      </c>
      <c r="F108" s="360" t="s">
        <v>80</v>
      </c>
      <c r="G108" s="362">
        <v>922428.72</v>
      </c>
      <c r="H108" s="362">
        <v>93396.47</v>
      </c>
      <c r="I108" s="362">
        <v>32255.25</v>
      </c>
      <c r="J108" s="363">
        <v>628550.73</v>
      </c>
      <c r="K108" s="362">
        <v>1048080.45</v>
      </c>
      <c r="L108" s="339" t="s">
        <v>80</v>
      </c>
      <c r="M108" s="54"/>
      <c r="N108" s="54"/>
      <c r="O108" s="336"/>
      <c r="V108" s="10"/>
      <c r="W108" s="10"/>
    </row>
    <row r="109" spans="1:23" ht="30" customHeight="1" x14ac:dyDescent="0.25">
      <c r="A109" s="360" t="s">
        <v>57</v>
      </c>
      <c r="B109" s="1268" t="s">
        <v>91</v>
      </c>
      <c r="C109" s="1167"/>
      <c r="D109" s="1168"/>
      <c r="E109" s="361">
        <v>12133</v>
      </c>
      <c r="F109" s="360" t="s">
        <v>9</v>
      </c>
      <c r="G109" s="362">
        <v>147463.01</v>
      </c>
      <c r="H109" s="362">
        <v>308416.11</v>
      </c>
      <c r="I109" s="362">
        <v>61046.51</v>
      </c>
      <c r="J109" s="363">
        <v>273401.56</v>
      </c>
      <c r="K109" s="362">
        <v>516925.63</v>
      </c>
      <c r="L109" s="339" t="s">
        <v>9</v>
      </c>
      <c r="M109" s="54"/>
      <c r="N109" s="54"/>
      <c r="O109" s="336"/>
      <c r="V109" s="10"/>
      <c r="W109" s="10"/>
    </row>
    <row r="110" spans="1:23" ht="30" customHeight="1" x14ac:dyDescent="0.25">
      <c r="A110" s="360" t="s">
        <v>34</v>
      </c>
      <c r="B110" s="1268" t="s">
        <v>35</v>
      </c>
      <c r="C110" s="1167"/>
      <c r="D110" s="1168"/>
      <c r="E110" s="361">
        <v>2864.68</v>
      </c>
      <c r="F110" s="360" t="s">
        <v>25</v>
      </c>
      <c r="G110" s="362">
        <v>542057.89</v>
      </c>
      <c r="H110" s="362">
        <v>0</v>
      </c>
      <c r="I110" s="362">
        <v>0</v>
      </c>
      <c r="J110" s="363">
        <v>331820.89</v>
      </c>
      <c r="K110" s="362">
        <v>542057.89</v>
      </c>
      <c r="L110" s="339" t="s">
        <v>25</v>
      </c>
      <c r="M110" s="54"/>
      <c r="N110" s="54"/>
      <c r="O110" s="14"/>
      <c r="P110" s="59"/>
      <c r="V110" s="10"/>
      <c r="W110" s="10"/>
    </row>
    <row r="111" spans="1:23" ht="30" customHeight="1" x14ac:dyDescent="0.25">
      <c r="A111" s="360" t="s">
        <v>36</v>
      </c>
      <c r="B111" s="1164" t="s">
        <v>37</v>
      </c>
      <c r="C111" s="1164"/>
      <c r="D111" s="1164"/>
      <c r="E111" s="361">
        <v>2864.68</v>
      </c>
      <c r="F111" s="360" t="s">
        <v>25</v>
      </c>
      <c r="G111" s="362">
        <v>0</v>
      </c>
      <c r="H111" s="362">
        <v>3678.62</v>
      </c>
      <c r="I111" s="362">
        <v>5709.63</v>
      </c>
      <c r="J111" s="363">
        <v>5233.3599999999997</v>
      </c>
      <c r="K111" s="362">
        <v>9388.25</v>
      </c>
      <c r="L111" s="339" t="s">
        <v>25</v>
      </c>
      <c r="M111" s="54"/>
      <c r="N111" s="54"/>
      <c r="O111" s="336"/>
      <c r="V111" s="10"/>
      <c r="W111" s="10"/>
    </row>
    <row r="112" spans="1:23" ht="30" customHeight="1" x14ac:dyDescent="0.25">
      <c r="A112" s="450" t="s">
        <v>43</v>
      </c>
      <c r="B112" s="1565" t="s">
        <v>92</v>
      </c>
      <c r="C112" s="1565"/>
      <c r="D112" s="1565"/>
      <c r="E112" s="361">
        <v>2865</v>
      </c>
      <c r="F112" s="360" t="s">
        <v>40</v>
      </c>
      <c r="G112" s="362">
        <v>8751.27</v>
      </c>
      <c r="H112" s="362">
        <v>68026.070000000007</v>
      </c>
      <c r="I112" s="362">
        <v>0</v>
      </c>
      <c r="J112" s="363">
        <v>37507.31</v>
      </c>
      <c r="K112" s="362">
        <v>76777.350000000006</v>
      </c>
      <c r="L112" s="339" t="s">
        <v>40</v>
      </c>
      <c r="M112" s="54"/>
      <c r="N112" s="54"/>
      <c r="O112" s="336"/>
      <c r="V112" s="10"/>
      <c r="W112" s="10"/>
    </row>
    <row r="113" spans="1:35" ht="30" customHeight="1" x14ac:dyDescent="0.25">
      <c r="A113" s="1159" t="s">
        <v>93</v>
      </c>
      <c r="B113" s="1159"/>
      <c r="C113" s="1159"/>
      <c r="D113" s="1159"/>
      <c r="E113" s="451"/>
      <c r="F113" s="360"/>
      <c r="G113" s="366"/>
      <c r="H113" s="366"/>
      <c r="I113" s="452"/>
      <c r="J113" s="453">
        <v>2325243.09</v>
      </c>
      <c r="K113" s="379">
        <v>3963848.65</v>
      </c>
      <c r="L113" s="360" t="s">
        <v>54</v>
      </c>
      <c r="M113" s="54"/>
      <c r="N113" s="54"/>
      <c r="T113" s="10"/>
      <c r="U113" s="10"/>
    </row>
    <row r="114" spans="1:35" ht="30" customHeight="1" x14ac:dyDescent="0.25">
      <c r="A114" s="1159"/>
      <c r="B114" s="1159"/>
      <c r="C114" s="1159"/>
      <c r="D114" s="1159"/>
      <c r="E114" s="391"/>
      <c r="F114" s="366"/>
      <c r="G114" s="380"/>
      <c r="H114" s="454"/>
      <c r="I114" s="455"/>
      <c r="J114" s="456" t="s">
        <v>72</v>
      </c>
      <c r="K114" s="240">
        <f>+K113/H102</f>
        <v>118.91664866648667</v>
      </c>
      <c r="L114" s="360" t="s">
        <v>9</v>
      </c>
      <c r="M114" s="334"/>
      <c r="N114" s="334"/>
    </row>
    <row r="115" spans="1:35" ht="30" customHeight="1" thickBot="1" x14ac:dyDescent="0.3">
      <c r="A115" s="1160"/>
      <c r="B115" s="1160"/>
      <c r="C115" s="1160"/>
      <c r="D115" s="1160"/>
      <c r="E115" s="457"/>
      <c r="F115" s="371"/>
      <c r="G115" s="371"/>
      <c r="H115" s="371"/>
      <c r="I115" s="458"/>
      <c r="L115" s="459"/>
      <c r="M115" s="54"/>
      <c r="N115" s="54"/>
      <c r="O115" s="348"/>
      <c r="V115" s="10"/>
      <c r="W115" s="10"/>
    </row>
    <row r="116" spans="1:35" ht="30" customHeight="1" thickBot="1" x14ac:dyDescent="0.3">
      <c r="A116" s="1305"/>
      <c r="B116" s="1306"/>
      <c r="C116" s="1306"/>
      <c r="D116" s="1306"/>
      <c r="E116" s="1306"/>
      <c r="F116" s="1306"/>
      <c r="G116" s="1306"/>
      <c r="H116" s="1306"/>
      <c r="I116" s="1306"/>
      <c r="J116" s="1306"/>
      <c r="K116" s="1306"/>
      <c r="L116" s="1307"/>
      <c r="M116" s="54"/>
      <c r="N116" s="54"/>
      <c r="O116" s="336"/>
      <c r="V116" s="10"/>
      <c r="W116" s="10"/>
    </row>
    <row r="117" spans="1:35" ht="30" customHeight="1" x14ac:dyDescent="0.25">
      <c r="A117" s="349" t="s">
        <v>5</v>
      </c>
      <c r="B117" s="350">
        <v>1114</v>
      </c>
      <c r="C117" s="1151" t="s">
        <v>94</v>
      </c>
      <c r="D117" s="1152"/>
      <c r="E117" s="351" t="s">
        <v>8</v>
      </c>
      <c r="F117" s="352" t="s">
        <v>9</v>
      </c>
      <c r="G117" s="353" t="s">
        <v>74</v>
      </c>
      <c r="H117" s="50">
        <v>58246</v>
      </c>
      <c r="I117" s="351" t="s">
        <v>10</v>
      </c>
      <c r="J117" s="1185" t="s">
        <v>11</v>
      </c>
      <c r="K117" s="1186"/>
      <c r="L117" s="1187"/>
      <c r="M117" s="112"/>
      <c r="N117" s="54"/>
      <c r="O117" s="336"/>
      <c r="V117" s="10"/>
      <c r="W117" s="10"/>
    </row>
    <row r="118" spans="1:35" ht="30" customHeight="1" x14ac:dyDescent="0.25">
      <c r="A118" s="356" t="s">
        <v>12</v>
      </c>
      <c r="B118" s="1163" t="s">
        <v>13</v>
      </c>
      <c r="C118" s="1163"/>
      <c r="D118" s="1163"/>
      <c r="E118" s="356" t="s">
        <v>14</v>
      </c>
      <c r="F118" s="356" t="s">
        <v>15</v>
      </c>
      <c r="G118" s="357" t="s">
        <v>16</v>
      </c>
      <c r="H118" s="357" t="s">
        <v>17</v>
      </c>
      <c r="I118" s="357" t="s">
        <v>18</v>
      </c>
      <c r="J118" s="358" t="s">
        <v>19</v>
      </c>
      <c r="K118" s="358" t="s">
        <v>20</v>
      </c>
      <c r="L118" s="359"/>
      <c r="O118" s="373"/>
      <c r="T118" s="10"/>
      <c r="U118" s="10"/>
    </row>
    <row r="119" spans="1:35" ht="30" customHeight="1" x14ac:dyDescent="0.25">
      <c r="A119" s="460" t="s">
        <v>95</v>
      </c>
      <c r="B119" s="1164" t="s">
        <v>96</v>
      </c>
      <c r="C119" s="1164"/>
      <c r="D119" s="1164"/>
      <c r="E119" s="461">
        <v>229715.33</v>
      </c>
      <c r="F119" s="360" t="s">
        <v>9</v>
      </c>
      <c r="G119" s="362">
        <v>0</v>
      </c>
      <c r="H119" s="362">
        <v>100.82</v>
      </c>
      <c r="I119" s="362">
        <v>75.05</v>
      </c>
      <c r="J119" s="363">
        <v>93.59</v>
      </c>
      <c r="K119" s="362">
        <v>175.87</v>
      </c>
      <c r="L119" s="360" t="s">
        <v>9</v>
      </c>
      <c r="M119" s="54"/>
      <c r="N119" s="54"/>
      <c r="O119" s="373"/>
      <c r="T119" s="10"/>
      <c r="U119" s="10"/>
    </row>
    <row r="120" spans="1:35" ht="30" customHeight="1" x14ac:dyDescent="0.25">
      <c r="A120" s="360" t="s">
        <v>97</v>
      </c>
      <c r="B120" s="1153" t="s">
        <v>98</v>
      </c>
      <c r="C120" s="1154"/>
      <c r="D120" s="1155"/>
      <c r="E120" s="361">
        <v>162152</v>
      </c>
      <c r="F120" s="360" t="s">
        <v>9</v>
      </c>
      <c r="G120" s="362">
        <v>0</v>
      </c>
      <c r="H120" s="362">
        <v>121447.54</v>
      </c>
      <c r="I120" s="362">
        <v>75096.09</v>
      </c>
      <c r="J120" s="363">
        <v>103368.15</v>
      </c>
      <c r="K120" s="362">
        <v>196543.63</v>
      </c>
      <c r="L120" s="360" t="s">
        <v>9</v>
      </c>
      <c r="M120" s="54"/>
      <c r="N120" s="54"/>
      <c r="T120" s="10"/>
      <c r="U120" s="10"/>
    </row>
    <row r="121" spans="1:35" ht="30" customHeight="1" x14ac:dyDescent="0.25">
      <c r="A121" s="360" t="s">
        <v>99</v>
      </c>
      <c r="B121" s="1153" t="s">
        <v>100</v>
      </c>
      <c r="C121" s="1154"/>
      <c r="D121" s="1155"/>
      <c r="E121" s="361">
        <v>1501.41</v>
      </c>
      <c r="F121" s="360" t="s">
        <v>25</v>
      </c>
      <c r="G121" s="362">
        <v>0</v>
      </c>
      <c r="H121" s="362">
        <v>10868.24</v>
      </c>
      <c r="I121" s="362">
        <v>10355.469999999999</v>
      </c>
      <c r="J121" s="363">
        <v>11475.61</v>
      </c>
      <c r="K121" s="362">
        <v>21223.71</v>
      </c>
      <c r="L121" s="360" t="s">
        <v>25</v>
      </c>
      <c r="M121" s="112"/>
      <c r="N121" s="112"/>
      <c r="T121" s="10"/>
      <c r="U121" s="10"/>
    </row>
    <row r="122" spans="1:35" ht="30" customHeight="1" x14ac:dyDescent="0.25">
      <c r="A122" s="360" t="s">
        <v>101</v>
      </c>
      <c r="B122" s="1153" t="s">
        <v>102</v>
      </c>
      <c r="C122" s="1154"/>
      <c r="D122" s="1155"/>
      <c r="E122" s="361">
        <v>30028.15</v>
      </c>
      <c r="F122" s="360" t="s">
        <v>25</v>
      </c>
      <c r="G122" s="362">
        <v>0</v>
      </c>
      <c r="H122" s="362">
        <v>130216.98</v>
      </c>
      <c r="I122" s="362">
        <v>168636.33</v>
      </c>
      <c r="J122" s="363">
        <v>164773.41</v>
      </c>
      <c r="K122" s="362">
        <v>298853.31</v>
      </c>
      <c r="L122" s="360" t="s">
        <v>25</v>
      </c>
      <c r="M122" s="334"/>
    </row>
    <row r="123" spans="1:35" ht="30" customHeight="1" x14ac:dyDescent="0.25">
      <c r="A123" s="360" t="s">
        <v>103</v>
      </c>
      <c r="B123" s="1169" t="s">
        <v>104</v>
      </c>
      <c r="C123" s="1170"/>
      <c r="D123" s="1171"/>
      <c r="E123" s="361">
        <v>38285.89</v>
      </c>
      <c r="F123" s="360" t="s">
        <v>25</v>
      </c>
      <c r="G123" s="362">
        <v>0</v>
      </c>
      <c r="H123" s="362">
        <v>114482.02</v>
      </c>
      <c r="I123" s="362">
        <v>8149.39</v>
      </c>
      <c r="J123" s="363">
        <v>59094.69</v>
      </c>
      <c r="K123" s="362">
        <v>122631.41</v>
      </c>
      <c r="L123" s="360" t="s">
        <v>25</v>
      </c>
      <c r="M123" s="54"/>
      <c r="N123" s="54"/>
    </row>
    <row r="124" spans="1:35" ht="30" customHeight="1" x14ac:dyDescent="0.25">
      <c r="A124" s="360" t="s">
        <v>26</v>
      </c>
      <c r="B124" s="1164" t="s">
        <v>27</v>
      </c>
      <c r="C124" s="1164"/>
      <c r="D124" s="1164"/>
      <c r="E124" s="361">
        <v>30028.15</v>
      </c>
      <c r="F124" s="360" t="s">
        <v>25</v>
      </c>
      <c r="G124" s="362">
        <v>1152992.23</v>
      </c>
      <c r="H124" s="362">
        <v>0</v>
      </c>
      <c r="I124" s="362">
        <v>0</v>
      </c>
      <c r="J124" s="363">
        <v>705804.52</v>
      </c>
      <c r="K124" s="362">
        <v>1152992</v>
      </c>
      <c r="L124" s="360" t="s">
        <v>25</v>
      </c>
      <c r="M124" s="54"/>
      <c r="N124" s="54"/>
      <c r="T124" s="10"/>
      <c r="U124" s="10"/>
    </row>
    <row r="125" spans="1:35" ht="30" customHeight="1" x14ac:dyDescent="0.25">
      <c r="A125" s="360" t="s">
        <v>105</v>
      </c>
      <c r="B125" s="1164" t="s">
        <v>106</v>
      </c>
      <c r="C125" s="1164"/>
      <c r="D125" s="1164"/>
      <c r="E125" s="361">
        <v>12</v>
      </c>
      <c r="F125" s="360" t="s">
        <v>76</v>
      </c>
      <c r="G125" s="362">
        <v>109191.6</v>
      </c>
      <c r="H125" s="362">
        <v>52940.13</v>
      </c>
      <c r="I125" s="362">
        <v>8127.46</v>
      </c>
      <c r="J125" s="363">
        <v>96837.25</v>
      </c>
      <c r="K125" s="362">
        <v>170259.18</v>
      </c>
      <c r="L125" s="360" t="s">
        <v>76</v>
      </c>
      <c r="M125" s="112"/>
      <c r="N125" s="112"/>
      <c r="T125" s="60"/>
      <c r="U125" s="60"/>
    </row>
    <row r="126" spans="1:35" ht="30" customHeight="1" x14ac:dyDescent="0.25">
      <c r="A126" s="1172" t="s">
        <v>107</v>
      </c>
      <c r="B126" s="1173"/>
      <c r="C126" s="1173"/>
      <c r="D126" s="1174"/>
      <c r="E126" s="386"/>
      <c r="F126" s="360"/>
      <c r="G126" s="366"/>
      <c r="H126" s="1161" t="s">
        <v>108</v>
      </c>
      <c r="I126" s="1162"/>
      <c r="J126" s="453">
        <f>SUM(J119:J125)</f>
        <v>1141447.22</v>
      </c>
      <c r="K126" s="379">
        <f>SUM(K119:K125)</f>
        <v>1962679.11</v>
      </c>
      <c r="L126" s="339" t="s">
        <v>54</v>
      </c>
      <c r="M126" s="54"/>
      <c r="N126" s="462"/>
      <c r="T126" s="10"/>
      <c r="U126" s="10"/>
    </row>
    <row r="127" spans="1:35" ht="30" customHeight="1" x14ac:dyDescent="0.25">
      <c r="A127" s="1175"/>
      <c r="B127" s="1176"/>
      <c r="C127" s="1176"/>
      <c r="D127" s="1177"/>
      <c r="E127" s="366"/>
      <c r="F127" s="366"/>
      <c r="G127" s="366"/>
      <c r="H127" s="366"/>
      <c r="I127" s="463"/>
      <c r="J127" s="464" t="s">
        <v>72</v>
      </c>
      <c r="K127" s="465">
        <f>K126/H117</f>
        <v>33.696375888473028</v>
      </c>
      <c r="L127" s="466" t="s">
        <v>9</v>
      </c>
      <c r="O127" s="467"/>
      <c r="P127" s="468"/>
      <c r="Q127" s="468"/>
      <c r="R127" s="469"/>
      <c r="S127" s="345"/>
      <c r="T127" s="348"/>
      <c r="U127" s="121"/>
      <c r="V127" s="469"/>
      <c r="W127" s="470"/>
      <c r="X127" s="348"/>
      <c r="Y127" s="348"/>
      <c r="Z127" s="54"/>
      <c r="AA127" s="348"/>
      <c r="AB127" s="340"/>
      <c r="AH127" s="10"/>
      <c r="AI127" s="10"/>
    </row>
    <row r="128" spans="1:35" ht="30" customHeight="1" thickBot="1" x14ac:dyDescent="0.3">
      <c r="A128" s="1175"/>
      <c r="B128" s="1178"/>
      <c r="C128" s="1178"/>
      <c r="D128" s="1177"/>
      <c r="E128" s="371"/>
      <c r="F128" s="371"/>
      <c r="G128" s="371"/>
      <c r="H128" s="458"/>
      <c r="I128" s="471"/>
      <c r="J128" s="471"/>
      <c r="K128" s="471"/>
      <c r="L128" s="471"/>
      <c r="N128" s="127"/>
      <c r="O128" s="61"/>
      <c r="T128" s="10"/>
      <c r="U128" s="10"/>
    </row>
    <row r="129" spans="1:21" ht="30" customHeight="1" thickBot="1" x14ac:dyDescent="0.3">
      <c r="A129" s="1504"/>
      <c r="B129" s="1505"/>
      <c r="C129" s="1505"/>
      <c r="D129" s="1505"/>
      <c r="E129" s="1505"/>
      <c r="F129" s="1505"/>
      <c r="G129" s="1505"/>
      <c r="H129" s="1505"/>
      <c r="I129" s="1505"/>
      <c r="J129" s="1505"/>
      <c r="K129" s="1505"/>
      <c r="L129" s="1506"/>
      <c r="M129" s="54"/>
      <c r="N129" s="54"/>
      <c r="T129" s="10"/>
      <c r="U129" s="10"/>
    </row>
    <row r="130" spans="1:21" ht="30" customHeight="1" x14ac:dyDescent="0.25">
      <c r="A130" s="349" t="s">
        <v>5</v>
      </c>
      <c r="B130" s="350">
        <v>1115</v>
      </c>
      <c r="C130" s="1165" t="s">
        <v>109</v>
      </c>
      <c r="D130" s="1166"/>
      <c r="E130" s="351" t="s">
        <v>8</v>
      </c>
      <c r="F130" s="352" t="s">
        <v>9</v>
      </c>
      <c r="G130" s="355" t="s">
        <v>7</v>
      </c>
      <c r="H130" s="50">
        <v>11416</v>
      </c>
      <c r="I130" s="351" t="s">
        <v>10</v>
      </c>
      <c r="J130" s="1185" t="s">
        <v>110</v>
      </c>
      <c r="K130" s="1186"/>
      <c r="L130" s="1187"/>
      <c r="M130" s="112"/>
      <c r="N130" s="112"/>
    </row>
    <row r="131" spans="1:21" ht="30" customHeight="1" x14ac:dyDescent="0.25">
      <c r="A131" s="356"/>
      <c r="B131" s="1163" t="s">
        <v>13</v>
      </c>
      <c r="C131" s="1163"/>
      <c r="D131" s="1163"/>
      <c r="E131" s="1119" t="s">
        <v>116</v>
      </c>
      <c r="F131" s="1119" t="s">
        <v>117</v>
      </c>
      <c r="G131" s="1194" t="s">
        <v>118</v>
      </c>
      <c r="H131" s="1195"/>
      <c r="I131" s="1119" t="s">
        <v>119</v>
      </c>
      <c r="J131" s="1119" t="s">
        <v>120</v>
      </c>
      <c r="K131" s="1236" t="s">
        <v>72</v>
      </c>
      <c r="L131" s="1237"/>
    </row>
    <row r="132" spans="1:21" ht="30" customHeight="1" thickBot="1" x14ac:dyDescent="0.3">
      <c r="A132" s="450"/>
      <c r="B132" s="1455" t="s">
        <v>122</v>
      </c>
      <c r="C132" s="1455"/>
      <c r="D132" s="1455"/>
      <c r="E132" s="472">
        <v>156.26943197847552</v>
      </c>
      <c r="F132" s="473"/>
      <c r="G132" s="1456"/>
      <c r="H132" s="1457"/>
      <c r="I132" s="473"/>
      <c r="J132" s="474"/>
      <c r="K132" s="475">
        <f>+E132</f>
        <v>156.26943197847552</v>
      </c>
      <c r="L132" s="473" t="s">
        <v>9</v>
      </c>
      <c r="M132" s="54"/>
      <c r="N132" s="54"/>
    </row>
    <row r="133" spans="1:21" ht="30" customHeight="1" thickBot="1" x14ac:dyDescent="0.3">
      <c r="A133" s="476"/>
      <c r="B133" s="477"/>
      <c r="C133" s="477"/>
      <c r="D133" s="477"/>
      <c r="E133" s="477"/>
      <c r="F133" s="477"/>
      <c r="G133" s="477"/>
      <c r="H133" s="477"/>
      <c r="I133" s="477"/>
      <c r="J133" s="477"/>
      <c r="K133" s="477"/>
      <c r="L133" s="478"/>
      <c r="M133" s="54"/>
      <c r="N133" s="54"/>
    </row>
    <row r="134" spans="1:21" ht="30" customHeight="1" x14ac:dyDescent="0.25">
      <c r="A134" s="349" t="s">
        <v>5</v>
      </c>
      <c r="B134" s="350">
        <v>1121</v>
      </c>
      <c r="C134" s="1151" t="s">
        <v>111</v>
      </c>
      <c r="D134" s="1152"/>
      <c r="E134" s="351" t="s">
        <v>8</v>
      </c>
      <c r="F134" s="352" t="s">
        <v>9</v>
      </c>
      <c r="G134" s="355" t="s">
        <v>7</v>
      </c>
      <c r="H134" s="50">
        <v>15656</v>
      </c>
      <c r="I134" s="351" t="s">
        <v>10</v>
      </c>
      <c r="J134" s="1185" t="s">
        <v>11</v>
      </c>
      <c r="K134" s="1186"/>
      <c r="L134" s="1187"/>
      <c r="M134" s="112"/>
      <c r="N134" s="112"/>
    </row>
    <row r="135" spans="1:21" ht="30" customHeight="1" x14ac:dyDescent="0.25">
      <c r="A135" s="356" t="s">
        <v>12</v>
      </c>
      <c r="B135" s="1163" t="s">
        <v>13</v>
      </c>
      <c r="C135" s="1163"/>
      <c r="D135" s="1163"/>
      <c r="E135" s="356" t="s">
        <v>14</v>
      </c>
      <c r="F135" s="356" t="s">
        <v>15</v>
      </c>
      <c r="G135" s="357" t="s">
        <v>16</v>
      </c>
      <c r="H135" s="357" t="s">
        <v>17</v>
      </c>
      <c r="I135" s="357" t="s">
        <v>18</v>
      </c>
      <c r="J135" s="358" t="s">
        <v>19</v>
      </c>
      <c r="K135" s="358" t="s">
        <v>20</v>
      </c>
      <c r="L135" s="359"/>
      <c r="O135" s="373"/>
      <c r="T135" s="10"/>
      <c r="U135" s="10"/>
    </row>
    <row r="136" spans="1:21" ht="30" customHeight="1" x14ac:dyDescent="0.25">
      <c r="A136" s="460" t="s">
        <v>21</v>
      </c>
      <c r="B136" s="1164" t="s">
        <v>22</v>
      </c>
      <c r="C136" s="1164"/>
      <c r="D136" s="1164"/>
      <c r="E136" s="461">
        <v>55400.87</v>
      </c>
      <c r="F136" s="360" t="s">
        <v>9</v>
      </c>
      <c r="G136" s="362">
        <v>0</v>
      </c>
      <c r="H136" s="362">
        <v>70126.850000000006</v>
      </c>
      <c r="I136" s="362">
        <v>24279.24</v>
      </c>
      <c r="J136" s="363">
        <v>47921.02</v>
      </c>
      <c r="K136" s="362">
        <v>94406.080000000002</v>
      </c>
      <c r="L136" s="360" t="s">
        <v>9</v>
      </c>
      <c r="M136" s="54"/>
      <c r="N136" s="54"/>
      <c r="O136" s="373"/>
      <c r="T136" s="10"/>
      <c r="U136" s="10"/>
    </row>
    <row r="137" spans="1:21" ht="30" customHeight="1" x14ac:dyDescent="0.25">
      <c r="A137" s="360" t="s">
        <v>26</v>
      </c>
      <c r="B137" s="1153" t="s">
        <v>27</v>
      </c>
      <c r="C137" s="1154"/>
      <c r="D137" s="1155"/>
      <c r="E137" s="361">
        <v>15369.27</v>
      </c>
      <c r="F137" s="360" t="s">
        <v>25</v>
      </c>
      <c r="G137" s="362">
        <v>591176.23</v>
      </c>
      <c r="H137" s="362">
        <v>0</v>
      </c>
      <c r="I137" s="362">
        <v>0</v>
      </c>
      <c r="J137" s="363">
        <v>361251.03</v>
      </c>
      <c r="K137" s="362">
        <v>591176.23</v>
      </c>
      <c r="L137" s="360" t="s">
        <v>25</v>
      </c>
      <c r="M137" s="54"/>
      <c r="N137" s="54"/>
      <c r="T137" s="10"/>
      <c r="U137" s="10"/>
    </row>
    <row r="138" spans="1:21" ht="30" customHeight="1" x14ac:dyDescent="0.25">
      <c r="A138" s="360" t="s">
        <v>28</v>
      </c>
      <c r="B138" s="479" t="s">
        <v>29</v>
      </c>
      <c r="C138" s="480"/>
      <c r="D138" s="481"/>
      <c r="E138" s="361">
        <v>23534</v>
      </c>
      <c r="F138" s="360" t="s">
        <v>9</v>
      </c>
      <c r="G138" s="362">
        <v>24610.97</v>
      </c>
      <c r="H138" s="362">
        <v>1179.58</v>
      </c>
      <c r="I138" s="362">
        <v>546.88</v>
      </c>
      <c r="J138" s="363">
        <v>15929.75</v>
      </c>
      <c r="K138" s="362">
        <v>26337.43</v>
      </c>
      <c r="L138" s="360" t="s">
        <v>9</v>
      </c>
      <c r="M138" s="54"/>
      <c r="N138" s="54"/>
      <c r="T138" s="10"/>
      <c r="U138" s="10"/>
    </row>
    <row r="139" spans="1:21" ht="30" customHeight="1" x14ac:dyDescent="0.25">
      <c r="A139" s="360" t="s">
        <v>78</v>
      </c>
      <c r="B139" s="479" t="s">
        <v>79</v>
      </c>
      <c r="C139" s="480"/>
      <c r="D139" s="481"/>
      <c r="E139" s="361">
        <v>1853.3</v>
      </c>
      <c r="F139" s="360" t="s">
        <v>80</v>
      </c>
      <c r="G139" s="362">
        <v>212078.39</v>
      </c>
      <c r="H139" s="362">
        <v>17546.330000000002</v>
      </c>
      <c r="I139" s="362">
        <v>5942</v>
      </c>
      <c r="J139" s="363">
        <v>141504.14000000001</v>
      </c>
      <c r="K139" s="362">
        <v>235566.72</v>
      </c>
      <c r="L139" s="360" t="s">
        <v>80</v>
      </c>
      <c r="M139" s="54"/>
      <c r="N139" s="54"/>
      <c r="T139" s="10"/>
      <c r="U139" s="10"/>
    </row>
    <row r="140" spans="1:21" ht="30" customHeight="1" x14ac:dyDescent="0.25">
      <c r="A140" s="360" t="s">
        <v>30</v>
      </c>
      <c r="B140" s="479" t="s">
        <v>112</v>
      </c>
      <c r="C140" s="480"/>
      <c r="D140" s="481"/>
      <c r="E140" s="361">
        <v>11767</v>
      </c>
      <c r="F140" s="360" t="s">
        <v>9</v>
      </c>
      <c r="G140" s="362">
        <v>129063.33</v>
      </c>
      <c r="H140" s="362">
        <v>93877.33</v>
      </c>
      <c r="I140" s="362">
        <v>2838.38</v>
      </c>
      <c r="J140" s="363">
        <v>124891.15</v>
      </c>
      <c r="K140" s="362">
        <v>225779.04</v>
      </c>
      <c r="L140" s="360" t="s">
        <v>9</v>
      </c>
      <c r="M140" s="54"/>
      <c r="N140" s="54"/>
      <c r="T140" s="10"/>
      <c r="U140" s="10"/>
    </row>
    <row r="141" spans="1:21" ht="30" customHeight="1" x14ac:dyDescent="0.25">
      <c r="A141" s="360" t="s">
        <v>32</v>
      </c>
      <c r="B141" s="1153" t="s">
        <v>33</v>
      </c>
      <c r="C141" s="1154"/>
      <c r="D141" s="1155"/>
      <c r="E141" s="361">
        <v>11767</v>
      </c>
      <c r="F141" s="360" t="s">
        <v>9</v>
      </c>
      <c r="G141" s="362">
        <v>0</v>
      </c>
      <c r="H141" s="362">
        <v>72386.25</v>
      </c>
      <c r="I141" s="362">
        <v>81094.2</v>
      </c>
      <c r="J141" s="363">
        <v>83704.990000000005</v>
      </c>
      <c r="K141" s="362">
        <v>153480.45000000001</v>
      </c>
      <c r="L141" s="360" t="s">
        <v>9</v>
      </c>
      <c r="M141" s="112"/>
      <c r="N141" s="112"/>
      <c r="T141" s="10"/>
      <c r="U141" s="10"/>
    </row>
    <row r="142" spans="1:21" ht="30" customHeight="1" x14ac:dyDescent="0.25">
      <c r="A142" s="360" t="s">
        <v>34</v>
      </c>
      <c r="B142" s="1153" t="s">
        <v>35</v>
      </c>
      <c r="C142" s="1154"/>
      <c r="D142" s="1155"/>
      <c r="E142" s="361">
        <v>4575.95</v>
      </c>
      <c r="F142" s="360" t="s">
        <v>25</v>
      </c>
      <c r="G142" s="362">
        <v>726054.04</v>
      </c>
      <c r="H142" s="362">
        <v>0</v>
      </c>
      <c r="I142" s="362">
        <v>0</v>
      </c>
      <c r="J142" s="363">
        <v>443671.03999999998</v>
      </c>
      <c r="K142" s="362">
        <v>726054.04</v>
      </c>
      <c r="L142" s="360" t="s">
        <v>25</v>
      </c>
      <c r="M142" s="334"/>
    </row>
    <row r="143" spans="1:21" ht="30" customHeight="1" x14ac:dyDescent="0.25">
      <c r="A143" s="450" t="s">
        <v>36</v>
      </c>
      <c r="B143" s="482" t="s">
        <v>37</v>
      </c>
      <c r="C143" s="483"/>
      <c r="D143" s="484"/>
      <c r="E143" s="361">
        <v>4575.95</v>
      </c>
      <c r="F143" s="360" t="s">
        <v>25</v>
      </c>
      <c r="G143" s="362">
        <v>0</v>
      </c>
      <c r="H143" s="362">
        <v>4327.6099999999997</v>
      </c>
      <c r="I143" s="362">
        <v>7565.53</v>
      </c>
      <c r="J143" s="363">
        <v>6664.77</v>
      </c>
      <c r="K143" s="362">
        <v>11893.14</v>
      </c>
      <c r="L143" s="360" t="s">
        <v>25</v>
      </c>
      <c r="M143" s="334"/>
    </row>
    <row r="144" spans="1:21" ht="30" customHeight="1" x14ac:dyDescent="0.25">
      <c r="A144" s="450" t="s">
        <v>38</v>
      </c>
      <c r="B144" s="1156" t="s">
        <v>113</v>
      </c>
      <c r="C144" s="1157"/>
      <c r="D144" s="1158"/>
      <c r="E144" s="361">
        <v>5059.8100000000004</v>
      </c>
      <c r="F144" s="360" t="s">
        <v>40</v>
      </c>
      <c r="G144" s="362">
        <v>9001.39</v>
      </c>
      <c r="H144" s="362">
        <v>26515.52</v>
      </c>
      <c r="I144" s="362">
        <v>0</v>
      </c>
      <c r="J144" s="363">
        <v>18010.07</v>
      </c>
      <c r="K144" s="362">
        <v>35516.910000000003</v>
      </c>
      <c r="L144" s="360" t="s">
        <v>40</v>
      </c>
      <c r="M144" s="54"/>
      <c r="N144" s="54"/>
    </row>
    <row r="145" spans="1:35" ht="30" customHeight="1" x14ac:dyDescent="0.25">
      <c r="A145" s="1159" t="s">
        <v>107</v>
      </c>
      <c r="B145" s="1159"/>
      <c r="C145" s="1159"/>
      <c r="D145" s="1159"/>
      <c r="E145" s="451"/>
      <c r="F145" s="360"/>
      <c r="G145" s="366"/>
      <c r="H145" s="1161" t="s">
        <v>108</v>
      </c>
      <c r="I145" s="1162"/>
      <c r="J145" s="453">
        <f>SUM(J136:J144)</f>
        <v>1243547.9600000002</v>
      </c>
      <c r="K145" s="379">
        <f>SUM(K136:K144)</f>
        <v>2100210.04</v>
      </c>
      <c r="L145" s="339" t="s">
        <v>54</v>
      </c>
      <c r="M145" s="54"/>
      <c r="N145" s="462"/>
      <c r="T145" s="10"/>
      <c r="U145" s="10"/>
    </row>
    <row r="146" spans="1:35" ht="30" customHeight="1" x14ac:dyDescent="0.25">
      <c r="A146" s="1159"/>
      <c r="B146" s="1159"/>
      <c r="C146" s="1159"/>
      <c r="D146" s="1159"/>
      <c r="E146" s="391"/>
      <c r="F146" s="366"/>
      <c r="G146" s="366"/>
      <c r="H146" s="366"/>
      <c r="I146" s="463"/>
      <c r="J146" s="464" t="s">
        <v>72</v>
      </c>
      <c r="K146" s="465">
        <f>K145/H134</f>
        <v>134.14729432805314</v>
      </c>
      <c r="L146" s="360" t="s">
        <v>9</v>
      </c>
      <c r="O146" s="467"/>
      <c r="P146" s="468"/>
      <c r="Q146" s="468"/>
      <c r="R146" s="469"/>
      <c r="S146" s="345"/>
      <c r="T146" s="348"/>
      <c r="U146" s="121"/>
      <c r="V146" s="469"/>
      <c r="W146" s="470"/>
      <c r="X146" s="348"/>
      <c r="Y146" s="348"/>
      <c r="Z146" s="54"/>
      <c r="AA146" s="348"/>
      <c r="AB146" s="340"/>
      <c r="AH146" s="10"/>
      <c r="AI146" s="10"/>
    </row>
    <row r="147" spans="1:35" ht="30" customHeight="1" thickBot="1" x14ac:dyDescent="0.3">
      <c r="A147" s="1160"/>
      <c r="B147" s="1160"/>
      <c r="C147" s="1160"/>
      <c r="D147" s="1160"/>
      <c r="E147" s="457"/>
      <c r="F147" s="371"/>
      <c r="G147" s="371"/>
      <c r="H147" s="458"/>
      <c r="I147" s="471"/>
      <c r="J147" s="471"/>
      <c r="K147" s="471"/>
      <c r="L147" s="471"/>
      <c r="N147" s="127"/>
      <c r="O147" s="61"/>
      <c r="T147" s="10"/>
      <c r="U147" s="10"/>
    </row>
    <row r="148" spans="1:35" ht="30" customHeight="1" thickBot="1" x14ac:dyDescent="0.3">
      <c r="A148" s="1180"/>
      <c r="B148" s="1181"/>
      <c r="C148" s="1181"/>
      <c r="D148" s="1181"/>
      <c r="E148" s="1181"/>
      <c r="F148" s="1181"/>
      <c r="G148" s="1181"/>
      <c r="H148" s="1181"/>
      <c r="I148" s="1181"/>
      <c r="J148" s="1181"/>
      <c r="K148" s="1181"/>
      <c r="L148" s="1182"/>
      <c r="M148" s="54"/>
      <c r="N148" s="54"/>
    </row>
    <row r="149" spans="1:35" ht="30" customHeight="1" thickBot="1" x14ac:dyDescent="0.3">
      <c r="A149" s="327" t="s">
        <v>5</v>
      </c>
      <c r="B149" s="328">
        <v>1122</v>
      </c>
      <c r="C149" s="1251" t="s">
        <v>114</v>
      </c>
      <c r="D149" s="1252"/>
      <c r="E149" s="331" t="s">
        <v>8</v>
      </c>
      <c r="F149" s="332" t="s">
        <v>9</v>
      </c>
      <c r="G149" s="333" t="s">
        <v>7</v>
      </c>
      <c r="H149" s="156">
        <v>15034</v>
      </c>
      <c r="I149" s="331" t="s">
        <v>10</v>
      </c>
      <c r="J149" s="1450" t="s">
        <v>115</v>
      </c>
      <c r="K149" s="1451"/>
      <c r="L149" s="1452"/>
      <c r="M149" s="112"/>
      <c r="N149" s="112"/>
      <c r="T149" s="10"/>
      <c r="U149" s="10"/>
    </row>
    <row r="150" spans="1:35" ht="30" customHeight="1" x14ac:dyDescent="0.25">
      <c r="A150" s="356"/>
      <c r="B150" s="1163" t="s">
        <v>13</v>
      </c>
      <c r="C150" s="1163"/>
      <c r="D150" s="1163"/>
      <c r="E150" s="356" t="s">
        <v>116</v>
      </c>
      <c r="F150" s="356" t="s">
        <v>117</v>
      </c>
      <c r="G150" s="1194" t="s">
        <v>118</v>
      </c>
      <c r="H150" s="1195"/>
      <c r="I150" s="356" t="s">
        <v>119</v>
      </c>
      <c r="J150" s="356" t="s">
        <v>120</v>
      </c>
      <c r="K150" s="1236" t="s">
        <v>72</v>
      </c>
      <c r="L150" s="1237"/>
      <c r="T150" s="10"/>
      <c r="U150" s="10"/>
    </row>
    <row r="151" spans="1:35" ht="30" customHeight="1" thickBot="1" x14ac:dyDescent="0.3">
      <c r="A151" s="360"/>
      <c r="B151" s="1179" t="s">
        <v>121</v>
      </c>
      <c r="C151" s="1179"/>
      <c r="D151" s="1179"/>
      <c r="E151" s="485">
        <f>K146</f>
        <v>134.14729432805314</v>
      </c>
      <c r="F151" s="486"/>
      <c r="G151" s="1183"/>
      <c r="H151" s="1184"/>
      <c r="I151" s="486"/>
      <c r="J151" s="487"/>
      <c r="K151" s="488">
        <f>E151</f>
        <v>134.14729432805314</v>
      </c>
      <c r="L151" s="486" t="s">
        <v>9</v>
      </c>
      <c r="M151" s="54"/>
      <c r="N151" s="54"/>
      <c r="T151" s="10"/>
      <c r="U151" s="10"/>
    </row>
    <row r="152" spans="1:35" ht="30" customHeight="1" thickBot="1" x14ac:dyDescent="0.3">
      <c r="A152" s="1180"/>
      <c r="B152" s="1181"/>
      <c r="C152" s="1181"/>
      <c r="D152" s="1181"/>
      <c r="E152" s="1181"/>
      <c r="F152" s="1181"/>
      <c r="G152" s="1181"/>
      <c r="H152" s="1181"/>
      <c r="I152" s="1181"/>
      <c r="J152" s="1181"/>
      <c r="K152" s="1181"/>
      <c r="L152" s="1182"/>
      <c r="M152" s="54"/>
      <c r="N152" s="54"/>
      <c r="T152" s="60"/>
      <c r="U152" s="60"/>
    </row>
    <row r="153" spans="1:35" ht="30" customHeight="1" x14ac:dyDescent="0.25">
      <c r="A153" s="327" t="s">
        <v>5</v>
      </c>
      <c r="B153" s="328">
        <v>1131</v>
      </c>
      <c r="C153" s="1251" t="s">
        <v>122</v>
      </c>
      <c r="D153" s="1252"/>
      <c r="E153" s="331" t="s">
        <v>8</v>
      </c>
      <c r="F153" s="332" t="s">
        <v>9</v>
      </c>
      <c r="G153" s="333" t="s">
        <v>7</v>
      </c>
      <c r="H153" s="156">
        <v>76564</v>
      </c>
      <c r="I153" s="331" t="s">
        <v>10</v>
      </c>
      <c r="J153" s="1253" t="s">
        <v>11</v>
      </c>
      <c r="K153" s="1254"/>
      <c r="L153" s="1255"/>
      <c r="M153" s="112"/>
      <c r="N153" s="112"/>
      <c r="S153" s="10"/>
      <c r="T153" s="10"/>
    </row>
    <row r="154" spans="1:35" ht="30" customHeight="1" x14ac:dyDescent="0.25">
      <c r="A154" s="489" t="s">
        <v>12</v>
      </c>
      <c r="B154" s="1196" t="s">
        <v>13</v>
      </c>
      <c r="C154" s="1197"/>
      <c r="D154" s="1198"/>
      <c r="E154" s="490" t="s">
        <v>14</v>
      </c>
      <c r="F154" s="491" t="s">
        <v>15</v>
      </c>
      <c r="G154" s="492" t="s">
        <v>16</v>
      </c>
      <c r="H154" s="493" t="s">
        <v>17</v>
      </c>
      <c r="I154" s="493" t="s">
        <v>18</v>
      </c>
      <c r="J154" s="494" t="s">
        <v>19</v>
      </c>
      <c r="K154" s="495" t="s">
        <v>20</v>
      </c>
      <c r="L154" s="496" t="s">
        <v>75</v>
      </c>
      <c r="M154" s="112"/>
      <c r="N154" s="54"/>
      <c r="S154" s="10"/>
      <c r="T154" s="10"/>
    </row>
    <row r="155" spans="1:35" ht="30" customHeight="1" x14ac:dyDescent="0.25">
      <c r="A155" s="497" t="s">
        <v>21</v>
      </c>
      <c r="B155" s="498" t="s">
        <v>22</v>
      </c>
      <c r="C155" s="499"/>
      <c r="D155" s="500"/>
      <c r="E155" s="501">
        <v>156206</v>
      </c>
      <c r="F155" s="502" t="s">
        <v>9</v>
      </c>
      <c r="G155" s="503">
        <v>0</v>
      </c>
      <c r="H155" s="503">
        <v>105951.03</v>
      </c>
      <c r="I155" s="503">
        <v>71575.37</v>
      </c>
      <c r="J155" s="504">
        <v>66216.7</v>
      </c>
      <c r="K155" s="503">
        <v>177526.39999999999</v>
      </c>
      <c r="L155" s="505" t="s">
        <v>9</v>
      </c>
      <c r="M155" s="112"/>
      <c r="N155" s="54"/>
      <c r="S155" s="10"/>
      <c r="T155" s="10"/>
    </row>
    <row r="156" spans="1:35" ht="30" customHeight="1" x14ac:dyDescent="0.25">
      <c r="A156" s="497" t="s">
        <v>26</v>
      </c>
      <c r="B156" s="498" t="s">
        <v>27</v>
      </c>
      <c r="C156" s="499"/>
      <c r="D156" s="500"/>
      <c r="E156" s="501">
        <v>43335</v>
      </c>
      <c r="F156" s="502" t="s">
        <v>25</v>
      </c>
      <c r="G156" s="503">
        <v>2092033.74</v>
      </c>
      <c r="H156" s="503">
        <v>0</v>
      </c>
      <c r="I156" s="503">
        <v>0</v>
      </c>
      <c r="J156" s="504">
        <v>1018569.46</v>
      </c>
      <c r="K156" s="503">
        <v>2092033.74</v>
      </c>
      <c r="L156" s="505" t="s">
        <v>25</v>
      </c>
      <c r="M156" s="112"/>
      <c r="N156" s="111"/>
      <c r="T156" s="60"/>
      <c r="U156" s="60"/>
    </row>
    <row r="157" spans="1:35" ht="30" customHeight="1" x14ac:dyDescent="0.25">
      <c r="A157" s="497" t="s">
        <v>28</v>
      </c>
      <c r="B157" s="1681" t="s">
        <v>29</v>
      </c>
      <c r="C157" s="1682"/>
      <c r="D157" s="1682"/>
      <c r="E157" s="501">
        <v>76564</v>
      </c>
      <c r="F157" s="502" t="s">
        <v>9</v>
      </c>
      <c r="G157" s="503">
        <v>225530.35</v>
      </c>
      <c r="H157" s="503">
        <v>55177.37</v>
      </c>
      <c r="I157" s="503">
        <v>26311.87</v>
      </c>
      <c r="J157" s="504">
        <v>202045.13</v>
      </c>
      <c r="K157" s="503">
        <v>307019.59000000003</v>
      </c>
      <c r="L157" s="505" t="s">
        <v>9</v>
      </c>
      <c r="M157" s="112"/>
      <c r="T157" s="10"/>
      <c r="U157" s="10"/>
    </row>
    <row r="158" spans="1:35" ht="30" customHeight="1" x14ac:dyDescent="0.25">
      <c r="A158" s="497" t="s">
        <v>57</v>
      </c>
      <c r="B158" s="498" t="s">
        <v>91</v>
      </c>
      <c r="C158" s="499"/>
      <c r="D158" s="500"/>
      <c r="E158" s="501">
        <v>76564</v>
      </c>
      <c r="F158" s="502" t="s">
        <v>9</v>
      </c>
      <c r="G158" s="503">
        <v>947227.45</v>
      </c>
      <c r="H158" s="503">
        <v>1895505</v>
      </c>
      <c r="I158" s="503">
        <v>385907.48</v>
      </c>
      <c r="J158" s="504">
        <v>1280169.47</v>
      </c>
      <c r="K158" s="503">
        <v>3228639.93</v>
      </c>
      <c r="L158" s="505" t="s">
        <v>9</v>
      </c>
      <c r="M158" s="112"/>
      <c r="N158" s="54"/>
      <c r="T158" s="10"/>
      <c r="U158" s="10"/>
    </row>
    <row r="159" spans="1:35" ht="30" customHeight="1" x14ac:dyDescent="0.25">
      <c r="A159" s="497" t="s">
        <v>32</v>
      </c>
      <c r="B159" s="498" t="s">
        <v>33</v>
      </c>
      <c r="C159" s="499"/>
      <c r="D159" s="500"/>
      <c r="E159" s="501">
        <v>76564</v>
      </c>
      <c r="F159" s="502" t="s">
        <v>9</v>
      </c>
      <c r="G159" s="503">
        <v>0</v>
      </c>
      <c r="H159" s="503">
        <v>623179.72</v>
      </c>
      <c r="I159" s="503">
        <v>545031.67000000004</v>
      </c>
      <c r="J159" s="504">
        <v>544640.84</v>
      </c>
      <c r="K159" s="503">
        <v>1168211.3999999999</v>
      </c>
      <c r="L159" s="505" t="s">
        <v>9</v>
      </c>
      <c r="M159" s="112"/>
      <c r="N159" s="111"/>
      <c r="T159" s="10"/>
      <c r="U159" s="10"/>
    </row>
    <row r="160" spans="1:35" ht="30" customHeight="1" x14ac:dyDescent="0.25">
      <c r="A160" s="497" t="s">
        <v>34</v>
      </c>
      <c r="B160" s="1681" t="s">
        <v>35</v>
      </c>
      <c r="C160" s="1682"/>
      <c r="D160" s="1682"/>
      <c r="E160" s="506">
        <v>24458</v>
      </c>
      <c r="F160" s="502" t="s">
        <v>25</v>
      </c>
      <c r="G160" s="503">
        <v>4710915.03</v>
      </c>
      <c r="H160" s="503">
        <v>0</v>
      </c>
      <c r="I160" s="503">
        <v>0</v>
      </c>
      <c r="J160" s="504">
        <v>2687517.55</v>
      </c>
      <c r="K160" s="503">
        <v>4710915.03</v>
      </c>
      <c r="L160" s="505" t="s">
        <v>25</v>
      </c>
      <c r="M160" s="112"/>
      <c r="N160" s="112"/>
      <c r="T160" s="10"/>
      <c r="U160" s="10"/>
    </row>
    <row r="161" spans="1:23" ht="30" customHeight="1" x14ac:dyDescent="0.25">
      <c r="A161" s="497" t="s">
        <v>36</v>
      </c>
      <c r="B161" s="498" t="s">
        <v>37</v>
      </c>
      <c r="C161" s="499"/>
      <c r="D161" s="500"/>
      <c r="E161" s="501">
        <v>24458</v>
      </c>
      <c r="F161" s="502" t="s">
        <v>25</v>
      </c>
      <c r="G161" s="503">
        <v>0</v>
      </c>
      <c r="H161" s="503">
        <v>30586.55</v>
      </c>
      <c r="I161" s="503">
        <v>48830.22</v>
      </c>
      <c r="J161" s="504">
        <v>35621.980000000003</v>
      </c>
      <c r="K161" s="503">
        <v>79416.759999999995</v>
      </c>
      <c r="L161" s="505" t="s">
        <v>25</v>
      </c>
      <c r="M161" s="112"/>
      <c r="T161" s="10"/>
      <c r="U161" s="10"/>
    </row>
    <row r="162" spans="1:23" ht="30" customHeight="1" x14ac:dyDescent="0.25">
      <c r="A162" s="497" t="s">
        <v>43</v>
      </c>
      <c r="B162" s="498" t="s">
        <v>92</v>
      </c>
      <c r="C162" s="499"/>
      <c r="D162" s="500"/>
      <c r="E162" s="501">
        <v>7656</v>
      </c>
      <c r="F162" s="502" t="s">
        <v>40</v>
      </c>
      <c r="G162" s="503">
        <v>23804.74</v>
      </c>
      <c r="H162" s="503">
        <v>177045.2</v>
      </c>
      <c r="I162" s="503">
        <v>0</v>
      </c>
      <c r="J162" s="504">
        <v>77923.88</v>
      </c>
      <c r="K162" s="503">
        <v>200849.94</v>
      </c>
      <c r="L162" s="505" t="s">
        <v>40</v>
      </c>
      <c r="M162" s="112"/>
      <c r="N162" s="54"/>
      <c r="T162" s="10"/>
      <c r="U162" s="10"/>
    </row>
    <row r="163" spans="1:23" ht="30" customHeight="1" x14ac:dyDescent="0.25">
      <c r="A163" s="507" t="s">
        <v>75</v>
      </c>
      <c r="B163" s="508" t="s">
        <v>75</v>
      </c>
      <c r="C163" s="508" t="s">
        <v>75</v>
      </c>
      <c r="D163" s="508" t="s">
        <v>75</v>
      </c>
      <c r="E163" s="508" t="s">
        <v>75</v>
      </c>
      <c r="F163" s="508" t="s">
        <v>75</v>
      </c>
      <c r="G163" s="509" t="s">
        <v>75</v>
      </c>
      <c r="H163" s="510" t="s">
        <v>75</v>
      </c>
      <c r="I163" s="508" t="s">
        <v>75</v>
      </c>
      <c r="J163" s="511">
        <f>SUM(J155:J162)</f>
        <v>5912705.0099999998</v>
      </c>
      <c r="K163" s="512">
        <f>SUM(K155:K162)</f>
        <v>11964612.789999999</v>
      </c>
      <c r="L163" s="513" t="s">
        <v>54</v>
      </c>
      <c r="M163" s="112"/>
      <c r="N163" s="54"/>
      <c r="T163" s="10"/>
      <c r="U163" s="10"/>
    </row>
    <row r="164" spans="1:23" ht="30" customHeight="1" thickBot="1" x14ac:dyDescent="0.3">
      <c r="A164" s="514" t="s">
        <v>75</v>
      </c>
      <c r="B164" s="515" t="s">
        <v>75</v>
      </c>
      <c r="C164" s="515" t="s">
        <v>75</v>
      </c>
      <c r="D164" s="515" t="s">
        <v>75</v>
      </c>
      <c r="E164" s="515" t="s">
        <v>75</v>
      </c>
      <c r="F164" s="515" t="s">
        <v>75</v>
      </c>
      <c r="G164" s="516" t="s">
        <v>75</v>
      </c>
      <c r="H164" s="517" t="s">
        <v>75</v>
      </c>
      <c r="I164" s="515" t="s">
        <v>75</v>
      </c>
      <c r="J164" s="518" t="s">
        <v>72</v>
      </c>
      <c r="K164" s="519">
        <f>K163/H153</f>
        <v>156.26943197847552</v>
      </c>
      <c r="L164" s="332" t="s">
        <v>9</v>
      </c>
      <c r="M164" s="112"/>
      <c r="N164" s="54"/>
      <c r="T164" s="10"/>
      <c r="U164" s="10"/>
    </row>
    <row r="165" spans="1:23" ht="30" customHeight="1" thickBot="1" x14ac:dyDescent="0.3">
      <c r="A165" s="1148"/>
      <c r="B165" s="1149"/>
      <c r="C165" s="1149"/>
      <c r="D165" s="1149"/>
      <c r="E165" s="1149"/>
      <c r="F165" s="1149"/>
      <c r="G165" s="1149"/>
      <c r="H165" s="1149"/>
      <c r="I165" s="1149"/>
      <c r="J165" s="1149"/>
      <c r="K165" s="1149"/>
      <c r="L165" s="1150"/>
      <c r="M165" s="54"/>
      <c r="N165" s="54"/>
      <c r="T165" s="10"/>
      <c r="U165" s="10"/>
    </row>
    <row r="166" spans="1:23" ht="30" customHeight="1" x14ac:dyDescent="0.25">
      <c r="A166" s="349" t="s">
        <v>5</v>
      </c>
      <c r="B166" s="350">
        <v>1161</v>
      </c>
      <c r="C166" s="1165" t="s">
        <v>123</v>
      </c>
      <c r="D166" s="1166"/>
      <c r="E166" s="351" t="s">
        <v>8</v>
      </c>
      <c r="F166" s="352" t="s">
        <v>9</v>
      </c>
      <c r="G166" s="355" t="s">
        <v>7</v>
      </c>
      <c r="H166" s="50">
        <v>2955</v>
      </c>
      <c r="I166" s="351" t="s">
        <v>10</v>
      </c>
      <c r="J166" s="1185" t="s">
        <v>124</v>
      </c>
      <c r="K166" s="1186"/>
      <c r="L166" s="1187"/>
      <c r="M166" s="111"/>
      <c r="N166" s="54"/>
      <c r="T166" s="10"/>
      <c r="U166" s="10"/>
    </row>
    <row r="167" spans="1:23" ht="30" customHeight="1" x14ac:dyDescent="0.25">
      <c r="A167" s="356"/>
      <c r="B167" s="1196" t="s">
        <v>13</v>
      </c>
      <c r="C167" s="1197"/>
      <c r="D167" s="1198"/>
      <c r="E167" s="356" t="s">
        <v>116</v>
      </c>
      <c r="F167" s="356" t="s">
        <v>117</v>
      </c>
      <c r="G167" s="1194" t="s">
        <v>118</v>
      </c>
      <c r="H167" s="1195"/>
      <c r="I167" s="356" t="s">
        <v>119</v>
      </c>
      <c r="J167" s="356" t="s">
        <v>120</v>
      </c>
      <c r="K167" s="1236" t="s">
        <v>72</v>
      </c>
      <c r="L167" s="1237"/>
      <c r="N167" s="112"/>
      <c r="O167" s="336"/>
      <c r="V167" s="10"/>
      <c r="W167" s="10"/>
    </row>
    <row r="168" spans="1:23" ht="30" customHeight="1" thickBot="1" x14ac:dyDescent="0.3">
      <c r="A168" s="450"/>
      <c r="B168" s="1179" t="s">
        <v>122</v>
      </c>
      <c r="C168" s="1179"/>
      <c r="D168" s="1179"/>
      <c r="E168" s="472">
        <f>K164</f>
        <v>156.26943197847552</v>
      </c>
      <c r="F168" s="473"/>
      <c r="G168" s="1456"/>
      <c r="H168" s="1457"/>
      <c r="I168" s="473"/>
      <c r="J168" s="474"/>
      <c r="K168" s="520">
        <f>E168</f>
        <v>156.26943197847552</v>
      </c>
      <c r="L168" s="473" t="s">
        <v>9</v>
      </c>
      <c r="M168" s="54"/>
      <c r="O168" s="336"/>
      <c r="V168" s="10"/>
      <c r="W168" s="10"/>
    </row>
    <row r="169" spans="1:23" ht="30" customHeight="1" thickBot="1" x14ac:dyDescent="0.3">
      <c r="A169" s="1148"/>
      <c r="B169" s="1149"/>
      <c r="C169" s="1149"/>
      <c r="D169" s="1149"/>
      <c r="E169" s="1149"/>
      <c r="F169" s="1149"/>
      <c r="G169" s="1149"/>
      <c r="H169" s="1149"/>
      <c r="I169" s="1149"/>
      <c r="J169" s="1149"/>
      <c r="K169" s="1149"/>
      <c r="L169" s="1150"/>
      <c r="M169" s="111"/>
      <c r="N169" s="54"/>
      <c r="T169" s="10"/>
      <c r="U169" s="10"/>
    </row>
    <row r="170" spans="1:23" ht="30" customHeight="1" x14ac:dyDescent="0.25">
      <c r="A170" s="349" t="s">
        <v>5</v>
      </c>
      <c r="B170" s="350">
        <v>1162</v>
      </c>
      <c r="C170" s="1151" t="s">
        <v>125</v>
      </c>
      <c r="D170" s="1152"/>
      <c r="E170" s="351" t="s">
        <v>8</v>
      </c>
      <c r="F170" s="352" t="s">
        <v>9</v>
      </c>
      <c r="G170" s="353" t="s">
        <v>74</v>
      </c>
      <c r="H170" s="50">
        <v>2476</v>
      </c>
      <c r="I170" s="351" t="s">
        <v>10</v>
      </c>
      <c r="J170" s="1185" t="s">
        <v>126</v>
      </c>
      <c r="K170" s="1186"/>
      <c r="L170" s="1187"/>
      <c r="M170" s="112"/>
      <c r="N170" s="54"/>
      <c r="T170" s="10"/>
      <c r="U170" s="10"/>
    </row>
    <row r="171" spans="1:23" ht="30" customHeight="1" x14ac:dyDescent="0.25">
      <c r="A171" s="356" t="s">
        <v>12</v>
      </c>
      <c r="B171" s="1163" t="s">
        <v>13</v>
      </c>
      <c r="C171" s="1163"/>
      <c r="D171" s="1163"/>
      <c r="E171" s="356" t="s">
        <v>14</v>
      </c>
      <c r="F171" s="356" t="s">
        <v>15</v>
      </c>
      <c r="G171" s="357" t="s">
        <v>16</v>
      </c>
      <c r="H171" s="357" t="s">
        <v>17</v>
      </c>
      <c r="I171" s="357" t="s">
        <v>18</v>
      </c>
      <c r="J171" s="358" t="s">
        <v>19</v>
      </c>
      <c r="K171" s="358" t="s">
        <v>20</v>
      </c>
      <c r="L171" s="359"/>
      <c r="O171" s="373"/>
      <c r="T171" s="10"/>
      <c r="U171" s="10"/>
    </row>
    <row r="172" spans="1:23" ht="30" customHeight="1" x14ac:dyDescent="0.25">
      <c r="A172" s="460" t="s">
        <v>21</v>
      </c>
      <c r="B172" s="1164" t="s">
        <v>22</v>
      </c>
      <c r="C172" s="1164"/>
      <c r="D172" s="1164"/>
      <c r="E172" s="461">
        <v>7336.87</v>
      </c>
      <c r="F172" s="360" t="s">
        <v>9</v>
      </c>
      <c r="G172" s="362">
        <v>0</v>
      </c>
      <c r="H172" s="362">
        <v>3737.08</v>
      </c>
      <c r="I172" s="362">
        <v>2204.4</v>
      </c>
      <c r="J172" s="363">
        <v>3110.14</v>
      </c>
      <c r="K172" s="362">
        <v>5941.49</v>
      </c>
      <c r="L172" s="360" t="s">
        <v>9</v>
      </c>
      <c r="M172" s="54"/>
      <c r="N172" s="54"/>
      <c r="O172" s="373"/>
      <c r="T172" s="10"/>
      <c r="U172" s="10"/>
    </row>
    <row r="173" spans="1:23" ht="30" customHeight="1" x14ac:dyDescent="0.25">
      <c r="A173" s="360" t="s">
        <v>26</v>
      </c>
      <c r="B173" s="1153" t="s">
        <v>27</v>
      </c>
      <c r="C173" s="1154"/>
      <c r="D173" s="1155"/>
      <c r="E173" s="361">
        <v>2035.39</v>
      </c>
      <c r="F173" s="360" t="s">
        <v>25</v>
      </c>
      <c r="G173" s="362">
        <v>78290.91</v>
      </c>
      <c r="H173" s="362">
        <v>0</v>
      </c>
      <c r="I173" s="362">
        <v>0</v>
      </c>
      <c r="J173" s="363">
        <v>47841.36</v>
      </c>
      <c r="K173" s="362">
        <v>78290.91</v>
      </c>
      <c r="L173" s="360" t="s">
        <v>25</v>
      </c>
      <c r="M173" s="54"/>
      <c r="N173" s="54"/>
      <c r="T173" s="10"/>
      <c r="U173" s="10"/>
    </row>
    <row r="174" spans="1:23" ht="30" customHeight="1" x14ac:dyDescent="0.25">
      <c r="A174" s="360" t="s">
        <v>28</v>
      </c>
      <c r="B174" s="479" t="s">
        <v>29</v>
      </c>
      <c r="C174" s="480"/>
      <c r="D174" s="481"/>
      <c r="E174" s="361">
        <v>2750</v>
      </c>
      <c r="F174" s="360" t="s">
        <v>9</v>
      </c>
      <c r="G174" s="362">
        <v>9784.49</v>
      </c>
      <c r="H174" s="362">
        <v>1467.23</v>
      </c>
      <c r="I174" s="362">
        <v>958.56</v>
      </c>
      <c r="J174" s="363">
        <v>7256.99</v>
      </c>
      <c r="K174" s="362">
        <v>12210.28</v>
      </c>
      <c r="L174" s="360" t="s">
        <v>25</v>
      </c>
      <c r="M174" s="54"/>
      <c r="N174" s="54"/>
      <c r="T174" s="10"/>
      <c r="U174" s="10"/>
    </row>
    <row r="175" spans="1:23" ht="30" customHeight="1" x14ac:dyDescent="0.25">
      <c r="A175" s="360" t="s">
        <v>30</v>
      </c>
      <c r="B175" s="479" t="s">
        <v>112</v>
      </c>
      <c r="C175" s="480"/>
      <c r="D175" s="481"/>
      <c r="E175" s="361">
        <v>2750</v>
      </c>
      <c r="F175" s="360" t="s">
        <v>9</v>
      </c>
      <c r="G175" s="362">
        <v>48990.76</v>
      </c>
      <c r="H175" s="362">
        <v>101688.12</v>
      </c>
      <c r="I175" s="362">
        <v>33674.32</v>
      </c>
      <c r="J175" s="363">
        <v>98489.04</v>
      </c>
      <c r="K175" s="362">
        <v>184353.21</v>
      </c>
      <c r="L175" s="360" t="s">
        <v>9</v>
      </c>
      <c r="M175" s="54"/>
      <c r="N175" s="54"/>
      <c r="T175" s="10"/>
      <c r="U175" s="10"/>
    </row>
    <row r="176" spans="1:23" ht="30" customHeight="1" x14ac:dyDescent="0.25">
      <c r="A176" s="360" t="s">
        <v>32</v>
      </c>
      <c r="B176" s="479" t="s">
        <v>33</v>
      </c>
      <c r="C176" s="480"/>
      <c r="D176" s="481"/>
      <c r="E176" s="361">
        <v>2750</v>
      </c>
      <c r="F176" s="360" t="s">
        <v>9</v>
      </c>
      <c r="G176" s="362">
        <v>0</v>
      </c>
      <c r="H176" s="362">
        <v>16916.990000000002</v>
      </c>
      <c r="I176" s="362">
        <v>18952.07</v>
      </c>
      <c r="J176" s="363">
        <v>19562.23</v>
      </c>
      <c r="K176" s="362">
        <v>35869.06</v>
      </c>
      <c r="L176" s="360" t="s">
        <v>9</v>
      </c>
      <c r="M176" s="54"/>
      <c r="N176" s="54"/>
      <c r="T176" s="10"/>
      <c r="U176" s="10"/>
    </row>
    <row r="177" spans="1:35" ht="30" customHeight="1" x14ac:dyDescent="0.25">
      <c r="A177" s="360" t="s">
        <v>34</v>
      </c>
      <c r="B177" s="1153" t="s">
        <v>35</v>
      </c>
      <c r="C177" s="1154"/>
      <c r="D177" s="1155"/>
      <c r="E177" s="361">
        <v>1069.42</v>
      </c>
      <c r="F177" s="360" t="s">
        <v>25</v>
      </c>
      <c r="G177" s="362">
        <v>192306.36</v>
      </c>
      <c r="H177" s="362">
        <v>0</v>
      </c>
      <c r="I177" s="362">
        <v>0</v>
      </c>
      <c r="J177" s="363">
        <v>117512.96000000001</v>
      </c>
      <c r="K177" s="362">
        <v>192306.36</v>
      </c>
      <c r="L177" s="360" t="s">
        <v>9</v>
      </c>
      <c r="M177" s="112"/>
      <c r="N177" s="112"/>
      <c r="T177" s="10"/>
      <c r="U177" s="10"/>
    </row>
    <row r="178" spans="1:35" ht="30" customHeight="1" x14ac:dyDescent="0.25">
      <c r="A178" s="360" t="s">
        <v>36</v>
      </c>
      <c r="B178" s="1153" t="s">
        <v>37</v>
      </c>
      <c r="C178" s="1154"/>
      <c r="D178" s="1155"/>
      <c r="E178" s="361">
        <v>1069.42</v>
      </c>
      <c r="F178" s="360" t="s">
        <v>25</v>
      </c>
      <c r="G178" s="362">
        <v>0</v>
      </c>
      <c r="H178" s="362">
        <v>1011.38</v>
      </c>
      <c r="I178" s="362">
        <v>1768.1</v>
      </c>
      <c r="J178" s="363">
        <v>1557.59</v>
      </c>
      <c r="K178" s="362">
        <v>2779.48</v>
      </c>
      <c r="L178" s="360" t="s">
        <v>25</v>
      </c>
      <c r="M178" s="334"/>
    </row>
    <row r="179" spans="1:35" ht="30" customHeight="1" x14ac:dyDescent="0.25">
      <c r="A179" s="450" t="s">
        <v>38</v>
      </c>
      <c r="B179" s="1156" t="s">
        <v>113</v>
      </c>
      <c r="C179" s="1157"/>
      <c r="D179" s="1158"/>
      <c r="E179" s="361">
        <v>1182.5</v>
      </c>
      <c r="F179" s="360" t="s">
        <v>40</v>
      </c>
      <c r="G179" s="362">
        <v>2103.67</v>
      </c>
      <c r="H179" s="362">
        <v>6196.79</v>
      </c>
      <c r="I179" s="362">
        <v>0</v>
      </c>
      <c r="J179" s="363">
        <v>4209.03</v>
      </c>
      <c r="K179" s="362">
        <v>8300.4599999999991</v>
      </c>
      <c r="L179" s="360" t="s">
        <v>40</v>
      </c>
      <c r="M179" s="54"/>
      <c r="N179" s="54"/>
    </row>
    <row r="180" spans="1:35" ht="30" customHeight="1" x14ac:dyDescent="0.25">
      <c r="A180" s="1159" t="s">
        <v>107</v>
      </c>
      <c r="B180" s="1159"/>
      <c r="C180" s="1159"/>
      <c r="D180" s="1159"/>
      <c r="E180" s="451"/>
      <c r="F180" s="360"/>
      <c r="G180" s="366"/>
      <c r="H180" s="1161" t="s">
        <v>108</v>
      </c>
      <c r="I180" s="1162"/>
      <c r="J180" s="453">
        <f>SUM(J172:J179)</f>
        <v>299539.34000000008</v>
      </c>
      <c r="K180" s="379">
        <f>SUM(K172:K179)</f>
        <v>520051.25</v>
      </c>
      <c r="L180" s="339" t="s">
        <v>54</v>
      </c>
      <c r="M180" s="54"/>
      <c r="N180" s="462"/>
      <c r="T180" s="10"/>
      <c r="U180" s="10"/>
    </row>
    <row r="181" spans="1:35" ht="30" customHeight="1" x14ac:dyDescent="0.25">
      <c r="A181" s="1159"/>
      <c r="B181" s="1159"/>
      <c r="C181" s="1159"/>
      <c r="D181" s="1159"/>
      <c r="E181" s="391"/>
      <c r="F181" s="366"/>
      <c r="G181" s="366"/>
      <c r="H181" s="366"/>
      <c r="I181" s="463"/>
      <c r="J181" s="464" t="s">
        <v>72</v>
      </c>
      <c r="K181" s="465">
        <f>K180/H170</f>
        <v>210.03685379644588</v>
      </c>
      <c r="L181" s="360" t="s">
        <v>9</v>
      </c>
      <c r="O181" s="467"/>
      <c r="P181" s="468"/>
      <c r="Q181" s="468"/>
      <c r="R181" s="469"/>
      <c r="S181" s="345"/>
      <c r="T181" s="348"/>
      <c r="U181" s="121"/>
      <c r="V181" s="469"/>
      <c r="W181" s="470"/>
      <c r="X181" s="348"/>
      <c r="Y181" s="348"/>
      <c r="Z181" s="54"/>
      <c r="AA181" s="348"/>
      <c r="AB181" s="340"/>
      <c r="AH181" s="10"/>
      <c r="AI181" s="10"/>
    </row>
    <row r="182" spans="1:35" ht="30" customHeight="1" thickBot="1" x14ac:dyDescent="0.3">
      <c r="A182" s="1160"/>
      <c r="B182" s="1160"/>
      <c r="C182" s="1160"/>
      <c r="D182" s="1160"/>
      <c r="E182" s="457"/>
      <c r="F182" s="371"/>
      <c r="G182" s="371"/>
      <c r="H182" s="458"/>
      <c r="I182" s="471"/>
      <c r="J182" s="471"/>
      <c r="K182" s="471"/>
      <c r="L182" s="471"/>
      <c r="N182" s="127"/>
      <c r="O182" s="61"/>
      <c r="T182" s="10"/>
      <c r="U182" s="10"/>
    </row>
    <row r="183" spans="1:35" ht="30" customHeight="1" thickBot="1" x14ac:dyDescent="0.3">
      <c r="A183" s="1148"/>
      <c r="B183" s="1149"/>
      <c r="C183" s="1149"/>
      <c r="D183" s="1149"/>
      <c r="E183" s="1149"/>
      <c r="F183" s="1149"/>
      <c r="G183" s="1149"/>
      <c r="H183" s="1149"/>
      <c r="I183" s="1149"/>
      <c r="J183" s="1149"/>
      <c r="K183" s="1149"/>
      <c r="L183" s="1150"/>
      <c r="M183" s="54"/>
      <c r="N183" s="54"/>
      <c r="T183" s="10"/>
      <c r="U183" s="10"/>
    </row>
    <row r="184" spans="1:35" ht="30" customHeight="1" x14ac:dyDescent="0.25">
      <c r="A184" s="349" t="s">
        <v>5</v>
      </c>
      <c r="B184" s="350">
        <v>1163</v>
      </c>
      <c r="C184" s="1165" t="s">
        <v>127</v>
      </c>
      <c r="D184" s="1166"/>
      <c r="E184" s="351" t="s">
        <v>8</v>
      </c>
      <c r="F184" s="352" t="s">
        <v>9</v>
      </c>
      <c r="G184" s="353" t="s">
        <v>74</v>
      </c>
      <c r="H184" s="50">
        <v>1911</v>
      </c>
      <c r="I184" s="351" t="s">
        <v>10</v>
      </c>
      <c r="J184" s="1185" t="s">
        <v>124</v>
      </c>
      <c r="K184" s="1186"/>
      <c r="L184" s="1187"/>
      <c r="M184" s="112"/>
      <c r="N184" s="54"/>
    </row>
    <row r="185" spans="1:35" ht="30" customHeight="1" x14ac:dyDescent="0.25">
      <c r="A185" s="356"/>
      <c r="B185" s="1196" t="s">
        <v>13</v>
      </c>
      <c r="C185" s="1197"/>
      <c r="D185" s="1198"/>
      <c r="E185" s="356" t="s">
        <v>116</v>
      </c>
      <c r="F185" s="356" t="s">
        <v>117</v>
      </c>
      <c r="G185" s="1194" t="s">
        <v>118</v>
      </c>
      <c r="H185" s="1195"/>
      <c r="I185" s="356" t="s">
        <v>119</v>
      </c>
      <c r="J185" s="356" t="s">
        <v>120</v>
      </c>
      <c r="K185" s="1236" t="s">
        <v>72</v>
      </c>
      <c r="L185" s="1237"/>
      <c r="N185" s="112"/>
    </row>
    <row r="186" spans="1:35" ht="30" customHeight="1" thickBot="1" x14ac:dyDescent="0.3">
      <c r="A186" s="360"/>
      <c r="B186" s="1179" t="s">
        <v>122</v>
      </c>
      <c r="C186" s="1179"/>
      <c r="D186" s="1179"/>
      <c r="E186" s="485">
        <f>K164</f>
        <v>156.26943197847552</v>
      </c>
      <c r="F186" s="486"/>
      <c r="G186" s="1183"/>
      <c r="H186" s="1184"/>
      <c r="I186" s="486"/>
      <c r="J186" s="487"/>
      <c r="K186" s="488">
        <f>E186</f>
        <v>156.26943197847552</v>
      </c>
      <c r="L186" s="486" t="s">
        <v>9</v>
      </c>
      <c r="M186" s="54"/>
      <c r="T186" s="10"/>
      <c r="U186" s="10"/>
    </row>
    <row r="187" spans="1:35" ht="30" customHeight="1" thickBot="1" x14ac:dyDescent="0.3">
      <c r="A187" s="1180"/>
      <c r="B187" s="1181"/>
      <c r="C187" s="1181"/>
      <c r="D187" s="1181"/>
      <c r="E187" s="1181"/>
      <c r="F187" s="1181"/>
      <c r="G187" s="1181"/>
      <c r="H187" s="1181"/>
      <c r="I187" s="1181"/>
      <c r="J187" s="1181"/>
      <c r="K187" s="1181"/>
      <c r="L187" s="1182"/>
      <c r="M187" s="54"/>
      <c r="N187" s="54"/>
    </row>
    <row r="188" spans="1:35" ht="30" customHeight="1" x14ac:dyDescent="0.25">
      <c r="A188" s="327" t="s">
        <v>5</v>
      </c>
      <c r="B188" s="328">
        <v>1164</v>
      </c>
      <c r="C188" s="1393" t="s">
        <v>128</v>
      </c>
      <c r="D188" s="1394"/>
      <c r="E188" s="331" t="s">
        <v>8</v>
      </c>
      <c r="F188" s="332" t="s">
        <v>9</v>
      </c>
      <c r="G188" s="342" t="s">
        <v>74</v>
      </c>
      <c r="H188" s="347">
        <v>7594</v>
      </c>
      <c r="I188" s="331" t="s">
        <v>10</v>
      </c>
      <c r="J188" s="1220" t="s">
        <v>11</v>
      </c>
      <c r="K188" s="1220"/>
      <c r="L188" s="1221"/>
      <c r="M188" s="112"/>
      <c r="N188" s="54"/>
    </row>
    <row r="189" spans="1:35" ht="30" customHeight="1" x14ac:dyDescent="0.25">
      <c r="A189" s="356" t="s">
        <v>12</v>
      </c>
      <c r="B189" s="1163" t="s">
        <v>13</v>
      </c>
      <c r="C189" s="1163"/>
      <c r="D189" s="1163"/>
      <c r="E189" s="356" t="s">
        <v>14</v>
      </c>
      <c r="F189" s="356" t="s">
        <v>15</v>
      </c>
      <c r="G189" s="357" t="s">
        <v>16</v>
      </c>
      <c r="H189" s="357" t="s">
        <v>17</v>
      </c>
      <c r="I189" s="357" t="s">
        <v>18</v>
      </c>
      <c r="J189" s="358" t="s">
        <v>19</v>
      </c>
      <c r="K189" s="358" t="s">
        <v>20</v>
      </c>
      <c r="L189" s="359"/>
      <c r="O189" s="373"/>
      <c r="T189" s="10"/>
      <c r="U189" s="10"/>
    </row>
    <row r="190" spans="1:35" ht="30" customHeight="1" x14ac:dyDescent="0.25">
      <c r="A190" s="460" t="s">
        <v>21</v>
      </c>
      <c r="B190" s="1164" t="s">
        <v>22</v>
      </c>
      <c r="C190" s="1164"/>
      <c r="D190" s="1164"/>
      <c r="E190" s="461">
        <v>21069.8</v>
      </c>
      <c r="F190" s="360" t="s">
        <v>9</v>
      </c>
      <c r="G190" s="362">
        <v>0</v>
      </c>
      <c r="H190" s="362">
        <v>14795.87</v>
      </c>
      <c r="I190" s="362">
        <v>9637.41</v>
      </c>
      <c r="J190" s="363">
        <v>12892.31</v>
      </c>
      <c r="K190" s="362">
        <v>24433.279999999999</v>
      </c>
      <c r="L190" s="360" t="s">
        <v>9</v>
      </c>
      <c r="M190" s="54"/>
      <c r="N190" s="54"/>
      <c r="O190" s="373"/>
      <c r="T190" s="10"/>
      <c r="U190" s="10"/>
    </row>
    <row r="191" spans="1:35" ht="30" customHeight="1" x14ac:dyDescent="0.25">
      <c r="A191" s="360" t="s">
        <v>23</v>
      </c>
      <c r="B191" s="1153" t="s">
        <v>24</v>
      </c>
      <c r="C191" s="1154"/>
      <c r="D191" s="1155"/>
      <c r="E191" s="361">
        <v>2800.02</v>
      </c>
      <c r="F191" s="360" t="s">
        <v>25</v>
      </c>
      <c r="G191" s="362">
        <v>193522.49</v>
      </c>
      <c r="H191" s="362">
        <v>51860.14</v>
      </c>
      <c r="I191" s="362">
        <v>18479.25</v>
      </c>
      <c r="J191" s="363">
        <v>154286.85999999999</v>
      </c>
      <c r="K191" s="362">
        <v>263861.89</v>
      </c>
      <c r="L191" s="360" t="s">
        <v>25</v>
      </c>
      <c r="M191" s="54"/>
      <c r="N191" s="54"/>
      <c r="T191" s="10"/>
      <c r="U191" s="10"/>
    </row>
    <row r="192" spans="1:35" ht="30" customHeight="1" x14ac:dyDescent="0.25">
      <c r="A192" s="360" t="s">
        <v>26</v>
      </c>
      <c r="B192" s="479" t="s">
        <v>27</v>
      </c>
      <c r="C192" s="480"/>
      <c r="D192" s="481"/>
      <c r="E192" s="361">
        <v>5845.17</v>
      </c>
      <c r="F192" s="360" t="s">
        <v>25</v>
      </c>
      <c r="G192" s="362">
        <v>275870.8</v>
      </c>
      <c r="H192" s="362">
        <v>0</v>
      </c>
      <c r="I192" s="362">
        <v>0</v>
      </c>
      <c r="J192" s="363">
        <v>168874.38</v>
      </c>
      <c r="K192" s="362">
        <v>275870.8</v>
      </c>
      <c r="L192" s="360" t="s">
        <v>25</v>
      </c>
      <c r="M192" s="54"/>
      <c r="N192" s="54"/>
      <c r="T192" s="10"/>
      <c r="U192" s="10"/>
    </row>
    <row r="193" spans="1:35" ht="30" customHeight="1" x14ac:dyDescent="0.25">
      <c r="A193" s="360" t="s">
        <v>28</v>
      </c>
      <c r="B193" s="479" t="s">
        <v>29</v>
      </c>
      <c r="C193" s="480"/>
      <c r="D193" s="481"/>
      <c r="E193" s="361">
        <v>5594</v>
      </c>
      <c r="F193" s="360" t="s">
        <v>9</v>
      </c>
      <c r="G193" s="362">
        <v>16109.48</v>
      </c>
      <c r="H193" s="362">
        <v>4173.8</v>
      </c>
      <c r="I193" s="362">
        <v>1919.04</v>
      </c>
      <c r="J193" s="363">
        <v>13008.77</v>
      </c>
      <c r="K193" s="362">
        <v>22202.32</v>
      </c>
      <c r="L193" s="360" t="s">
        <v>9</v>
      </c>
      <c r="M193" s="54"/>
      <c r="N193" s="54"/>
      <c r="T193" s="10"/>
      <c r="U193" s="10"/>
    </row>
    <row r="194" spans="1:35" ht="30" customHeight="1" x14ac:dyDescent="0.25">
      <c r="A194" s="360" t="s">
        <v>57</v>
      </c>
      <c r="B194" s="479" t="s">
        <v>91</v>
      </c>
      <c r="C194" s="480"/>
      <c r="D194" s="481"/>
      <c r="E194" s="361">
        <v>5594</v>
      </c>
      <c r="F194" s="360" t="s">
        <v>9</v>
      </c>
      <c r="G194" s="362">
        <v>67659.820000000007</v>
      </c>
      <c r="H194" s="362">
        <v>143382.26999999999</v>
      </c>
      <c r="I194" s="362">
        <v>28145.9</v>
      </c>
      <c r="J194" s="363">
        <v>126412.25</v>
      </c>
      <c r="K194" s="362">
        <v>239187.98</v>
      </c>
      <c r="L194" s="360" t="s">
        <v>9</v>
      </c>
      <c r="M194" s="54"/>
      <c r="N194" s="54"/>
      <c r="T194" s="10"/>
      <c r="U194" s="10"/>
    </row>
    <row r="195" spans="1:35" ht="30" customHeight="1" x14ac:dyDescent="0.25">
      <c r="A195" s="360" t="s">
        <v>32</v>
      </c>
      <c r="B195" s="1153" t="s">
        <v>33</v>
      </c>
      <c r="C195" s="1154"/>
      <c r="D195" s="1155"/>
      <c r="E195" s="361">
        <v>5594</v>
      </c>
      <c r="F195" s="360" t="s">
        <v>9</v>
      </c>
      <c r="G195" s="362">
        <v>0</v>
      </c>
      <c r="H195" s="362">
        <v>47139.38</v>
      </c>
      <c r="I195" s="362">
        <v>39751.51</v>
      </c>
      <c r="J195" s="363">
        <v>46612.72</v>
      </c>
      <c r="K195" s="362">
        <v>86890.89</v>
      </c>
      <c r="L195" s="360" t="s">
        <v>9</v>
      </c>
      <c r="M195" s="112"/>
      <c r="N195" s="112"/>
      <c r="T195" s="10"/>
      <c r="U195" s="10"/>
    </row>
    <row r="196" spans="1:35" ht="30" customHeight="1" x14ac:dyDescent="0.25">
      <c r="A196" s="360" t="s">
        <v>36</v>
      </c>
      <c r="B196" s="1153" t="s">
        <v>37</v>
      </c>
      <c r="C196" s="1154"/>
      <c r="D196" s="1155"/>
      <c r="E196" s="361">
        <v>1553.85</v>
      </c>
      <c r="F196" s="360" t="s">
        <v>25</v>
      </c>
      <c r="G196" s="362">
        <v>0</v>
      </c>
      <c r="H196" s="362">
        <v>2011.83</v>
      </c>
      <c r="I196" s="362">
        <v>3096.78</v>
      </c>
      <c r="J196" s="363">
        <v>2846.52</v>
      </c>
      <c r="K196" s="362">
        <v>5108.6099999999997</v>
      </c>
      <c r="L196" s="360" t="s">
        <v>25</v>
      </c>
      <c r="M196" s="334"/>
    </row>
    <row r="197" spans="1:35" ht="30" customHeight="1" x14ac:dyDescent="0.25">
      <c r="A197" s="450" t="s">
        <v>38</v>
      </c>
      <c r="B197" s="1156" t="s">
        <v>113</v>
      </c>
      <c r="C197" s="1157"/>
      <c r="D197" s="1158"/>
      <c r="E197" s="361">
        <v>2405.42</v>
      </c>
      <c r="F197" s="360" t="s">
        <v>40</v>
      </c>
      <c r="G197" s="362">
        <v>5811.05</v>
      </c>
      <c r="H197" s="362">
        <v>17841.759999999998</v>
      </c>
      <c r="I197" s="362">
        <v>0</v>
      </c>
      <c r="J197" s="363">
        <v>11989.54</v>
      </c>
      <c r="K197" s="362">
        <v>23652.81</v>
      </c>
      <c r="L197" s="360" t="s">
        <v>40</v>
      </c>
      <c r="M197" s="54"/>
      <c r="N197" s="54"/>
    </row>
    <row r="198" spans="1:35" ht="30" customHeight="1" x14ac:dyDescent="0.25">
      <c r="A198" s="1159" t="s">
        <v>107</v>
      </c>
      <c r="B198" s="1159"/>
      <c r="C198" s="1159"/>
      <c r="D198" s="1159"/>
      <c r="E198" s="451"/>
      <c r="F198" s="360"/>
      <c r="G198" s="366"/>
      <c r="H198" s="1161" t="s">
        <v>108</v>
      </c>
      <c r="I198" s="1162"/>
      <c r="J198" s="453">
        <f>SUM(J190:J197)</f>
        <v>536923.35000000009</v>
      </c>
      <c r="K198" s="379">
        <f>SUM(K190:K197)</f>
        <v>941208.58</v>
      </c>
      <c r="L198" s="339" t="s">
        <v>54</v>
      </c>
      <c r="M198" s="54"/>
      <c r="N198" s="462"/>
      <c r="T198" s="10"/>
      <c r="U198" s="10"/>
    </row>
    <row r="199" spans="1:35" ht="30" customHeight="1" x14ac:dyDescent="0.25">
      <c r="A199" s="1159"/>
      <c r="B199" s="1159"/>
      <c r="C199" s="1159"/>
      <c r="D199" s="1159"/>
      <c r="E199" s="391"/>
      <c r="F199" s="366"/>
      <c r="G199" s="366"/>
      <c r="H199" s="366"/>
      <c r="I199" s="463"/>
      <c r="J199" s="464" t="s">
        <v>72</v>
      </c>
      <c r="K199" s="465">
        <f>K198/H188</f>
        <v>123.94108243350013</v>
      </c>
      <c r="L199" s="360" t="s">
        <v>9</v>
      </c>
      <c r="O199" s="467"/>
      <c r="P199" s="468"/>
      <c r="Q199" s="468"/>
      <c r="R199" s="469"/>
      <c r="S199" s="345"/>
      <c r="T199" s="348"/>
      <c r="U199" s="121"/>
      <c r="V199" s="469"/>
      <c r="W199" s="470"/>
      <c r="X199" s="348"/>
      <c r="Y199" s="348"/>
      <c r="Z199" s="54"/>
      <c r="AA199" s="348"/>
      <c r="AB199" s="340"/>
      <c r="AH199" s="10"/>
      <c r="AI199" s="10"/>
    </row>
    <row r="200" spans="1:35" ht="30" customHeight="1" thickBot="1" x14ac:dyDescent="0.3">
      <c r="A200" s="1160"/>
      <c r="B200" s="1160"/>
      <c r="C200" s="1160"/>
      <c r="D200" s="1160"/>
      <c r="E200" s="457"/>
      <c r="F200" s="371"/>
      <c r="G200" s="371"/>
      <c r="H200" s="458"/>
      <c r="I200" s="471"/>
      <c r="J200" s="471"/>
      <c r="K200" s="471"/>
      <c r="L200" s="471"/>
      <c r="N200" s="127"/>
      <c r="O200" s="61"/>
      <c r="T200" s="10"/>
      <c r="U200" s="10"/>
    </row>
    <row r="201" spans="1:35" ht="30" customHeight="1" thickBot="1" x14ac:dyDescent="0.3">
      <c r="A201" s="1180"/>
      <c r="B201" s="1181"/>
      <c r="C201" s="1181"/>
      <c r="D201" s="1181"/>
      <c r="E201" s="1181"/>
      <c r="F201" s="1181"/>
      <c r="G201" s="1181"/>
      <c r="H201" s="1181"/>
      <c r="I201" s="1181"/>
      <c r="J201" s="1181"/>
      <c r="K201" s="1181"/>
      <c r="L201" s="1182"/>
      <c r="M201" s="54"/>
      <c r="N201" s="54"/>
      <c r="T201" s="10"/>
      <c r="U201" s="10"/>
    </row>
    <row r="202" spans="1:35" ht="30" customHeight="1" x14ac:dyDescent="0.25">
      <c r="A202" s="327" t="s">
        <v>5</v>
      </c>
      <c r="B202" s="328">
        <v>1165</v>
      </c>
      <c r="C202" s="1233" t="s">
        <v>129</v>
      </c>
      <c r="D202" s="1234"/>
      <c r="E202" s="331" t="s">
        <v>8</v>
      </c>
      <c r="F202" s="332" t="s">
        <v>9</v>
      </c>
      <c r="G202" s="342" t="s">
        <v>74</v>
      </c>
      <c r="H202" s="156">
        <v>22000</v>
      </c>
      <c r="I202" s="331" t="s">
        <v>10</v>
      </c>
      <c r="J202" s="1220" t="s">
        <v>11</v>
      </c>
      <c r="K202" s="1220"/>
      <c r="L202" s="1221"/>
      <c r="M202" s="112"/>
      <c r="N202" s="54"/>
      <c r="T202" s="60"/>
      <c r="U202" s="60"/>
    </row>
    <row r="203" spans="1:35" ht="30" customHeight="1" x14ac:dyDescent="0.25">
      <c r="A203" s="356" t="s">
        <v>12</v>
      </c>
      <c r="B203" s="1163" t="s">
        <v>13</v>
      </c>
      <c r="C203" s="1163"/>
      <c r="D203" s="1163"/>
      <c r="E203" s="356" t="s">
        <v>14</v>
      </c>
      <c r="F203" s="356" t="s">
        <v>15</v>
      </c>
      <c r="G203" s="357" t="s">
        <v>16</v>
      </c>
      <c r="H203" s="357" t="s">
        <v>17</v>
      </c>
      <c r="I203" s="357" t="s">
        <v>18</v>
      </c>
      <c r="J203" s="358" t="s">
        <v>19</v>
      </c>
      <c r="K203" s="358" t="s">
        <v>20</v>
      </c>
      <c r="L203" s="359"/>
      <c r="O203" s="373"/>
      <c r="T203" s="10"/>
      <c r="U203" s="10"/>
    </row>
    <row r="204" spans="1:35" ht="30" customHeight="1" x14ac:dyDescent="0.25">
      <c r="A204" s="460" t="s">
        <v>95</v>
      </c>
      <c r="B204" s="1164" t="s">
        <v>96</v>
      </c>
      <c r="C204" s="1164"/>
      <c r="D204" s="1164"/>
      <c r="E204" s="461">
        <v>160754.22</v>
      </c>
      <c r="F204" s="360" t="s">
        <v>9</v>
      </c>
      <c r="G204" s="362">
        <v>0</v>
      </c>
      <c r="H204" s="362">
        <v>81736.97</v>
      </c>
      <c r="I204" s="362">
        <v>48214.43</v>
      </c>
      <c r="J204" s="363">
        <v>68144.679999999993</v>
      </c>
      <c r="K204" s="362">
        <v>129951.4</v>
      </c>
      <c r="L204" s="360" t="s">
        <v>9</v>
      </c>
      <c r="M204" s="54"/>
      <c r="N204" s="54"/>
      <c r="O204" s="373"/>
      <c r="T204" s="10"/>
      <c r="U204" s="10"/>
    </row>
    <row r="205" spans="1:35" ht="30" customHeight="1" x14ac:dyDescent="0.25">
      <c r="A205" s="360" t="s">
        <v>97</v>
      </c>
      <c r="B205" s="1153" t="s">
        <v>98</v>
      </c>
      <c r="C205" s="1154"/>
      <c r="D205" s="1155"/>
      <c r="E205" s="361">
        <v>5362</v>
      </c>
      <c r="F205" s="360" t="s">
        <v>25</v>
      </c>
      <c r="G205" s="362">
        <v>359011.89</v>
      </c>
      <c r="H205" s="362">
        <v>72297.34</v>
      </c>
      <c r="I205" s="362">
        <v>36172.35</v>
      </c>
      <c r="J205" s="363">
        <v>276081.02</v>
      </c>
      <c r="K205" s="362">
        <v>467481.58</v>
      </c>
      <c r="L205" s="360" t="s">
        <v>25</v>
      </c>
      <c r="M205" s="54"/>
      <c r="N205" s="54"/>
      <c r="T205" s="10"/>
      <c r="U205" s="10"/>
    </row>
    <row r="206" spans="1:35" ht="30" customHeight="1" x14ac:dyDescent="0.25">
      <c r="A206" s="360" t="s">
        <v>99</v>
      </c>
      <c r="B206" s="1153" t="s">
        <v>100</v>
      </c>
      <c r="C206" s="1154"/>
      <c r="D206" s="1155"/>
      <c r="E206" s="361">
        <v>44596.33</v>
      </c>
      <c r="F206" s="360" t="s">
        <v>25</v>
      </c>
      <c r="G206" s="362">
        <v>1712367.3</v>
      </c>
      <c r="H206" s="362">
        <v>0</v>
      </c>
      <c r="I206" s="362">
        <v>0</v>
      </c>
      <c r="J206" s="363">
        <v>1048226.12</v>
      </c>
      <c r="K206" s="362">
        <v>1712367</v>
      </c>
      <c r="L206" s="360" t="s">
        <v>25</v>
      </c>
      <c r="M206" s="112"/>
      <c r="N206" s="112"/>
      <c r="T206" s="10"/>
      <c r="U206" s="10"/>
    </row>
    <row r="207" spans="1:35" ht="30" customHeight="1" x14ac:dyDescent="0.25">
      <c r="A207" s="360" t="s">
        <v>101</v>
      </c>
      <c r="B207" s="1153" t="s">
        <v>102</v>
      </c>
      <c r="C207" s="1154"/>
      <c r="D207" s="1155"/>
      <c r="E207" s="361">
        <v>42680</v>
      </c>
      <c r="F207" s="360" t="s">
        <v>9</v>
      </c>
      <c r="G207" s="362">
        <v>151587.69</v>
      </c>
      <c r="H207" s="362">
        <v>22731.3</v>
      </c>
      <c r="I207" s="362">
        <v>14850.67</v>
      </c>
      <c r="J207" s="363">
        <v>112628.47</v>
      </c>
      <c r="K207" s="362">
        <v>189169.66</v>
      </c>
      <c r="L207" s="360" t="s">
        <v>9</v>
      </c>
      <c r="M207" s="334"/>
    </row>
    <row r="208" spans="1:35" ht="30" customHeight="1" x14ac:dyDescent="0.25">
      <c r="A208" s="450" t="s">
        <v>103</v>
      </c>
      <c r="B208" s="1156" t="s">
        <v>104</v>
      </c>
      <c r="C208" s="1157"/>
      <c r="D208" s="1158"/>
      <c r="E208" s="361">
        <v>6722.1</v>
      </c>
      <c r="F208" s="360" t="s">
        <v>80</v>
      </c>
      <c r="G208" s="362">
        <v>767873.61</v>
      </c>
      <c r="H208" s="362">
        <v>63530.13</v>
      </c>
      <c r="I208" s="362">
        <v>21514.22</v>
      </c>
      <c r="J208" s="363">
        <v>513249.34</v>
      </c>
      <c r="K208" s="362">
        <v>852917.97</v>
      </c>
      <c r="L208" s="360" t="s">
        <v>80</v>
      </c>
      <c r="M208" s="54"/>
      <c r="N208" s="54"/>
    </row>
    <row r="209" spans="1:35" ht="30" customHeight="1" x14ac:dyDescent="0.25">
      <c r="A209" s="1159" t="s">
        <v>107</v>
      </c>
      <c r="B209" s="1159"/>
      <c r="C209" s="1159"/>
      <c r="D209" s="1159"/>
      <c r="E209" s="451"/>
      <c r="F209" s="360"/>
      <c r="G209" s="366"/>
      <c r="H209" s="1161" t="s">
        <v>108</v>
      </c>
      <c r="I209" s="1162"/>
      <c r="J209" s="453">
        <f>SUM(J204:J208)</f>
        <v>2018329.6300000001</v>
      </c>
      <c r="K209" s="379">
        <f>SUM(K204:K208)</f>
        <v>3351887.6100000003</v>
      </c>
      <c r="L209" s="339" t="s">
        <v>54</v>
      </c>
      <c r="M209" s="54"/>
      <c r="N209" s="462"/>
      <c r="T209" s="10"/>
      <c r="U209" s="10"/>
    </row>
    <row r="210" spans="1:35" ht="30" customHeight="1" x14ac:dyDescent="0.25">
      <c r="A210" s="1159"/>
      <c r="B210" s="1159"/>
      <c r="C210" s="1159"/>
      <c r="D210" s="1159"/>
      <c r="E210" s="391"/>
      <c r="F210" s="366"/>
      <c r="G210" s="366"/>
      <c r="H210" s="366"/>
      <c r="I210" s="463"/>
      <c r="J210" s="464" t="s">
        <v>72</v>
      </c>
      <c r="K210" s="465">
        <f>K209/H202</f>
        <v>152.35852772727273</v>
      </c>
      <c r="L210" s="360" t="s">
        <v>9</v>
      </c>
      <c r="O210" s="467"/>
      <c r="P210" s="468"/>
      <c r="Q210" s="468"/>
      <c r="R210" s="469"/>
      <c r="S210" s="345"/>
      <c r="T210" s="348"/>
      <c r="U210" s="121"/>
      <c r="V210" s="469"/>
      <c r="W210" s="470"/>
      <c r="X210" s="348"/>
      <c r="Y210" s="348"/>
      <c r="Z210" s="54"/>
      <c r="AA210" s="348"/>
      <c r="AB210" s="340"/>
      <c r="AH210" s="10"/>
      <c r="AI210" s="10"/>
    </row>
    <row r="211" spans="1:35" ht="30" customHeight="1" thickBot="1" x14ac:dyDescent="0.3">
      <c r="A211" s="1160"/>
      <c r="B211" s="1160"/>
      <c r="C211" s="1160"/>
      <c r="D211" s="1160"/>
      <c r="E211" s="457"/>
      <c r="F211" s="371"/>
      <c r="G211" s="371"/>
      <c r="H211" s="458"/>
      <c r="I211" s="471"/>
      <c r="J211" s="471"/>
      <c r="K211" s="471"/>
      <c r="L211" s="471"/>
      <c r="N211" s="127"/>
      <c r="O211" s="61"/>
      <c r="T211" s="10"/>
      <c r="U211" s="10"/>
    </row>
    <row r="212" spans="1:35" ht="30" customHeight="1" thickBot="1" x14ac:dyDescent="0.3">
      <c r="A212" s="1305"/>
      <c r="B212" s="1306"/>
      <c r="C212" s="1306"/>
      <c r="D212" s="1306"/>
      <c r="E212" s="1306"/>
      <c r="F212" s="1306"/>
      <c r="G212" s="1306"/>
      <c r="H212" s="1306"/>
      <c r="I212" s="1306"/>
      <c r="J212" s="1306"/>
      <c r="K212" s="1306"/>
      <c r="L212" s="1307"/>
      <c r="M212" s="54"/>
      <c r="N212" s="54"/>
      <c r="T212" s="10"/>
      <c r="U212" s="10"/>
    </row>
    <row r="213" spans="1:35" ht="30" customHeight="1" thickBot="1" x14ac:dyDescent="0.3">
      <c r="A213" s="349" t="s">
        <v>5</v>
      </c>
      <c r="B213" s="350">
        <v>1166</v>
      </c>
      <c r="C213" s="1165" t="s">
        <v>130</v>
      </c>
      <c r="D213" s="1166"/>
      <c r="E213" s="351" t="s">
        <v>8</v>
      </c>
      <c r="F213" s="352" t="s">
        <v>9</v>
      </c>
      <c r="G213" s="353" t="s">
        <v>74</v>
      </c>
      <c r="H213" s="50">
        <v>37004</v>
      </c>
      <c r="I213" s="351" t="s">
        <v>10</v>
      </c>
      <c r="J213" s="1453" t="s">
        <v>131</v>
      </c>
      <c r="K213" s="1453"/>
      <c r="L213" s="1454"/>
      <c r="M213" s="112"/>
      <c r="N213" s="54"/>
      <c r="O213" s="348"/>
      <c r="V213" s="10"/>
      <c r="W213" s="10"/>
    </row>
    <row r="214" spans="1:35" ht="30" customHeight="1" x14ac:dyDescent="0.25">
      <c r="A214" s="356"/>
      <c r="B214" s="1196" t="s">
        <v>13</v>
      </c>
      <c r="C214" s="1197"/>
      <c r="D214" s="1198"/>
      <c r="E214" s="356" t="s">
        <v>116</v>
      </c>
      <c r="F214" s="356" t="s">
        <v>117</v>
      </c>
      <c r="G214" s="1194" t="s">
        <v>118</v>
      </c>
      <c r="H214" s="1195"/>
      <c r="I214" s="356" t="s">
        <v>119</v>
      </c>
      <c r="J214" s="356" t="s">
        <v>120</v>
      </c>
      <c r="K214" s="1236" t="s">
        <v>72</v>
      </c>
      <c r="L214" s="1237"/>
      <c r="N214" s="112"/>
      <c r="O214" s="61"/>
      <c r="T214" s="10"/>
      <c r="U214" s="10"/>
    </row>
    <row r="215" spans="1:35" ht="30" customHeight="1" thickBot="1" x14ac:dyDescent="0.3">
      <c r="A215" s="360"/>
      <c r="B215" s="1179" t="s">
        <v>94</v>
      </c>
      <c r="C215" s="1179"/>
      <c r="D215" s="1179"/>
      <c r="E215" s="485">
        <f>K127</f>
        <v>33.696375888473028</v>
      </c>
      <c r="F215" s="486"/>
      <c r="G215" s="1183"/>
      <c r="H215" s="1184"/>
      <c r="I215" s="486"/>
      <c r="J215" s="521">
        <v>0</v>
      </c>
      <c r="K215" s="488">
        <f>E215</f>
        <v>33.696375888473028</v>
      </c>
      <c r="L215" s="486" t="s">
        <v>9</v>
      </c>
      <c r="M215" s="54"/>
      <c r="T215" s="10"/>
      <c r="U215" s="10"/>
    </row>
    <row r="216" spans="1:35" ht="30" customHeight="1" thickBot="1" x14ac:dyDescent="0.3">
      <c r="A216" s="1180"/>
      <c r="B216" s="1181"/>
      <c r="C216" s="1181"/>
      <c r="D216" s="1181"/>
      <c r="E216" s="1181"/>
      <c r="F216" s="1181"/>
      <c r="G216" s="1181"/>
      <c r="H216" s="1181"/>
      <c r="I216" s="1181"/>
      <c r="J216" s="1181"/>
      <c r="K216" s="1181"/>
      <c r="L216" s="1182"/>
      <c r="M216" s="54"/>
      <c r="N216" s="54"/>
      <c r="O216" s="336"/>
      <c r="V216" s="10"/>
      <c r="W216" s="10"/>
    </row>
    <row r="217" spans="1:35" ht="30" customHeight="1" x14ac:dyDescent="0.25">
      <c r="A217" s="327" t="s">
        <v>5</v>
      </c>
      <c r="B217" s="328">
        <v>1167</v>
      </c>
      <c r="C217" s="1526" t="s">
        <v>132</v>
      </c>
      <c r="D217" s="1527"/>
      <c r="E217" s="331" t="s">
        <v>8</v>
      </c>
      <c r="F217" s="332" t="s">
        <v>9</v>
      </c>
      <c r="G217" s="342" t="s">
        <v>74</v>
      </c>
      <c r="H217" s="347">
        <v>1168</v>
      </c>
      <c r="I217" s="331" t="s">
        <v>10</v>
      </c>
      <c r="J217" s="1220" t="s">
        <v>133</v>
      </c>
      <c r="K217" s="1220"/>
      <c r="L217" s="1221"/>
      <c r="M217" s="112"/>
      <c r="N217" s="54"/>
      <c r="O217" s="336"/>
      <c r="V217" s="10"/>
      <c r="W217" s="10"/>
    </row>
    <row r="218" spans="1:35" ht="30" customHeight="1" x14ac:dyDescent="0.25">
      <c r="A218" s="495" t="s">
        <v>12</v>
      </c>
      <c r="B218" s="1196" t="s">
        <v>13</v>
      </c>
      <c r="C218" s="1197"/>
      <c r="D218" s="1198"/>
      <c r="E218" s="490" t="s">
        <v>14</v>
      </c>
      <c r="F218" s="522" t="s">
        <v>15</v>
      </c>
      <c r="G218" s="492" t="s">
        <v>16</v>
      </c>
      <c r="H218" s="493" t="s">
        <v>17</v>
      </c>
      <c r="I218" s="493" t="s">
        <v>18</v>
      </c>
      <c r="J218" s="494" t="s">
        <v>19</v>
      </c>
      <c r="K218" s="495" t="s">
        <v>20</v>
      </c>
      <c r="L218" s="523" t="s">
        <v>75</v>
      </c>
      <c r="M218" s="54"/>
      <c r="N218" s="111"/>
      <c r="O218" s="344"/>
      <c r="P218" s="334"/>
      <c r="Q218" s="335"/>
      <c r="R218" s="336"/>
      <c r="S218" s="337"/>
    </row>
    <row r="219" spans="1:35" ht="30" customHeight="1" x14ac:dyDescent="0.25">
      <c r="A219" s="524" t="s">
        <v>134</v>
      </c>
      <c r="B219" s="1188" t="s">
        <v>135</v>
      </c>
      <c r="C219" s="1189"/>
      <c r="D219" s="1190"/>
      <c r="E219" s="525">
        <v>20</v>
      </c>
      <c r="F219" s="526" t="s">
        <v>76</v>
      </c>
      <c r="G219" s="526">
        <v>33921.54</v>
      </c>
      <c r="H219" s="526">
        <v>11474.44</v>
      </c>
      <c r="I219" s="526">
        <v>0</v>
      </c>
      <c r="J219" s="526">
        <v>26188.09</v>
      </c>
      <c r="K219" s="527">
        <v>45395.98</v>
      </c>
      <c r="L219" s="526" t="s">
        <v>76</v>
      </c>
      <c r="M219" s="54"/>
      <c r="N219" s="111"/>
      <c r="O219" s="344"/>
      <c r="P219" s="334"/>
      <c r="Q219" s="335"/>
      <c r="R219" s="336"/>
      <c r="S219" s="337"/>
    </row>
    <row r="220" spans="1:35" ht="30" customHeight="1" x14ac:dyDescent="0.25">
      <c r="A220" s="524" t="s">
        <v>136</v>
      </c>
      <c r="B220" s="1188" t="s">
        <v>137</v>
      </c>
      <c r="C220" s="1189"/>
      <c r="D220" s="1190"/>
      <c r="E220" s="525">
        <v>2</v>
      </c>
      <c r="F220" s="526" t="s">
        <v>76</v>
      </c>
      <c r="G220" s="526">
        <v>39060.25</v>
      </c>
      <c r="H220" s="526">
        <v>13764.69</v>
      </c>
      <c r="I220" s="526">
        <v>78.569999999999993</v>
      </c>
      <c r="J220" s="526">
        <v>30464.25</v>
      </c>
      <c r="K220" s="527">
        <v>52903.51</v>
      </c>
      <c r="L220" s="526" t="s">
        <v>76</v>
      </c>
      <c r="M220" s="54"/>
      <c r="N220" s="111"/>
      <c r="O220" s="344"/>
      <c r="P220" s="334"/>
      <c r="Q220" s="335"/>
      <c r="R220" s="336"/>
      <c r="S220" s="337"/>
    </row>
    <row r="221" spans="1:35" ht="30" customHeight="1" x14ac:dyDescent="0.25">
      <c r="A221" s="524" t="s">
        <v>138</v>
      </c>
      <c r="B221" s="1188" t="s">
        <v>139</v>
      </c>
      <c r="C221" s="1189"/>
      <c r="D221" s="1190"/>
      <c r="E221" s="525">
        <v>2</v>
      </c>
      <c r="F221" s="526" t="s">
        <v>76</v>
      </c>
      <c r="G221" s="526">
        <v>33439.24</v>
      </c>
      <c r="H221" s="526">
        <v>4337.6899999999996</v>
      </c>
      <c r="I221" s="526">
        <v>1357</v>
      </c>
      <c r="J221" s="526">
        <v>23350.6</v>
      </c>
      <c r="K221" s="527">
        <v>39133.94</v>
      </c>
      <c r="L221" s="526" t="s">
        <v>76</v>
      </c>
      <c r="M221" s="54"/>
      <c r="N221" s="111"/>
      <c r="O221" s="344"/>
      <c r="P221" s="334"/>
      <c r="Q221" s="335"/>
      <c r="R221" s="336"/>
      <c r="S221" s="337"/>
    </row>
    <row r="222" spans="1:35" ht="30" customHeight="1" x14ac:dyDescent="0.25">
      <c r="A222" s="524" t="s">
        <v>140</v>
      </c>
      <c r="B222" s="1188" t="s">
        <v>141</v>
      </c>
      <c r="C222" s="1189"/>
      <c r="D222" s="1190"/>
      <c r="E222" s="525">
        <v>1</v>
      </c>
      <c r="F222" s="526" t="s">
        <v>76</v>
      </c>
      <c r="G222" s="526">
        <v>6795.56</v>
      </c>
      <c r="H222" s="526">
        <v>3507.27</v>
      </c>
      <c r="I222" s="526">
        <v>0</v>
      </c>
      <c r="J222" s="526">
        <v>5817.49</v>
      </c>
      <c r="K222" s="527">
        <v>10302.83</v>
      </c>
      <c r="L222" s="526" t="s">
        <v>76</v>
      </c>
      <c r="M222" s="54"/>
      <c r="N222" s="111"/>
      <c r="O222" s="344"/>
      <c r="P222" s="334"/>
      <c r="Q222" s="335"/>
      <c r="R222" s="336"/>
      <c r="S222" s="337"/>
    </row>
    <row r="223" spans="1:35" ht="30" customHeight="1" x14ac:dyDescent="0.25">
      <c r="A223" s="524" t="s">
        <v>142</v>
      </c>
      <c r="B223" s="1188" t="s">
        <v>143</v>
      </c>
      <c r="C223" s="1189"/>
      <c r="D223" s="1190"/>
      <c r="E223" s="525">
        <v>1</v>
      </c>
      <c r="F223" s="526" t="s">
        <v>76</v>
      </c>
      <c r="G223" s="526">
        <v>81966.759999999995</v>
      </c>
      <c r="H223" s="526">
        <v>9253.09</v>
      </c>
      <c r="I223" s="526">
        <v>1.64</v>
      </c>
      <c r="J223" s="526">
        <v>54550.14</v>
      </c>
      <c r="K223" s="527">
        <v>91221.49</v>
      </c>
      <c r="L223" s="526" t="s">
        <v>76</v>
      </c>
      <c r="M223" s="54"/>
      <c r="N223" s="111"/>
      <c r="O223" s="344"/>
      <c r="P223" s="334"/>
      <c r="Q223" s="335"/>
      <c r="R223" s="336"/>
      <c r="S223" s="337"/>
    </row>
    <row r="224" spans="1:35" ht="30" customHeight="1" x14ac:dyDescent="0.25">
      <c r="A224" s="524" t="s">
        <v>21</v>
      </c>
      <c r="B224" s="1188" t="s">
        <v>22</v>
      </c>
      <c r="C224" s="1189"/>
      <c r="D224" s="1190"/>
      <c r="E224" s="525">
        <v>3065.93</v>
      </c>
      <c r="F224" s="526" t="s">
        <v>9</v>
      </c>
      <c r="G224" s="526">
        <v>0</v>
      </c>
      <c r="H224" s="526">
        <v>1460.13</v>
      </c>
      <c r="I224" s="526">
        <v>1839.11</v>
      </c>
      <c r="J224" s="526">
        <v>1815.89</v>
      </c>
      <c r="K224" s="527">
        <v>3299.23</v>
      </c>
      <c r="L224" s="526" t="s">
        <v>9</v>
      </c>
      <c r="M224" s="54"/>
      <c r="N224" s="111"/>
      <c r="O224" s="344"/>
      <c r="P224" s="334"/>
      <c r="Q224" s="335"/>
      <c r="R224" s="336"/>
      <c r="S224" s="337"/>
    </row>
    <row r="225" spans="1:21" ht="30" customHeight="1" x14ac:dyDescent="0.25">
      <c r="A225" s="524" t="s">
        <v>26</v>
      </c>
      <c r="B225" s="1188" t="s">
        <v>27</v>
      </c>
      <c r="C225" s="1189"/>
      <c r="D225" s="1190"/>
      <c r="E225" s="525">
        <v>850.55</v>
      </c>
      <c r="F225" s="526" t="s">
        <v>25</v>
      </c>
      <c r="G225" s="526">
        <v>32817.4</v>
      </c>
      <c r="H225" s="526">
        <v>0</v>
      </c>
      <c r="I225" s="526">
        <v>0</v>
      </c>
      <c r="J225" s="526">
        <v>20089.18</v>
      </c>
      <c r="K225" s="527">
        <v>32817.4</v>
      </c>
      <c r="L225" s="526" t="s">
        <v>25</v>
      </c>
      <c r="M225" s="54"/>
      <c r="N225" s="111"/>
      <c r="O225" s="344"/>
      <c r="P225" s="334"/>
      <c r="Q225" s="335"/>
      <c r="R225" s="336"/>
      <c r="S225" s="337"/>
    </row>
    <row r="226" spans="1:21" ht="30" customHeight="1" x14ac:dyDescent="0.25">
      <c r="A226" s="524" t="s">
        <v>28</v>
      </c>
      <c r="B226" s="1188" t="s">
        <v>29</v>
      </c>
      <c r="C226" s="1189"/>
      <c r="D226" s="1190"/>
      <c r="E226" s="525">
        <v>2442</v>
      </c>
      <c r="F226" s="526" t="s">
        <v>9</v>
      </c>
      <c r="G226" s="526">
        <v>8715.49</v>
      </c>
      <c r="H226" s="526">
        <v>1218.2</v>
      </c>
      <c r="I226" s="526">
        <v>1699.41</v>
      </c>
      <c r="J226" s="526">
        <v>6951.22</v>
      </c>
      <c r="K226" s="527">
        <v>11633.09</v>
      </c>
      <c r="L226" s="526" t="s">
        <v>9</v>
      </c>
      <c r="M226" s="54"/>
      <c r="N226" s="111"/>
      <c r="O226" s="344"/>
      <c r="P226" s="334"/>
      <c r="Q226" s="335"/>
      <c r="R226" s="336"/>
      <c r="S226" s="337"/>
    </row>
    <row r="227" spans="1:21" ht="30" customHeight="1" x14ac:dyDescent="0.25">
      <c r="A227" s="524" t="s">
        <v>57</v>
      </c>
      <c r="B227" s="1188" t="s">
        <v>144</v>
      </c>
      <c r="C227" s="1189"/>
      <c r="D227" s="1190"/>
      <c r="E227" s="525">
        <v>2442</v>
      </c>
      <c r="F227" s="526" t="s">
        <v>9</v>
      </c>
      <c r="G227" s="526">
        <v>21753.78</v>
      </c>
      <c r="H227" s="526">
        <v>42729.279999999999</v>
      </c>
      <c r="I227" s="526">
        <v>19662.05</v>
      </c>
      <c r="J227" s="526">
        <v>45547.26</v>
      </c>
      <c r="K227" s="527">
        <v>84145.12</v>
      </c>
      <c r="L227" s="526" t="s">
        <v>9</v>
      </c>
      <c r="M227" s="54"/>
      <c r="N227" s="111"/>
      <c r="O227" s="344"/>
      <c r="P227" s="334"/>
      <c r="Q227" s="335"/>
      <c r="R227" s="336"/>
      <c r="S227" s="337"/>
    </row>
    <row r="228" spans="1:21" ht="30" customHeight="1" x14ac:dyDescent="0.25">
      <c r="A228" s="524" t="s">
        <v>32</v>
      </c>
      <c r="B228" s="1188" t="s">
        <v>33</v>
      </c>
      <c r="C228" s="1189"/>
      <c r="D228" s="1190"/>
      <c r="E228" s="525">
        <v>2442</v>
      </c>
      <c r="F228" s="526" t="s">
        <v>9</v>
      </c>
      <c r="G228" s="526">
        <v>0</v>
      </c>
      <c r="H228" s="526">
        <v>14045.67</v>
      </c>
      <c r="I228" s="526">
        <v>33599.58</v>
      </c>
      <c r="J228" s="526">
        <v>27206.2</v>
      </c>
      <c r="K228" s="527">
        <v>47645.24</v>
      </c>
      <c r="L228" s="526" t="s">
        <v>9</v>
      </c>
      <c r="M228" s="54"/>
      <c r="N228" s="111"/>
      <c r="O228" s="344"/>
      <c r="P228" s="334"/>
      <c r="Q228" s="335"/>
      <c r="R228" s="336"/>
      <c r="S228" s="337"/>
    </row>
    <row r="229" spans="1:21" ht="30" customHeight="1" x14ac:dyDescent="0.25">
      <c r="A229" s="524" t="s">
        <v>34</v>
      </c>
      <c r="B229" s="1188" t="s">
        <v>35</v>
      </c>
      <c r="C229" s="1189"/>
      <c r="D229" s="1190"/>
      <c r="E229" s="525">
        <v>644.39</v>
      </c>
      <c r="F229" s="526" t="s">
        <v>25</v>
      </c>
      <c r="G229" s="526">
        <v>116234.42</v>
      </c>
      <c r="H229" s="526">
        <v>0</v>
      </c>
      <c r="I229" s="526">
        <v>0</v>
      </c>
      <c r="J229" s="526">
        <v>71152.929999999993</v>
      </c>
      <c r="K229" s="527">
        <v>116234.42</v>
      </c>
      <c r="L229" s="526" t="s">
        <v>25</v>
      </c>
      <c r="M229" s="54"/>
      <c r="N229" s="111"/>
      <c r="O229" s="344"/>
      <c r="P229" s="334"/>
      <c r="Q229" s="335"/>
      <c r="R229" s="336"/>
      <c r="S229" s="337"/>
    </row>
    <row r="230" spans="1:21" ht="30" customHeight="1" x14ac:dyDescent="0.25">
      <c r="A230" s="524" t="s">
        <v>36</v>
      </c>
      <c r="B230" s="1188" t="s">
        <v>37</v>
      </c>
      <c r="C230" s="1189"/>
      <c r="D230" s="1190"/>
      <c r="E230" s="525">
        <v>644.39</v>
      </c>
      <c r="F230" s="526" t="s">
        <v>25</v>
      </c>
      <c r="G230" s="526">
        <v>0</v>
      </c>
      <c r="H230" s="526">
        <v>569.79999999999995</v>
      </c>
      <c r="I230" s="526">
        <v>2127.02</v>
      </c>
      <c r="J230" s="526">
        <v>1571.35</v>
      </c>
      <c r="K230" s="527">
        <v>2696.82</v>
      </c>
      <c r="L230" s="526" t="s">
        <v>25</v>
      </c>
      <c r="M230" s="54"/>
      <c r="N230" s="111"/>
      <c r="O230" s="344"/>
      <c r="P230" s="334"/>
      <c r="Q230" s="335"/>
      <c r="R230" s="336"/>
      <c r="S230" s="337"/>
    </row>
    <row r="231" spans="1:21" ht="30" customHeight="1" x14ac:dyDescent="0.25">
      <c r="A231" s="524" t="s">
        <v>38</v>
      </c>
      <c r="B231" s="1188" t="s">
        <v>113</v>
      </c>
      <c r="C231" s="1189"/>
      <c r="D231" s="1190"/>
      <c r="E231" s="525">
        <v>1050.06</v>
      </c>
      <c r="F231" s="526" t="s">
        <v>40</v>
      </c>
      <c r="G231" s="526">
        <v>1873.83</v>
      </c>
      <c r="H231" s="526">
        <v>5145.01</v>
      </c>
      <c r="I231" s="526">
        <v>0</v>
      </c>
      <c r="J231" s="526">
        <v>3578.68</v>
      </c>
      <c r="K231" s="527">
        <v>7018.84</v>
      </c>
      <c r="L231" s="526" t="s">
        <v>40</v>
      </c>
      <c r="M231" s="54"/>
      <c r="N231" s="111"/>
      <c r="O231" s="344"/>
      <c r="P231" s="334"/>
      <c r="Q231" s="335"/>
      <c r="R231" s="336"/>
      <c r="S231" s="337"/>
    </row>
    <row r="232" spans="1:21" ht="30" customHeight="1" x14ac:dyDescent="0.25">
      <c r="A232" s="524" t="s">
        <v>41</v>
      </c>
      <c r="B232" s="1188" t="s">
        <v>145</v>
      </c>
      <c r="C232" s="1189"/>
      <c r="D232" s="1190"/>
      <c r="E232" s="525">
        <v>1269.8399999999999</v>
      </c>
      <c r="F232" s="526" t="s">
        <v>40</v>
      </c>
      <c r="G232" s="526">
        <v>2266.0300000000002</v>
      </c>
      <c r="H232" s="526">
        <v>6221.87</v>
      </c>
      <c r="I232" s="526">
        <v>0</v>
      </c>
      <c r="J232" s="526">
        <v>4327.71</v>
      </c>
      <c r="K232" s="527">
        <v>8487.9</v>
      </c>
      <c r="L232" s="526" t="s">
        <v>40</v>
      </c>
      <c r="M232" s="54"/>
      <c r="N232" s="111"/>
      <c r="O232" s="344"/>
      <c r="P232" s="334"/>
      <c r="Q232" s="335"/>
      <c r="R232" s="336"/>
      <c r="S232" s="337"/>
    </row>
    <row r="233" spans="1:21" ht="30" customHeight="1" x14ac:dyDescent="0.25">
      <c r="A233" s="524" t="s">
        <v>43</v>
      </c>
      <c r="B233" s="1188" t="s">
        <v>92</v>
      </c>
      <c r="C233" s="1189"/>
      <c r="D233" s="1190"/>
      <c r="E233" s="525">
        <v>244.2</v>
      </c>
      <c r="F233" s="526" t="s">
        <v>40</v>
      </c>
      <c r="G233" s="526">
        <v>844.07</v>
      </c>
      <c r="H233" s="526">
        <v>3906.52</v>
      </c>
      <c r="I233" s="526">
        <v>0</v>
      </c>
      <c r="J233" s="526">
        <v>2362.98</v>
      </c>
      <c r="K233" s="527">
        <v>4750.58</v>
      </c>
      <c r="L233" s="526" t="s">
        <v>40</v>
      </c>
      <c r="M233" s="54"/>
      <c r="N233" s="111"/>
      <c r="O233" s="344"/>
      <c r="P233" s="334"/>
      <c r="Q233" s="335"/>
      <c r="R233" s="336"/>
      <c r="S233" s="337"/>
    </row>
    <row r="234" spans="1:21" ht="30" customHeight="1" x14ac:dyDescent="0.25">
      <c r="A234" s="528"/>
      <c r="B234" s="1199"/>
      <c r="C234" s="1199"/>
      <c r="D234" s="1199"/>
      <c r="E234" s="529"/>
      <c r="F234" s="529"/>
      <c r="G234" s="529"/>
      <c r="H234" s="529"/>
      <c r="I234" s="529"/>
      <c r="J234" s="530">
        <f>SUM(J219:J224)</f>
        <v>142186.46000000002</v>
      </c>
      <c r="K234" s="531">
        <f>SUM(K219:K224)</f>
        <v>242256.98</v>
      </c>
      <c r="L234" s="526"/>
      <c r="M234" s="111"/>
      <c r="N234" s="54"/>
      <c r="O234" s="344"/>
      <c r="P234" s="334"/>
      <c r="Q234" s="335"/>
      <c r="R234" s="336"/>
      <c r="S234" s="337"/>
    </row>
    <row r="235" spans="1:21" ht="30" customHeight="1" thickBot="1" x14ac:dyDescent="0.3">
      <c r="A235" s="532"/>
      <c r="B235" s="1200"/>
      <c r="C235" s="1200"/>
      <c r="D235" s="1200"/>
      <c r="E235" s="533"/>
      <c r="F235" s="534"/>
      <c r="G235" s="1201"/>
      <c r="H235" s="1202"/>
      <c r="I235" s="534"/>
      <c r="J235" s="535" t="s">
        <v>72</v>
      </c>
      <c r="K235" s="536">
        <f>K234/H217</f>
        <v>207.41179794520548</v>
      </c>
      <c r="L235" s="526" t="s">
        <v>9</v>
      </c>
      <c r="M235" s="54"/>
      <c r="N235" s="54"/>
      <c r="P235" s="334"/>
      <c r="Q235" s="335"/>
      <c r="R235" s="336"/>
      <c r="S235" s="337"/>
    </row>
    <row r="236" spans="1:21" ht="30" customHeight="1" thickBot="1" x14ac:dyDescent="0.3">
      <c r="A236" s="1180"/>
      <c r="B236" s="1181"/>
      <c r="C236" s="1181"/>
      <c r="D236" s="1181"/>
      <c r="E236" s="1181"/>
      <c r="F236" s="1181"/>
      <c r="G236" s="1181"/>
      <c r="H236" s="1181"/>
      <c r="I236" s="1181"/>
      <c r="J236" s="1181"/>
      <c r="K236" s="1181"/>
      <c r="L236" s="1182"/>
      <c r="M236" s="54"/>
      <c r="T236" s="10"/>
      <c r="U236" s="10"/>
    </row>
    <row r="237" spans="1:21" ht="30" customHeight="1" x14ac:dyDescent="0.25">
      <c r="A237" s="327" t="s">
        <v>5</v>
      </c>
      <c r="B237" s="328">
        <v>1211</v>
      </c>
      <c r="C237" s="1251" t="s">
        <v>146</v>
      </c>
      <c r="D237" s="1252"/>
      <c r="E237" s="331" t="s">
        <v>8</v>
      </c>
      <c r="F237" s="332" t="s">
        <v>147</v>
      </c>
      <c r="G237" s="342" t="s">
        <v>148</v>
      </c>
      <c r="H237" s="157">
        <v>16.5</v>
      </c>
      <c r="I237" s="331" t="s">
        <v>10</v>
      </c>
      <c r="J237" s="1253" t="s">
        <v>149</v>
      </c>
      <c r="K237" s="1254"/>
      <c r="L237" s="1255"/>
      <c r="M237" s="112"/>
      <c r="N237" s="112"/>
      <c r="O237" s="373"/>
      <c r="T237" s="10"/>
      <c r="U237" s="10"/>
    </row>
    <row r="238" spans="1:21" ht="30" customHeight="1" x14ac:dyDescent="0.25">
      <c r="A238" s="356" t="s">
        <v>12</v>
      </c>
      <c r="B238" s="1163" t="s">
        <v>13</v>
      </c>
      <c r="C238" s="1163"/>
      <c r="D238" s="1163"/>
      <c r="E238" s="356" t="s">
        <v>14</v>
      </c>
      <c r="F238" s="356" t="s">
        <v>15</v>
      </c>
      <c r="G238" s="357" t="s">
        <v>16</v>
      </c>
      <c r="H238" s="357" t="s">
        <v>17</v>
      </c>
      <c r="I238" s="357" t="s">
        <v>18</v>
      </c>
      <c r="J238" s="358" t="s">
        <v>19</v>
      </c>
      <c r="K238" s="358" t="s">
        <v>20</v>
      </c>
      <c r="L238" s="359"/>
      <c r="O238" s="373"/>
      <c r="T238" s="10"/>
      <c r="U238" s="10"/>
    </row>
    <row r="239" spans="1:21" ht="30" customHeight="1" x14ac:dyDescent="0.25">
      <c r="A239" s="460" t="s">
        <v>150</v>
      </c>
      <c r="B239" s="1164" t="s">
        <v>151</v>
      </c>
      <c r="C239" s="1164"/>
      <c r="D239" s="1164"/>
      <c r="E239" s="461">
        <v>17</v>
      </c>
      <c r="F239" s="360" t="s">
        <v>76</v>
      </c>
      <c r="G239" s="362">
        <v>37454.835105809303</v>
      </c>
      <c r="H239" s="362">
        <v>32004.9471736208</v>
      </c>
      <c r="I239" s="362">
        <v>0</v>
      </c>
      <c r="J239" s="363">
        <v>37421.47</v>
      </c>
      <c r="K239" s="362">
        <v>69459.782279430001</v>
      </c>
      <c r="L239" s="360" t="s">
        <v>76</v>
      </c>
      <c r="M239" s="54"/>
      <c r="N239" s="54"/>
      <c r="O239" s="373"/>
      <c r="T239" s="10"/>
      <c r="U239" s="10"/>
    </row>
    <row r="240" spans="1:21" ht="30" customHeight="1" x14ac:dyDescent="0.25">
      <c r="A240" s="360" t="s">
        <v>152</v>
      </c>
      <c r="B240" s="1153" t="s">
        <v>153</v>
      </c>
      <c r="C240" s="1154"/>
      <c r="D240" s="1155"/>
      <c r="E240" s="361">
        <v>252</v>
      </c>
      <c r="F240" s="360" t="s">
        <v>40</v>
      </c>
      <c r="G240" s="362">
        <v>41882.169949651798</v>
      </c>
      <c r="H240" s="362">
        <v>24801.562225280501</v>
      </c>
      <c r="I240" s="362">
        <v>196.752507093319</v>
      </c>
      <c r="J240" s="363">
        <v>36857.21</v>
      </c>
      <c r="K240" s="362">
        <v>66880.484682025606</v>
      </c>
      <c r="L240" s="360" t="s">
        <v>40</v>
      </c>
      <c r="M240" s="54"/>
      <c r="N240" s="54"/>
      <c r="T240" s="10"/>
      <c r="U240" s="10"/>
    </row>
    <row r="241" spans="1:35" ht="30" customHeight="1" x14ac:dyDescent="0.25">
      <c r="A241" s="360" t="s">
        <v>154</v>
      </c>
      <c r="B241" s="1153" t="s">
        <v>155</v>
      </c>
      <c r="C241" s="1154"/>
      <c r="D241" s="1155"/>
      <c r="E241" s="361">
        <v>252</v>
      </c>
      <c r="F241" s="360" t="s">
        <v>40</v>
      </c>
      <c r="G241" s="362">
        <v>219.27837669974801</v>
      </c>
      <c r="H241" s="362">
        <v>512.16138466636596</v>
      </c>
      <c r="I241" s="362">
        <v>0</v>
      </c>
      <c r="J241" s="363">
        <v>370.03</v>
      </c>
      <c r="K241" s="362">
        <v>731.439761366114</v>
      </c>
      <c r="L241" s="360" t="s">
        <v>40</v>
      </c>
      <c r="M241" s="112"/>
      <c r="N241" s="112"/>
      <c r="T241" s="10"/>
      <c r="U241" s="10"/>
    </row>
    <row r="242" spans="1:35" ht="30" customHeight="1" x14ac:dyDescent="0.25">
      <c r="A242" s="360" t="s">
        <v>156</v>
      </c>
      <c r="B242" s="1153" t="s">
        <v>157</v>
      </c>
      <c r="C242" s="1154"/>
      <c r="D242" s="1155"/>
      <c r="E242" s="361">
        <v>3</v>
      </c>
      <c r="F242" s="360" t="s">
        <v>76</v>
      </c>
      <c r="G242" s="362">
        <v>1362.6584837769999</v>
      </c>
      <c r="H242" s="362">
        <v>502.06953472220101</v>
      </c>
      <c r="I242" s="362">
        <v>0</v>
      </c>
      <c r="J242" s="363">
        <v>1053.6300000000001</v>
      </c>
      <c r="K242" s="362">
        <v>1864.7280184992001</v>
      </c>
      <c r="L242" s="360" t="s">
        <v>76</v>
      </c>
      <c r="M242" s="334"/>
    </row>
    <row r="243" spans="1:35" ht="30" customHeight="1" x14ac:dyDescent="0.25">
      <c r="A243" s="360" t="s">
        <v>158</v>
      </c>
      <c r="B243" s="1169" t="s">
        <v>159</v>
      </c>
      <c r="C243" s="1170"/>
      <c r="D243" s="1171"/>
      <c r="E243" s="361">
        <v>252</v>
      </c>
      <c r="F243" s="360" t="s">
        <v>40</v>
      </c>
      <c r="G243" s="362">
        <v>2885.7034373686802</v>
      </c>
      <c r="H243" s="362">
        <v>8206.3559795967194</v>
      </c>
      <c r="I243" s="362">
        <v>0</v>
      </c>
      <c r="J243" s="363">
        <v>5551.1</v>
      </c>
      <c r="K243" s="362">
        <v>11092.0594169654</v>
      </c>
      <c r="L243" s="360" t="s">
        <v>40</v>
      </c>
      <c r="M243" s="54"/>
      <c r="N243" s="54"/>
    </row>
    <row r="244" spans="1:35" ht="30" customHeight="1" x14ac:dyDescent="0.25">
      <c r="A244" s="360" t="s">
        <v>160</v>
      </c>
      <c r="B244" s="1164" t="s">
        <v>161</v>
      </c>
      <c r="C244" s="1164"/>
      <c r="D244" s="1164"/>
      <c r="E244" s="361">
        <v>9040</v>
      </c>
      <c r="F244" s="360" t="s">
        <v>25</v>
      </c>
      <c r="G244" s="362">
        <v>0</v>
      </c>
      <c r="H244" s="362">
        <v>2160595.9251849698</v>
      </c>
      <c r="I244" s="362">
        <v>626819.864914887</v>
      </c>
      <c r="J244" s="363">
        <v>1381487.63</v>
      </c>
      <c r="K244" s="362">
        <v>2787415.7900998499</v>
      </c>
      <c r="L244" s="360" t="s">
        <v>25</v>
      </c>
      <c r="M244" s="54"/>
      <c r="N244" s="54"/>
      <c r="T244" s="10"/>
      <c r="U244" s="10"/>
    </row>
    <row r="245" spans="1:35" ht="30" customHeight="1" x14ac:dyDescent="0.25">
      <c r="A245" s="360" t="s">
        <v>162</v>
      </c>
      <c r="B245" s="1164" t="s">
        <v>163</v>
      </c>
      <c r="C245" s="1164"/>
      <c r="D245" s="1164"/>
      <c r="E245" s="361">
        <v>9040</v>
      </c>
      <c r="F245" s="360" t="s">
        <v>25</v>
      </c>
      <c r="G245" s="362">
        <v>3830828.04703613</v>
      </c>
      <c r="H245" s="362">
        <v>149305.18220171699</v>
      </c>
      <c r="I245" s="362">
        <v>85748.476968471499</v>
      </c>
      <c r="J245" s="363">
        <v>2427070.39</v>
      </c>
      <c r="K245" s="362">
        <v>4065881.7062063199</v>
      </c>
      <c r="L245" s="360" t="s">
        <v>25</v>
      </c>
      <c r="M245" s="112"/>
      <c r="N245" s="112"/>
      <c r="T245" s="60"/>
      <c r="U245" s="60"/>
    </row>
    <row r="246" spans="1:35" ht="30" customHeight="1" x14ac:dyDescent="0.25">
      <c r="A246" s="360" t="s">
        <v>164</v>
      </c>
      <c r="B246" s="1164" t="s">
        <v>165</v>
      </c>
      <c r="C246" s="1164"/>
      <c r="D246" s="1164"/>
      <c r="E246" s="361">
        <v>17</v>
      </c>
      <c r="F246" s="360" t="s">
        <v>76</v>
      </c>
      <c r="G246" s="362">
        <v>191564.32216308499</v>
      </c>
      <c r="H246" s="362">
        <v>47466.922769324403</v>
      </c>
      <c r="I246" s="362">
        <v>0</v>
      </c>
      <c r="J246" s="363">
        <v>137377.56</v>
      </c>
      <c r="K246" s="362">
        <v>239031.24493240999</v>
      </c>
      <c r="L246" s="360" t="s">
        <v>76</v>
      </c>
      <c r="T246" s="10"/>
      <c r="U246" s="10"/>
    </row>
    <row r="247" spans="1:35" ht="30" customHeight="1" x14ac:dyDescent="0.25">
      <c r="A247" s="360" t="s">
        <v>166</v>
      </c>
      <c r="B247" s="1164" t="s">
        <v>167</v>
      </c>
      <c r="C247" s="1164"/>
      <c r="D247" s="1164"/>
      <c r="E247" s="361">
        <v>252</v>
      </c>
      <c r="F247" s="360" t="s">
        <v>40</v>
      </c>
      <c r="G247" s="362">
        <v>3179.53646214634</v>
      </c>
      <c r="H247" s="362">
        <v>6257.7879528775602</v>
      </c>
      <c r="I247" s="362">
        <v>535.83661506265605</v>
      </c>
      <c r="J247" s="363">
        <v>5144.93</v>
      </c>
      <c r="K247" s="362">
        <v>9973.1610300865505</v>
      </c>
      <c r="L247" s="360" t="s">
        <v>40</v>
      </c>
      <c r="M247" s="54"/>
      <c r="N247" s="54"/>
      <c r="O247" s="348"/>
      <c r="V247" s="10"/>
      <c r="W247" s="10"/>
    </row>
    <row r="248" spans="1:35" ht="30" customHeight="1" x14ac:dyDescent="0.25">
      <c r="A248" s="360" t="s">
        <v>168</v>
      </c>
      <c r="B248" s="1167" t="s">
        <v>169</v>
      </c>
      <c r="C248" s="1167"/>
      <c r="D248" s="1168"/>
      <c r="E248" s="361">
        <v>17</v>
      </c>
      <c r="F248" s="360" t="s">
        <v>76</v>
      </c>
      <c r="G248" s="362">
        <v>275142.15362087399</v>
      </c>
      <c r="H248" s="362">
        <v>72945.386485304203</v>
      </c>
      <c r="I248" s="362">
        <v>8438.7954313039008</v>
      </c>
      <c r="J248" s="363">
        <v>204610.59</v>
      </c>
      <c r="K248" s="362">
        <v>356526.33553748199</v>
      </c>
      <c r="L248" s="360" t="s">
        <v>76</v>
      </c>
      <c r="M248" s="54"/>
      <c r="N248" s="54"/>
      <c r="T248" s="10"/>
      <c r="U248" s="10"/>
    </row>
    <row r="249" spans="1:35" ht="30" customHeight="1" x14ac:dyDescent="0.25">
      <c r="A249" s="1172" t="s">
        <v>170</v>
      </c>
      <c r="B249" s="1173"/>
      <c r="C249" s="1173"/>
      <c r="D249" s="1174"/>
      <c r="E249" s="386"/>
      <c r="F249" s="360"/>
      <c r="G249" s="366"/>
      <c r="H249" s="1161" t="s">
        <v>108</v>
      </c>
      <c r="I249" s="1162"/>
      <c r="J249" s="453">
        <f>SUM(J239:J248)</f>
        <v>4236944.54</v>
      </c>
      <c r="K249" s="379">
        <f>SUM(K239:K248)</f>
        <v>7608856.7319644354</v>
      </c>
      <c r="L249" s="339" t="s">
        <v>54</v>
      </c>
      <c r="M249" s="54"/>
      <c r="N249" s="462"/>
      <c r="T249" s="10"/>
      <c r="U249" s="10"/>
    </row>
    <row r="250" spans="1:35" ht="30" customHeight="1" x14ac:dyDescent="0.25">
      <c r="A250" s="1175"/>
      <c r="B250" s="1176"/>
      <c r="C250" s="1176"/>
      <c r="D250" s="1177"/>
      <c r="E250" s="366"/>
      <c r="F250" s="366"/>
      <c r="G250" s="366"/>
      <c r="H250" s="366"/>
      <c r="I250" s="380"/>
      <c r="J250" s="367" t="s">
        <v>71</v>
      </c>
      <c r="K250" s="378">
        <v>1.06</v>
      </c>
      <c r="L250" s="360"/>
      <c r="O250" s="467"/>
      <c r="P250" s="468"/>
      <c r="Q250" s="468"/>
      <c r="R250" s="469"/>
      <c r="S250" s="345"/>
      <c r="T250" s="348"/>
      <c r="U250" s="121"/>
      <c r="V250" s="469"/>
      <c r="W250" s="470"/>
      <c r="X250" s="348"/>
      <c r="Y250" s="348"/>
      <c r="Z250" s="54"/>
      <c r="AA250" s="348"/>
      <c r="AB250" s="340"/>
      <c r="AH250" s="10"/>
      <c r="AI250" s="10"/>
    </row>
    <row r="251" spans="1:35" ht="30" customHeight="1" x14ac:dyDescent="0.25">
      <c r="A251" s="1420"/>
      <c r="B251" s="1421"/>
      <c r="C251" s="1421"/>
      <c r="D251" s="1422"/>
      <c r="E251" s="366"/>
      <c r="F251" s="366"/>
      <c r="G251" s="366"/>
      <c r="H251" s="366"/>
      <c r="I251" s="366"/>
      <c r="J251" s="537" t="s">
        <v>72</v>
      </c>
      <c r="K251" s="379">
        <f>+K249/K250/H237</f>
        <v>435040.40777383844</v>
      </c>
      <c r="L251" s="360" t="s">
        <v>147</v>
      </c>
      <c r="N251" s="127"/>
      <c r="O251" s="61"/>
      <c r="T251" s="10"/>
      <c r="U251" s="10"/>
    </row>
    <row r="252" spans="1:35" ht="30" customHeight="1" thickBot="1" x14ac:dyDescent="0.3">
      <c r="A252" s="1414"/>
      <c r="B252" s="1415"/>
      <c r="C252" s="1415"/>
      <c r="D252" s="1415"/>
      <c r="E252" s="1415"/>
      <c r="F252" s="1415"/>
      <c r="G252" s="1415"/>
      <c r="H252" s="1415"/>
      <c r="I252" s="1415"/>
      <c r="J252" s="1415"/>
      <c r="K252" s="1415"/>
      <c r="L252" s="1538"/>
      <c r="M252" s="112"/>
      <c r="N252" s="54"/>
      <c r="T252" s="10"/>
      <c r="U252" s="10"/>
    </row>
    <row r="253" spans="1:35" ht="30" customHeight="1" x14ac:dyDescent="0.25">
      <c r="A253" s="327" t="s">
        <v>5</v>
      </c>
      <c r="B253" s="328">
        <v>1221</v>
      </c>
      <c r="C253" s="1218" t="s">
        <v>171</v>
      </c>
      <c r="D253" s="1219"/>
      <c r="E253" s="331" t="s">
        <v>8</v>
      </c>
      <c r="F253" s="332" t="s">
        <v>147</v>
      </c>
      <c r="G253" s="342" t="s">
        <v>7</v>
      </c>
      <c r="H253" s="157">
        <v>2.1</v>
      </c>
      <c r="I253" s="331" t="s">
        <v>10</v>
      </c>
      <c r="J253" s="1253" t="s">
        <v>172</v>
      </c>
      <c r="K253" s="1254"/>
      <c r="L253" s="1255"/>
      <c r="N253" s="112"/>
      <c r="O253" s="336"/>
      <c r="V253" s="10"/>
      <c r="W253" s="10"/>
    </row>
    <row r="254" spans="1:35" ht="30" customHeight="1" x14ac:dyDescent="0.25">
      <c r="A254" s="356" t="s">
        <v>12</v>
      </c>
      <c r="B254" s="1163" t="s">
        <v>13</v>
      </c>
      <c r="C254" s="1163"/>
      <c r="D254" s="1163"/>
      <c r="E254" s="356" t="s">
        <v>14</v>
      </c>
      <c r="F254" s="356" t="s">
        <v>15</v>
      </c>
      <c r="G254" s="357" t="s">
        <v>16</v>
      </c>
      <c r="H254" s="357" t="s">
        <v>17</v>
      </c>
      <c r="I254" s="357" t="s">
        <v>18</v>
      </c>
      <c r="J254" s="358" t="s">
        <v>19</v>
      </c>
      <c r="K254" s="358" t="s">
        <v>20</v>
      </c>
      <c r="L254" s="359"/>
      <c r="M254" s="54"/>
      <c r="T254" s="10"/>
      <c r="U254" s="10"/>
    </row>
    <row r="255" spans="1:35" ht="30" customHeight="1" x14ac:dyDescent="0.25">
      <c r="A255" s="460" t="s">
        <v>150</v>
      </c>
      <c r="B255" s="1164" t="s">
        <v>151</v>
      </c>
      <c r="C255" s="1164"/>
      <c r="D255" s="1164"/>
      <c r="E255" s="461">
        <v>2</v>
      </c>
      <c r="F255" s="360" t="s">
        <v>76</v>
      </c>
      <c r="G255" s="362" t="s">
        <v>173</v>
      </c>
      <c r="H255" s="362" t="s">
        <v>174</v>
      </c>
      <c r="I255" s="362" t="s">
        <v>175</v>
      </c>
      <c r="J255" s="363">
        <v>4103.6099999999997</v>
      </c>
      <c r="K255" s="362">
        <v>7494.17</v>
      </c>
      <c r="L255" s="360" t="s">
        <v>76</v>
      </c>
      <c r="M255" s="54"/>
      <c r="N255" s="54"/>
      <c r="O255" s="373"/>
      <c r="T255" s="10"/>
      <c r="U255" s="10"/>
    </row>
    <row r="256" spans="1:35" ht="30" customHeight="1" x14ac:dyDescent="0.25">
      <c r="A256" s="360" t="s">
        <v>152</v>
      </c>
      <c r="B256" s="1153" t="s">
        <v>153</v>
      </c>
      <c r="C256" s="1154"/>
      <c r="D256" s="1155"/>
      <c r="E256" s="361">
        <v>20</v>
      </c>
      <c r="F256" s="360" t="s">
        <v>40</v>
      </c>
      <c r="G256" s="362" t="s">
        <v>176</v>
      </c>
      <c r="H256" s="362" t="s">
        <v>177</v>
      </c>
      <c r="I256" s="362" t="s">
        <v>178</v>
      </c>
      <c r="J256" s="363">
        <v>2736.38</v>
      </c>
      <c r="K256" s="362">
        <v>4885.1099999999997</v>
      </c>
      <c r="L256" s="360" t="s">
        <v>40</v>
      </c>
      <c r="M256" s="112"/>
      <c r="N256" s="54"/>
      <c r="O256" s="373"/>
      <c r="T256" s="10"/>
      <c r="U256" s="10"/>
    </row>
    <row r="257" spans="1:23" ht="30" customHeight="1" x14ac:dyDescent="0.25">
      <c r="A257" s="360" t="s">
        <v>154</v>
      </c>
      <c r="B257" s="1153" t="s">
        <v>155</v>
      </c>
      <c r="C257" s="1154"/>
      <c r="D257" s="1155"/>
      <c r="E257" s="361">
        <v>20</v>
      </c>
      <c r="F257" s="360" t="s">
        <v>40</v>
      </c>
      <c r="G257" s="362" t="s">
        <v>179</v>
      </c>
      <c r="H257" s="362" t="s">
        <v>180</v>
      </c>
      <c r="I257" s="362" t="s">
        <v>175</v>
      </c>
      <c r="J257" s="363">
        <v>27.24</v>
      </c>
      <c r="K257" s="362">
        <v>52.99</v>
      </c>
      <c r="L257" s="360" t="s">
        <v>40</v>
      </c>
      <c r="N257" s="112"/>
      <c r="O257" s="373"/>
      <c r="T257" s="10"/>
      <c r="U257" s="10"/>
    </row>
    <row r="258" spans="1:23" ht="30" customHeight="1" x14ac:dyDescent="0.25">
      <c r="A258" s="360" t="s">
        <v>156</v>
      </c>
      <c r="B258" s="1153" t="s">
        <v>157</v>
      </c>
      <c r="C258" s="1154"/>
      <c r="D258" s="1155"/>
      <c r="E258" s="361">
        <v>3</v>
      </c>
      <c r="F258" s="360" t="s">
        <v>76</v>
      </c>
      <c r="G258" s="362" t="s">
        <v>181</v>
      </c>
      <c r="H258" s="362" t="s">
        <v>182</v>
      </c>
      <c r="I258" s="362" t="s">
        <v>175</v>
      </c>
      <c r="J258" s="363">
        <v>985.49</v>
      </c>
      <c r="K258" s="362">
        <v>1716.56</v>
      </c>
      <c r="L258" s="360" t="s">
        <v>76</v>
      </c>
      <c r="M258" s="54"/>
      <c r="T258" s="10"/>
      <c r="U258" s="10"/>
    </row>
    <row r="259" spans="1:23" ht="30" customHeight="1" x14ac:dyDescent="0.25">
      <c r="A259" s="360" t="s">
        <v>158</v>
      </c>
      <c r="B259" s="1169" t="s">
        <v>159</v>
      </c>
      <c r="C259" s="1170"/>
      <c r="D259" s="1171"/>
      <c r="E259" s="361">
        <v>20</v>
      </c>
      <c r="F259" s="360" t="s">
        <v>40</v>
      </c>
      <c r="G259" s="362" t="s">
        <v>183</v>
      </c>
      <c r="H259" s="362" t="s">
        <v>184</v>
      </c>
      <c r="I259" s="362" t="s">
        <v>175</v>
      </c>
      <c r="J259" s="363">
        <v>408.31</v>
      </c>
      <c r="K259" s="362">
        <v>802.89</v>
      </c>
      <c r="L259" s="360" t="s">
        <v>40</v>
      </c>
      <c r="M259" s="54"/>
      <c r="N259" s="54"/>
      <c r="T259" s="10"/>
      <c r="U259" s="10"/>
    </row>
    <row r="260" spans="1:23" ht="30" customHeight="1" x14ac:dyDescent="0.25">
      <c r="A260" s="360" t="s">
        <v>164</v>
      </c>
      <c r="B260" s="1164" t="s">
        <v>165</v>
      </c>
      <c r="C260" s="1164"/>
      <c r="D260" s="1164"/>
      <c r="E260" s="361">
        <v>2</v>
      </c>
      <c r="F260" s="360" t="s">
        <v>76</v>
      </c>
      <c r="G260" s="362" t="s">
        <v>185</v>
      </c>
      <c r="H260" s="362" t="s">
        <v>186</v>
      </c>
      <c r="I260" s="362" t="s">
        <v>175</v>
      </c>
      <c r="J260" s="363">
        <v>15134.94</v>
      </c>
      <c r="K260" s="362">
        <v>25922.83</v>
      </c>
      <c r="L260" s="360" t="s">
        <v>76</v>
      </c>
      <c r="M260" s="112"/>
      <c r="N260" s="54"/>
    </row>
    <row r="261" spans="1:23" ht="30" customHeight="1" x14ac:dyDescent="0.25">
      <c r="A261" s="360" t="s">
        <v>3370</v>
      </c>
      <c r="B261" s="1164" t="s">
        <v>3369</v>
      </c>
      <c r="C261" s="1164"/>
      <c r="D261" s="1164"/>
      <c r="E261" s="1093">
        <v>2</v>
      </c>
      <c r="F261" s="360" t="s">
        <v>76</v>
      </c>
      <c r="G261" s="1094">
        <v>622414.87</v>
      </c>
      <c r="H261" s="1094">
        <v>64254.12</v>
      </c>
      <c r="I261" s="1094">
        <v>44953.34</v>
      </c>
      <c r="J261" s="1095">
        <v>549211.73</v>
      </c>
      <c r="K261" s="1094">
        <f>+I261+H261+G261</f>
        <v>731622.33</v>
      </c>
      <c r="L261" s="360" t="s">
        <v>76</v>
      </c>
      <c r="M261" s="112"/>
      <c r="N261" s="111"/>
    </row>
    <row r="262" spans="1:23" ht="30" customHeight="1" x14ac:dyDescent="0.25">
      <c r="A262" s="360" t="s">
        <v>187</v>
      </c>
      <c r="B262" s="1203" t="s">
        <v>188</v>
      </c>
      <c r="C262" s="1204"/>
      <c r="D262" s="1205"/>
      <c r="E262" s="361">
        <v>1</v>
      </c>
      <c r="F262" s="360" t="s">
        <v>76</v>
      </c>
      <c r="G262" s="362" t="s">
        <v>189</v>
      </c>
      <c r="H262" s="362" t="s">
        <v>190</v>
      </c>
      <c r="I262" s="362" t="s">
        <v>191</v>
      </c>
      <c r="J262" s="363">
        <v>51076.44</v>
      </c>
      <c r="K262" s="362">
        <v>86061.84</v>
      </c>
      <c r="L262" s="360" t="s">
        <v>76</v>
      </c>
      <c r="N262" s="112"/>
    </row>
    <row r="263" spans="1:23" ht="30" customHeight="1" x14ac:dyDescent="0.25">
      <c r="A263" s="360" t="s">
        <v>192</v>
      </c>
      <c r="B263" s="1164" t="s">
        <v>193</v>
      </c>
      <c r="C263" s="1164"/>
      <c r="D263" s="1164"/>
      <c r="E263" s="361">
        <v>1</v>
      </c>
      <c r="F263" s="360" t="s">
        <v>76</v>
      </c>
      <c r="G263" s="362" t="s">
        <v>194</v>
      </c>
      <c r="H263" s="362" t="s">
        <v>195</v>
      </c>
      <c r="I263" s="362" t="s">
        <v>175</v>
      </c>
      <c r="J263" s="363">
        <v>25571.040000000001</v>
      </c>
      <c r="K263" s="362">
        <v>43122.16</v>
      </c>
      <c r="L263" s="360" t="s">
        <v>76</v>
      </c>
      <c r="M263" s="54"/>
      <c r="T263" s="10"/>
      <c r="U263" s="10"/>
    </row>
    <row r="264" spans="1:23" ht="30" customHeight="1" x14ac:dyDescent="0.25">
      <c r="A264" s="360" t="s">
        <v>166</v>
      </c>
      <c r="B264" s="1164" t="s">
        <v>167</v>
      </c>
      <c r="C264" s="1164"/>
      <c r="D264" s="1164"/>
      <c r="E264" s="361">
        <v>20</v>
      </c>
      <c r="F264" s="360" t="s">
        <v>40</v>
      </c>
      <c r="G264" s="362" t="s">
        <v>196</v>
      </c>
      <c r="H264" s="362" t="s">
        <v>197</v>
      </c>
      <c r="I264" s="362" t="s">
        <v>198</v>
      </c>
      <c r="J264" s="363">
        <v>393.7</v>
      </c>
      <c r="K264" s="362">
        <v>746.99</v>
      </c>
      <c r="L264" s="360" t="s">
        <v>40</v>
      </c>
      <c r="M264" s="54"/>
      <c r="N264" s="54"/>
      <c r="T264" s="60"/>
      <c r="U264" s="60"/>
    </row>
    <row r="265" spans="1:23" ht="30" customHeight="1" x14ac:dyDescent="0.25">
      <c r="A265" s="360" t="s">
        <v>168</v>
      </c>
      <c r="B265" s="1167" t="s">
        <v>169</v>
      </c>
      <c r="C265" s="1167"/>
      <c r="D265" s="1168"/>
      <c r="E265" s="361">
        <v>2</v>
      </c>
      <c r="F265" s="360" t="s">
        <v>76</v>
      </c>
      <c r="G265" s="362" t="s">
        <v>199</v>
      </c>
      <c r="H265" s="362" t="s">
        <v>200</v>
      </c>
      <c r="I265" s="362" t="s">
        <v>201</v>
      </c>
      <c r="J265" s="363">
        <v>22874.82</v>
      </c>
      <c r="K265" s="362">
        <v>39208.839999999997</v>
      </c>
      <c r="L265" s="360" t="s">
        <v>76</v>
      </c>
      <c r="M265" s="538"/>
      <c r="N265" s="54"/>
      <c r="T265" s="10"/>
      <c r="U265" s="10"/>
    </row>
    <row r="266" spans="1:23" ht="30" customHeight="1" x14ac:dyDescent="0.25">
      <c r="A266" s="1172" t="s">
        <v>93</v>
      </c>
      <c r="B266" s="1173"/>
      <c r="C266" s="1173"/>
      <c r="D266" s="1174"/>
      <c r="E266" s="386"/>
      <c r="F266" s="360"/>
      <c r="G266" s="366"/>
      <c r="H266" s="1161" t="s">
        <v>108</v>
      </c>
      <c r="I266" s="1162"/>
      <c r="J266" s="453">
        <f>SUM(J255:J265)</f>
        <v>672523.69999999984</v>
      </c>
      <c r="K266" s="379">
        <f>SUM(K255:K265)</f>
        <v>941636.71</v>
      </c>
      <c r="L266" s="339" t="s">
        <v>54</v>
      </c>
      <c r="N266" s="73"/>
      <c r="O266" s="348"/>
      <c r="V266" s="10"/>
      <c r="W266" s="10"/>
    </row>
    <row r="267" spans="1:23" ht="30" customHeight="1" x14ac:dyDescent="0.25">
      <c r="A267" s="1175"/>
      <c r="B267" s="1176"/>
      <c r="C267" s="1176"/>
      <c r="D267" s="1177"/>
      <c r="E267" s="366"/>
      <c r="F267" s="366"/>
      <c r="G267" s="380"/>
      <c r="H267" s="539"/>
      <c r="I267" s="540"/>
      <c r="J267" s="537" t="s">
        <v>72</v>
      </c>
      <c r="K267" s="541">
        <f>K266</f>
        <v>941636.71</v>
      </c>
      <c r="L267" s="339" t="s">
        <v>147</v>
      </c>
      <c r="M267" s="209"/>
      <c r="O267" s="61"/>
      <c r="T267" s="10"/>
      <c r="U267" s="10"/>
    </row>
    <row r="268" spans="1:23" ht="30" customHeight="1" thickBot="1" x14ac:dyDescent="0.3">
      <c r="A268" s="1420"/>
      <c r="B268" s="1421"/>
      <c r="C268" s="1421"/>
      <c r="D268" s="1422"/>
      <c r="E268" s="366"/>
      <c r="F268" s="366"/>
      <c r="G268" s="366"/>
      <c r="H268" s="366"/>
      <c r="I268" s="380"/>
      <c r="K268" s="56"/>
      <c r="L268" s="360"/>
      <c r="M268" s="54"/>
      <c r="N268" s="54"/>
      <c r="T268" s="10"/>
      <c r="U268" s="10"/>
    </row>
    <row r="269" spans="1:23" ht="30" customHeight="1" thickBot="1" x14ac:dyDescent="0.3">
      <c r="A269" s="1180"/>
      <c r="B269" s="1181"/>
      <c r="C269" s="1181"/>
      <c r="D269" s="1181"/>
      <c r="E269" s="1181"/>
      <c r="F269" s="1181"/>
      <c r="G269" s="1181"/>
      <c r="H269" s="1181"/>
      <c r="I269" s="1181"/>
      <c r="J269" s="1181"/>
      <c r="K269" s="1181"/>
      <c r="L269" s="1182"/>
      <c r="M269" s="112"/>
      <c r="N269" s="54"/>
      <c r="O269" s="336"/>
      <c r="V269" s="10"/>
      <c r="W269" s="10"/>
    </row>
    <row r="270" spans="1:23" ht="30" customHeight="1" x14ac:dyDescent="0.25">
      <c r="A270" s="327" t="s">
        <v>5</v>
      </c>
      <c r="B270" s="328">
        <v>1231</v>
      </c>
      <c r="C270" s="1251" t="s">
        <v>202</v>
      </c>
      <c r="D270" s="1252"/>
      <c r="E270" s="331" t="s">
        <v>8</v>
      </c>
      <c r="F270" s="332" t="s">
        <v>147</v>
      </c>
      <c r="G270" s="333" t="s">
        <v>7</v>
      </c>
      <c r="H270" s="157">
        <v>2</v>
      </c>
      <c r="I270" s="331" t="s">
        <v>10</v>
      </c>
      <c r="J270" s="1253" t="s">
        <v>172</v>
      </c>
      <c r="K270" s="1254"/>
      <c r="L270" s="1255"/>
      <c r="M270" s="116"/>
      <c r="N270" s="54"/>
      <c r="T270" s="10"/>
      <c r="U270" s="10"/>
    </row>
    <row r="271" spans="1:23" ht="30" customHeight="1" x14ac:dyDescent="0.25">
      <c r="A271" s="495" t="s">
        <v>12</v>
      </c>
      <c r="B271" s="1196" t="s">
        <v>13</v>
      </c>
      <c r="C271" s="1197"/>
      <c r="D271" s="1198"/>
      <c r="E271" s="490" t="s">
        <v>14</v>
      </c>
      <c r="F271" s="522" t="s">
        <v>15</v>
      </c>
      <c r="G271" s="492" t="s">
        <v>16</v>
      </c>
      <c r="H271" s="493" t="s">
        <v>17</v>
      </c>
      <c r="I271" s="493" t="s">
        <v>18</v>
      </c>
      <c r="J271" s="494" t="s">
        <v>19</v>
      </c>
      <c r="K271" s="495" t="s">
        <v>20</v>
      </c>
      <c r="L271" s="523" t="s">
        <v>75</v>
      </c>
      <c r="M271" s="54"/>
      <c r="N271" s="111"/>
      <c r="O271" s="344"/>
      <c r="P271" s="334"/>
      <c r="Q271" s="335"/>
      <c r="R271" s="336"/>
      <c r="S271" s="337"/>
    </row>
    <row r="272" spans="1:23" ht="30" customHeight="1" x14ac:dyDescent="0.25">
      <c r="A272" s="524" t="s">
        <v>203</v>
      </c>
      <c r="B272" s="1188" t="s">
        <v>204</v>
      </c>
      <c r="C272" s="1189"/>
      <c r="D272" s="1190"/>
      <c r="E272" s="525">
        <v>1200</v>
      </c>
      <c r="F272" s="526" t="s">
        <v>205</v>
      </c>
      <c r="G272" s="526">
        <v>7242.04</v>
      </c>
      <c r="H272" s="526">
        <v>8342.74</v>
      </c>
      <c r="I272" s="526">
        <v>1971.28</v>
      </c>
      <c r="J272" s="526">
        <v>9582.85</v>
      </c>
      <c r="K272" s="527">
        <v>17556.060000000001</v>
      </c>
      <c r="L272" s="526" t="s">
        <v>205</v>
      </c>
      <c r="M272" s="54"/>
      <c r="N272" s="111"/>
      <c r="O272" s="344"/>
      <c r="P272" s="334"/>
      <c r="Q272" s="335"/>
      <c r="R272" s="336"/>
      <c r="S272" s="337"/>
    </row>
    <row r="273" spans="1:21" ht="30" customHeight="1" x14ac:dyDescent="0.25">
      <c r="A273" s="524" t="s">
        <v>206</v>
      </c>
      <c r="B273" s="1188" t="s">
        <v>207</v>
      </c>
      <c r="C273" s="1189"/>
      <c r="D273" s="1190"/>
      <c r="E273" s="525">
        <v>2</v>
      </c>
      <c r="F273" s="526" t="s">
        <v>76</v>
      </c>
      <c r="G273" s="526">
        <v>3210.13</v>
      </c>
      <c r="H273" s="526">
        <v>0</v>
      </c>
      <c r="I273" s="526">
        <v>0</v>
      </c>
      <c r="J273" s="526">
        <v>1965.08</v>
      </c>
      <c r="K273" s="527">
        <v>3210.13</v>
      </c>
      <c r="L273" s="526" t="s">
        <v>76</v>
      </c>
      <c r="M273" s="54"/>
      <c r="N273" s="111"/>
      <c r="O273" s="344"/>
      <c r="P273" s="334"/>
      <c r="Q273" s="335"/>
      <c r="R273" s="336"/>
      <c r="S273" s="337"/>
    </row>
    <row r="274" spans="1:21" ht="30" customHeight="1" x14ac:dyDescent="0.25">
      <c r="A274" s="524" t="s">
        <v>187</v>
      </c>
      <c r="B274" s="1188" t="s">
        <v>188</v>
      </c>
      <c r="C274" s="1189"/>
      <c r="D274" s="1190"/>
      <c r="E274" s="525">
        <v>2</v>
      </c>
      <c r="F274" s="526" t="s">
        <v>76</v>
      </c>
      <c r="G274" s="526">
        <v>137634.14000000001</v>
      </c>
      <c r="H274" s="526">
        <v>14282.8</v>
      </c>
      <c r="I274" s="526">
        <v>3454.04</v>
      </c>
      <c r="J274" s="526">
        <v>93117.45</v>
      </c>
      <c r="K274" s="527">
        <v>155370.99</v>
      </c>
      <c r="L274" s="526" t="s">
        <v>76</v>
      </c>
      <c r="M274" s="54"/>
      <c r="N274" s="111"/>
      <c r="O274" s="344"/>
      <c r="P274" s="334"/>
      <c r="Q274" s="335"/>
      <c r="R274" s="336"/>
      <c r="S274" s="337"/>
    </row>
    <row r="275" spans="1:21" ht="30" customHeight="1" x14ac:dyDescent="0.25">
      <c r="A275" s="524" t="s">
        <v>208</v>
      </c>
      <c r="B275" s="1188" t="s">
        <v>209</v>
      </c>
      <c r="C275" s="1189"/>
      <c r="D275" s="1190"/>
      <c r="E275" s="525">
        <v>2</v>
      </c>
      <c r="F275" s="526" t="s">
        <v>76</v>
      </c>
      <c r="G275" s="526">
        <v>6478.35</v>
      </c>
      <c r="H275" s="526">
        <v>11648.4</v>
      </c>
      <c r="I275" s="526">
        <v>0</v>
      </c>
      <c r="J275" s="526">
        <v>9470.9500000000007</v>
      </c>
      <c r="K275" s="527">
        <v>18126.75</v>
      </c>
      <c r="L275" s="526" t="s">
        <v>76</v>
      </c>
      <c r="M275" s="54"/>
      <c r="N275" s="111"/>
      <c r="O275" s="344"/>
      <c r="P275" s="334"/>
      <c r="Q275" s="335"/>
      <c r="R275" s="336"/>
      <c r="S275" s="337"/>
    </row>
    <row r="276" spans="1:21" ht="30" customHeight="1" x14ac:dyDescent="0.25">
      <c r="A276" s="524" t="s">
        <v>192</v>
      </c>
      <c r="B276" s="1188" t="s">
        <v>210</v>
      </c>
      <c r="C276" s="1189"/>
      <c r="D276" s="1190"/>
      <c r="E276" s="525">
        <v>1</v>
      </c>
      <c r="F276" s="526" t="s">
        <v>76</v>
      </c>
      <c r="G276" s="526">
        <v>34990.379999999997</v>
      </c>
      <c r="H276" s="526">
        <v>3236.6</v>
      </c>
      <c r="I276" s="526">
        <v>0</v>
      </c>
      <c r="J276" s="526">
        <v>22949.040000000001</v>
      </c>
      <c r="K276" s="527">
        <v>38226.980000000003</v>
      </c>
      <c r="L276" s="526" t="s">
        <v>76</v>
      </c>
      <c r="M276" s="54"/>
      <c r="N276" s="111"/>
      <c r="O276" s="344"/>
      <c r="P276" s="334"/>
      <c r="Q276" s="335"/>
      <c r="R276" s="336"/>
      <c r="S276" s="337"/>
    </row>
    <row r="277" spans="1:21" ht="30" customHeight="1" x14ac:dyDescent="0.25">
      <c r="A277" s="524" t="s">
        <v>211</v>
      </c>
      <c r="B277" s="1188" t="s">
        <v>212</v>
      </c>
      <c r="C277" s="1189"/>
      <c r="D277" s="1190"/>
      <c r="E277" s="525">
        <v>1500</v>
      </c>
      <c r="F277" s="526" t="s">
        <v>205</v>
      </c>
      <c r="G277" s="526">
        <v>132417.69</v>
      </c>
      <c r="H277" s="526">
        <v>29513.39</v>
      </c>
      <c r="I277" s="526">
        <v>20238.66</v>
      </c>
      <c r="J277" s="526">
        <v>107397.12</v>
      </c>
      <c r="K277" s="527">
        <v>182169.73</v>
      </c>
      <c r="L277" s="526" t="s">
        <v>205</v>
      </c>
      <c r="M277" s="54"/>
      <c r="N277" s="111"/>
      <c r="O277" s="344"/>
      <c r="P277" s="334"/>
      <c r="Q277" s="335"/>
      <c r="R277" s="336"/>
      <c r="S277" s="337"/>
    </row>
    <row r="278" spans="1:21" ht="30" customHeight="1" x14ac:dyDescent="0.25">
      <c r="A278" s="528"/>
      <c r="B278" s="1199"/>
      <c r="C278" s="1199"/>
      <c r="D278" s="1199"/>
      <c r="E278" s="529"/>
      <c r="F278" s="529"/>
      <c r="G278" s="529"/>
      <c r="H278" s="529"/>
      <c r="I278" s="529"/>
      <c r="J278" s="530">
        <f>SUM(J272:J277)</f>
        <v>244482.49</v>
      </c>
      <c r="K278" s="531">
        <f>SUM(K272:K277)</f>
        <v>414660.64</v>
      </c>
      <c r="L278" s="526" t="s">
        <v>54</v>
      </c>
      <c r="M278" s="111"/>
      <c r="N278" s="54"/>
      <c r="O278" s="344"/>
      <c r="P278" s="334"/>
      <c r="Q278" s="335"/>
      <c r="R278" s="336"/>
      <c r="S278" s="337"/>
    </row>
    <row r="279" spans="1:21" ht="30" customHeight="1" thickBot="1" x14ac:dyDescent="0.3">
      <c r="A279" s="532"/>
      <c r="B279" s="1200"/>
      <c r="C279" s="1200"/>
      <c r="D279" s="1200"/>
      <c r="E279" s="533"/>
      <c r="F279" s="534"/>
      <c r="G279" s="1201"/>
      <c r="H279" s="1202"/>
      <c r="I279" s="534"/>
      <c r="J279" s="535" t="s">
        <v>72</v>
      </c>
      <c r="K279" s="536">
        <f>K278/H270</f>
        <v>207330.32</v>
      </c>
      <c r="L279" s="526" t="s">
        <v>147</v>
      </c>
      <c r="M279" s="54"/>
      <c r="N279" s="54"/>
      <c r="P279" s="334"/>
      <c r="Q279" s="335"/>
      <c r="R279" s="336"/>
      <c r="S279" s="337"/>
    </row>
    <row r="280" spans="1:21" ht="30" customHeight="1" thickBot="1" x14ac:dyDescent="0.3">
      <c r="A280" s="1180"/>
      <c r="B280" s="1181"/>
      <c r="C280" s="1181"/>
      <c r="D280" s="1181"/>
      <c r="E280" s="1181"/>
      <c r="F280" s="1181"/>
      <c r="G280" s="1181"/>
      <c r="H280" s="1181"/>
      <c r="I280" s="1181"/>
      <c r="J280" s="1181"/>
      <c r="K280" s="1181"/>
      <c r="L280" s="1182"/>
      <c r="M280" s="112"/>
      <c r="N280" s="54"/>
      <c r="T280" s="60"/>
      <c r="U280" s="60"/>
    </row>
    <row r="281" spans="1:21" s="345" customFormat="1" ht="30" customHeight="1" x14ac:dyDescent="0.25">
      <c r="A281" s="327" t="s">
        <v>5</v>
      </c>
      <c r="B281" s="328">
        <v>1241</v>
      </c>
      <c r="C281" s="1251" t="s">
        <v>213</v>
      </c>
      <c r="D281" s="1252"/>
      <c r="E281" s="331" t="s">
        <v>8</v>
      </c>
      <c r="F281" s="332" t="s">
        <v>214</v>
      </c>
      <c r="G281" s="346" t="s">
        <v>7</v>
      </c>
      <c r="H281" s="156">
        <v>420000</v>
      </c>
      <c r="I281" s="331" t="s">
        <v>10</v>
      </c>
      <c r="J281" s="1253" t="s">
        <v>172</v>
      </c>
      <c r="K281" s="1254"/>
      <c r="L281" s="1255"/>
      <c r="M281" s="116"/>
      <c r="N281" s="54"/>
      <c r="O281" s="344"/>
      <c r="P281" s="344"/>
    </row>
    <row r="282" spans="1:21" ht="30" customHeight="1" x14ac:dyDescent="0.25">
      <c r="A282" s="495" t="s">
        <v>12</v>
      </c>
      <c r="B282" s="1196" t="s">
        <v>13</v>
      </c>
      <c r="C282" s="1197"/>
      <c r="D282" s="1198"/>
      <c r="E282" s="490" t="s">
        <v>14</v>
      </c>
      <c r="F282" s="522" t="s">
        <v>15</v>
      </c>
      <c r="G282" s="492" t="s">
        <v>16</v>
      </c>
      <c r="H282" s="493" t="s">
        <v>17</v>
      </c>
      <c r="I282" s="493" t="s">
        <v>18</v>
      </c>
      <c r="J282" s="494" t="s">
        <v>19</v>
      </c>
      <c r="K282" s="495" t="s">
        <v>20</v>
      </c>
      <c r="L282" s="523" t="s">
        <v>75</v>
      </c>
      <c r="M282" s="54"/>
      <c r="N282" s="111"/>
      <c r="O282" s="344"/>
      <c r="P282" s="334"/>
      <c r="Q282" s="335"/>
      <c r="R282" s="336"/>
      <c r="S282" s="337"/>
    </row>
    <row r="283" spans="1:21" ht="30" customHeight="1" x14ac:dyDescent="0.25">
      <c r="A283" s="524" t="s">
        <v>215</v>
      </c>
      <c r="B283" s="1188" t="s">
        <v>216</v>
      </c>
      <c r="C283" s="1189"/>
      <c r="D283" s="1190"/>
      <c r="E283" s="525">
        <v>1704</v>
      </c>
      <c r="F283" s="526" t="s">
        <v>25</v>
      </c>
      <c r="G283" s="526">
        <v>44276.05</v>
      </c>
      <c r="H283" s="526">
        <v>3434.49</v>
      </c>
      <c r="I283" s="526">
        <v>7244.64</v>
      </c>
      <c r="J283" s="526">
        <v>33103.17</v>
      </c>
      <c r="K283" s="527">
        <v>54955.18</v>
      </c>
      <c r="L283" s="526" t="s">
        <v>25</v>
      </c>
      <c r="M283" s="54"/>
      <c r="N283" s="111"/>
      <c r="O283" s="344"/>
      <c r="P283" s="334"/>
      <c r="Q283" s="335"/>
      <c r="R283" s="336"/>
      <c r="S283" s="337"/>
    </row>
    <row r="284" spans="1:21" ht="30" customHeight="1" x14ac:dyDescent="0.25">
      <c r="A284" s="524" t="s">
        <v>217</v>
      </c>
      <c r="B284" s="1188" t="s">
        <v>218</v>
      </c>
      <c r="C284" s="1189"/>
      <c r="D284" s="1190"/>
      <c r="E284" s="525">
        <v>50</v>
      </c>
      <c r="F284" s="526" t="s">
        <v>25</v>
      </c>
      <c r="G284" s="526">
        <v>24219.74</v>
      </c>
      <c r="H284" s="526">
        <v>25413.77</v>
      </c>
      <c r="I284" s="526">
        <v>1566.4</v>
      </c>
      <c r="J284" s="526">
        <v>27746.97</v>
      </c>
      <c r="K284" s="527">
        <v>51199.9</v>
      </c>
      <c r="L284" s="526" t="s">
        <v>25</v>
      </c>
      <c r="M284" s="54"/>
      <c r="N284" s="111"/>
      <c r="O284" s="344"/>
      <c r="P284" s="334"/>
      <c r="Q284" s="335"/>
      <c r="R284" s="336"/>
      <c r="S284" s="337"/>
    </row>
    <row r="285" spans="1:21" ht="30" customHeight="1" x14ac:dyDescent="0.25">
      <c r="A285" s="524" t="s">
        <v>219</v>
      </c>
      <c r="B285" s="1188" t="s">
        <v>220</v>
      </c>
      <c r="C285" s="1189"/>
      <c r="D285" s="1190"/>
      <c r="E285" s="525">
        <v>389</v>
      </c>
      <c r="F285" s="526" t="s">
        <v>40</v>
      </c>
      <c r="G285" s="526">
        <v>23767.919999999998</v>
      </c>
      <c r="H285" s="526">
        <v>8630.5300000000007</v>
      </c>
      <c r="I285" s="526">
        <v>0</v>
      </c>
      <c r="J285" s="526">
        <v>18595.64</v>
      </c>
      <c r="K285" s="527">
        <v>32398.45</v>
      </c>
      <c r="L285" s="526" t="s">
        <v>40</v>
      </c>
      <c r="M285" s="54"/>
      <c r="N285" s="111"/>
      <c r="O285" s="344"/>
      <c r="P285" s="334"/>
      <c r="Q285" s="335"/>
      <c r="R285" s="336"/>
      <c r="S285" s="337"/>
    </row>
    <row r="286" spans="1:21" ht="30" customHeight="1" x14ac:dyDescent="0.25">
      <c r="A286" s="524" t="s">
        <v>221</v>
      </c>
      <c r="B286" s="1188" t="s">
        <v>222</v>
      </c>
      <c r="C286" s="1189"/>
      <c r="D286" s="1190"/>
      <c r="E286" s="525">
        <v>2363.88</v>
      </c>
      <c r="F286" s="526" t="s">
        <v>40</v>
      </c>
      <c r="G286" s="526">
        <v>45363.42</v>
      </c>
      <c r="H286" s="526">
        <v>34645.75</v>
      </c>
      <c r="I286" s="526">
        <v>0</v>
      </c>
      <c r="J286" s="526">
        <v>44065.59</v>
      </c>
      <c r="K286" s="527">
        <v>80009.17</v>
      </c>
      <c r="L286" s="526" t="s">
        <v>40</v>
      </c>
      <c r="M286" s="54"/>
      <c r="N286" s="111"/>
      <c r="O286" s="344"/>
      <c r="P286" s="334"/>
      <c r="Q286" s="335"/>
      <c r="R286" s="336"/>
      <c r="S286" s="337"/>
    </row>
    <row r="287" spans="1:21" ht="30" customHeight="1" x14ac:dyDescent="0.25">
      <c r="A287" s="524" t="s">
        <v>223</v>
      </c>
      <c r="B287" s="1188" t="s">
        <v>224</v>
      </c>
      <c r="C287" s="1189"/>
      <c r="D287" s="1190"/>
      <c r="E287" s="525">
        <v>21</v>
      </c>
      <c r="F287" s="526" t="s">
        <v>76</v>
      </c>
      <c r="G287" s="526">
        <v>14121.39</v>
      </c>
      <c r="H287" s="526">
        <v>2902.09</v>
      </c>
      <c r="I287" s="526">
        <v>513.33000000000004</v>
      </c>
      <c r="J287" s="526">
        <v>10312.02</v>
      </c>
      <c r="K287" s="527">
        <v>17536.810000000001</v>
      </c>
      <c r="L287" s="526" t="s">
        <v>76</v>
      </c>
      <c r="M287" s="54"/>
      <c r="N287" s="111"/>
      <c r="O287" s="344"/>
      <c r="P287" s="334"/>
      <c r="Q287" s="335"/>
      <c r="R287" s="336"/>
      <c r="S287" s="337"/>
    </row>
    <row r="288" spans="1:21" ht="30" customHeight="1" x14ac:dyDescent="0.25">
      <c r="A288" s="524" t="s">
        <v>225</v>
      </c>
      <c r="B288" s="1188" t="s">
        <v>226</v>
      </c>
      <c r="C288" s="1189"/>
      <c r="D288" s="1190"/>
      <c r="E288" s="525">
        <v>1</v>
      </c>
      <c r="F288" s="526" t="s">
        <v>76</v>
      </c>
      <c r="G288" s="526">
        <v>0</v>
      </c>
      <c r="H288" s="526">
        <v>0</v>
      </c>
      <c r="I288" s="526">
        <v>0</v>
      </c>
      <c r="J288" s="526">
        <v>1380000</v>
      </c>
      <c r="K288" s="527">
        <v>1798940</v>
      </c>
      <c r="L288" s="526" t="s">
        <v>76</v>
      </c>
      <c r="M288" s="54"/>
      <c r="N288" s="111"/>
      <c r="O288" s="344"/>
      <c r="P288" s="334"/>
      <c r="Q288" s="335"/>
      <c r="R288" s="336"/>
      <c r="S288" s="337"/>
    </row>
    <row r="289" spans="1:21" ht="30" customHeight="1" x14ac:dyDescent="0.25">
      <c r="A289" s="524" t="s">
        <v>227</v>
      </c>
      <c r="B289" s="1217" t="s">
        <v>228</v>
      </c>
      <c r="C289" s="1217"/>
      <c r="D289" s="1217"/>
      <c r="E289" s="525">
        <v>405.83</v>
      </c>
      <c r="F289" s="542" t="s">
        <v>40</v>
      </c>
      <c r="G289" s="526">
        <v>202415.57</v>
      </c>
      <c r="H289" s="526">
        <v>22062.86</v>
      </c>
      <c r="I289" s="526">
        <v>44129.440000000002</v>
      </c>
      <c r="J289" s="526">
        <v>161065.54999999999</v>
      </c>
      <c r="K289" s="527">
        <v>268607.87</v>
      </c>
      <c r="L289" s="526" t="s">
        <v>40</v>
      </c>
      <c r="M289" s="111"/>
      <c r="N289" s="54"/>
      <c r="O289" s="344"/>
      <c r="P289" s="334"/>
      <c r="Q289" s="335"/>
      <c r="R289" s="336"/>
      <c r="S289" s="337"/>
    </row>
    <row r="290" spans="1:21" ht="30" customHeight="1" x14ac:dyDescent="0.25">
      <c r="A290" s="524" t="s">
        <v>229</v>
      </c>
      <c r="B290" s="1217" t="s">
        <v>230</v>
      </c>
      <c r="C290" s="1217"/>
      <c r="D290" s="1217"/>
      <c r="E290" s="525">
        <v>7720.05</v>
      </c>
      <c r="F290" s="542" t="s">
        <v>205</v>
      </c>
      <c r="G290" s="526">
        <v>87884.31</v>
      </c>
      <c r="H290" s="526">
        <v>64186.03</v>
      </c>
      <c r="I290" s="526">
        <v>551.46</v>
      </c>
      <c r="J290" s="526">
        <v>84322.49</v>
      </c>
      <c r="K290" s="527">
        <v>152621.79999999999</v>
      </c>
      <c r="L290" s="526" t="s">
        <v>205</v>
      </c>
      <c r="M290" s="111"/>
      <c r="N290" s="54"/>
      <c r="O290" s="344"/>
      <c r="P290" s="334"/>
      <c r="Q290" s="335"/>
      <c r="R290" s="336"/>
      <c r="S290" s="337"/>
    </row>
    <row r="291" spans="1:21" ht="30" customHeight="1" x14ac:dyDescent="0.25">
      <c r="A291" s="524" t="s">
        <v>231</v>
      </c>
      <c r="B291" s="1217" t="s">
        <v>232</v>
      </c>
      <c r="C291" s="1217"/>
      <c r="D291" s="1217"/>
      <c r="E291" s="525">
        <v>2</v>
      </c>
      <c r="F291" s="542" t="s">
        <v>80</v>
      </c>
      <c r="G291" s="526">
        <v>7476.72</v>
      </c>
      <c r="H291" s="526">
        <v>1275.8</v>
      </c>
      <c r="I291" s="526">
        <v>472.97</v>
      </c>
      <c r="J291" s="526">
        <v>5459.73</v>
      </c>
      <c r="K291" s="527">
        <v>9225.49</v>
      </c>
      <c r="L291" s="526" t="s">
        <v>80</v>
      </c>
      <c r="M291" s="111"/>
      <c r="N291" s="54"/>
      <c r="O291" s="344"/>
      <c r="P291" s="334"/>
      <c r="Q291" s="335"/>
      <c r="R291" s="336"/>
      <c r="S291" s="337"/>
    </row>
    <row r="292" spans="1:21" ht="30" customHeight="1" x14ac:dyDescent="0.25">
      <c r="A292" s="528"/>
      <c r="B292" s="1199"/>
      <c r="C292" s="1199"/>
      <c r="D292" s="1199"/>
      <c r="E292" s="529"/>
      <c r="F292" s="529"/>
      <c r="G292" s="529"/>
      <c r="H292" s="529"/>
      <c r="I292" s="529"/>
      <c r="J292" s="530">
        <f>SUM(J283:J289)</f>
        <v>1674888.94</v>
      </c>
      <c r="K292" s="531">
        <f>SUM(K283:K289)</f>
        <v>2303647.38</v>
      </c>
      <c r="L292" s="526"/>
      <c r="M292" s="111"/>
      <c r="N292" s="54"/>
      <c r="O292" s="344"/>
      <c r="P292" s="334"/>
      <c r="Q292" s="335"/>
      <c r="R292" s="336"/>
      <c r="S292" s="337"/>
    </row>
    <row r="293" spans="1:21" ht="30" customHeight="1" thickBot="1" x14ac:dyDescent="0.3">
      <c r="A293" s="532"/>
      <c r="B293" s="1200"/>
      <c r="C293" s="1200"/>
      <c r="D293" s="1200"/>
      <c r="E293" s="533"/>
      <c r="F293" s="534"/>
      <c r="G293" s="1201"/>
      <c r="H293" s="1202"/>
      <c r="I293" s="534"/>
      <c r="J293" s="535" t="s">
        <v>72</v>
      </c>
      <c r="K293" s="536">
        <f>K292/H281</f>
        <v>5.4848747142857137</v>
      </c>
      <c r="L293" s="332" t="s">
        <v>214</v>
      </c>
      <c r="M293" s="54"/>
      <c r="N293" s="54"/>
      <c r="P293" s="334"/>
      <c r="Q293" s="335"/>
      <c r="R293" s="336"/>
      <c r="S293" s="337"/>
    </row>
    <row r="294" spans="1:21" ht="30" customHeight="1" thickBot="1" x14ac:dyDescent="0.3">
      <c r="A294" s="1180"/>
      <c r="B294" s="1181"/>
      <c r="C294" s="1181"/>
      <c r="D294" s="1181"/>
      <c r="E294" s="1181"/>
      <c r="F294" s="1181"/>
      <c r="G294" s="1181"/>
      <c r="H294" s="1181"/>
      <c r="I294" s="1181"/>
      <c r="J294" s="1181"/>
      <c r="K294" s="1181"/>
      <c r="L294" s="1182"/>
      <c r="M294" s="112"/>
      <c r="T294" s="10"/>
      <c r="U294" s="10"/>
    </row>
    <row r="295" spans="1:21" ht="30" customHeight="1" x14ac:dyDescent="0.25">
      <c r="A295" s="327" t="s">
        <v>5</v>
      </c>
      <c r="B295" s="328">
        <v>1242</v>
      </c>
      <c r="C295" s="1218" t="s">
        <v>233</v>
      </c>
      <c r="D295" s="1219"/>
      <c r="E295" s="331" t="s">
        <v>8</v>
      </c>
      <c r="F295" s="332" t="s">
        <v>214</v>
      </c>
      <c r="G295" s="342" t="s">
        <v>74</v>
      </c>
      <c r="H295" s="158">
        <v>18002</v>
      </c>
      <c r="I295" s="331" t="s">
        <v>10</v>
      </c>
      <c r="J295" s="1220" t="s">
        <v>234</v>
      </c>
      <c r="K295" s="1220"/>
      <c r="L295" s="1221"/>
      <c r="M295" s="116"/>
      <c r="N295" s="54"/>
      <c r="O295" s="344"/>
      <c r="T295" s="60"/>
      <c r="U295" s="60"/>
    </row>
    <row r="296" spans="1:21" ht="30" customHeight="1" x14ac:dyDescent="0.25">
      <c r="A296" s="356"/>
      <c r="B296" s="1191" t="s">
        <v>13</v>
      </c>
      <c r="C296" s="1192"/>
      <c r="D296" s="1193"/>
      <c r="E296" s="356" t="s">
        <v>116</v>
      </c>
      <c r="F296" s="356" t="s">
        <v>117</v>
      </c>
      <c r="G296" s="1194" t="s">
        <v>118</v>
      </c>
      <c r="H296" s="1195"/>
      <c r="I296" s="356" t="s">
        <v>119</v>
      </c>
      <c r="J296" s="356" t="s">
        <v>120</v>
      </c>
      <c r="K296" s="1236" t="s">
        <v>72</v>
      </c>
      <c r="L296" s="1237"/>
      <c r="M296" s="54"/>
      <c r="N296" s="54"/>
      <c r="O296" s="344"/>
      <c r="T296" s="60"/>
      <c r="U296" s="60"/>
    </row>
    <row r="297" spans="1:21" ht="30" customHeight="1" thickBot="1" x14ac:dyDescent="0.3">
      <c r="A297" s="360"/>
      <c r="B297" s="1179" t="s">
        <v>233</v>
      </c>
      <c r="C297" s="1179"/>
      <c r="D297" s="1179"/>
      <c r="E297" s="485">
        <v>18.66</v>
      </c>
      <c r="F297" s="1109" t="s">
        <v>214</v>
      </c>
      <c r="G297" s="1183"/>
      <c r="H297" s="1184"/>
      <c r="I297" s="486"/>
      <c r="J297" s="521">
        <v>1.0833999999999999</v>
      </c>
      <c r="K297" s="488">
        <f>E297*J297</f>
        <v>20.216244</v>
      </c>
      <c r="L297" s="1107" t="s">
        <v>214</v>
      </c>
      <c r="M297" s="54"/>
      <c r="N297" s="54"/>
      <c r="O297" s="344"/>
      <c r="T297" s="60"/>
      <c r="U297" s="60"/>
    </row>
    <row r="298" spans="1:21" ht="30" customHeight="1" thickBot="1" x14ac:dyDescent="0.3">
      <c r="A298" s="1180"/>
      <c r="B298" s="1181"/>
      <c r="C298" s="1181"/>
      <c r="D298" s="1181"/>
      <c r="E298" s="1181"/>
      <c r="F298" s="1181"/>
      <c r="G298" s="1181"/>
      <c r="H298" s="1181"/>
      <c r="I298" s="1181"/>
      <c r="J298" s="1181"/>
      <c r="K298" s="1181"/>
      <c r="L298" s="1182"/>
      <c r="M298" s="210"/>
      <c r="N298" s="54"/>
      <c r="O298" s="344"/>
      <c r="T298" s="60"/>
      <c r="U298" s="60"/>
    </row>
    <row r="299" spans="1:21" s="345" customFormat="1" ht="30" customHeight="1" x14ac:dyDescent="0.25">
      <c r="A299" s="327" t="s">
        <v>5</v>
      </c>
      <c r="B299" s="328">
        <v>1243</v>
      </c>
      <c r="C299" s="1218" t="s">
        <v>235</v>
      </c>
      <c r="D299" s="1219"/>
      <c r="E299" s="331" t="s">
        <v>8</v>
      </c>
      <c r="F299" s="332" t="s">
        <v>214</v>
      </c>
      <c r="G299" s="342" t="s">
        <v>74</v>
      </c>
      <c r="H299" s="158">
        <v>7555</v>
      </c>
      <c r="I299" s="331" t="s">
        <v>10</v>
      </c>
      <c r="J299" s="1220" t="s">
        <v>234</v>
      </c>
      <c r="K299" s="1220"/>
      <c r="L299" s="1221"/>
      <c r="M299" s="116"/>
      <c r="N299" s="54"/>
      <c r="O299" s="344"/>
      <c r="P299" s="344"/>
    </row>
    <row r="300" spans="1:21" s="345" customFormat="1" ht="30" customHeight="1" x14ac:dyDescent="0.25">
      <c r="A300" s="356"/>
      <c r="B300" s="1196" t="s">
        <v>13</v>
      </c>
      <c r="C300" s="1197"/>
      <c r="D300" s="1198"/>
      <c r="E300" s="356" t="s">
        <v>116</v>
      </c>
      <c r="F300" s="356" t="s">
        <v>117</v>
      </c>
      <c r="G300" s="1194" t="s">
        <v>118</v>
      </c>
      <c r="H300" s="1195"/>
      <c r="I300" s="356" t="s">
        <v>119</v>
      </c>
      <c r="J300" s="356" t="s">
        <v>120</v>
      </c>
      <c r="K300" s="1236" t="s">
        <v>72</v>
      </c>
      <c r="L300" s="1237"/>
      <c r="M300" s="54"/>
      <c r="N300" s="54"/>
      <c r="O300" s="543"/>
      <c r="P300" s="344"/>
    </row>
    <row r="301" spans="1:21" s="345" customFormat="1" ht="30" customHeight="1" thickBot="1" x14ac:dyDescent="0.3">
      <c r="A301" s="360"/>
      <c r="B301" s="1179" t="s">
        <v>235</v>
      </c>
      <c r="C301" s="1179"/>
      <c r="D301" s="1179"/>
      <c r="E301" s="485">
        <v>4.3899999999999997</v>
      </c>
      <c r="F301" s="1109" t="s">
        <v>214</v>
      </c>
      <c r="G301" s="1183"/>
      <c r="H301" s="1184"/>
      <c r="I301" s="486"/>
      <c r="J301" s="521">
        <v>1.0833999999999999</v>
      </c>
      <c r="K301" s="488">
        <f>E301*J301</f>
        <v>4.7561259999999992</v>
      </c>
      <c r="L301" s="1107" t="s">
        <v>214</v>
      </c>
      <c r="M301" s="54"/>
      <c r="N301" s="111"/>
      <c r="O301" s="344"/>
      <c r="P301" s="344"/>
    </row>
    <row r="302" spans="1:21" ht="30" customHeight="1" thickBot="1" x14ac:dyDescent="0.3">
      <c r="A302" s="1180"/>
      <c r="B302" s="1181"/>
      <c r="C302" s="1181"/>
      <c r="D302" s="1181"/>
      <c r="E302" s="1181"/>
      <c r="F302" s="1181"/>
      <c r="G302" s="1181"/>
      <c r="H302" s="1181"/>
      <c r="I302" s="1181"/>
      <c r="J302" s="1181"/>
      <c r="K302" s="1181"/>
      <c r="L302" s="1182"/>
      <c r="M302" s="54"/>
      <c r="N302" s="54"/>
      <c r="O302" s="544"/>
    </row>
    <row r="303" spans="1:21" ht="30" customHeight="1" x14ac:dyDescent="0.25">
      <c r="A303" s="327" t="s">
        <v>5</v>
      </c>
      <c r="B303" s="328">
        <v>1244</v>
      </c>
      <c r="C303" s="1218" t="s">
        <v>236</v>
      </c>
      <c r="D303" s="1219"/>
      <c r="E303" s="331" t="s">
        <v>8</v>
      </c>
      <c r="F303" s="332" t="s">
        <v>214</v>
      </c>
      <c r="G303" s="342" t="s">
        <v>74</v>
      </c>
      <c r="H303" s="158">
        <v>9505</v>
      </c>
      <c r="I303" s="331" t="s">
        <v>10</v>
      </c>
      <c r="J303" s="1220" t="s">
        <v>234</v>
      </c>
      <c r="K303" s="1220"/>
      <c r="L303" s="1221"/>
      <c r="M303" s="111"/>
      <c r="N303" s="54"/>
      <c r="O303" s="11"/>
    </row>
    <row r="304" spans="1:21" ht="30" customHeight="1" x14ac:dyDescent="0.25">
      <c r="A304" s="356"/>
      <c r="B304" s="1196" t="s">
        <v>13</v>
      </c>
      <c r="C304" s="1197"/>
      <c r="D304" s="1198"/>
      <c r="E304" s="356" t="s">
        <v>116</v>
      </c>
      <c r="F304" s="356" t="s">
        <v>117</v>
      </c>
      <c r="G304" s="1194" t="s">
        <v>118</v>
      </c>
      <c r="H304" s="1195"/>
      <c r="I304" s="356" t="s">
        <v>119</v>
      </c>
      <c r="J304" s="356" t="s">
        <v>120</v>
      </c>
      <c r="K304" s="1236" t="s">
        <v>72</v>
      </c>
      <c r="L304" s="1237"/>
      <c r="N304" s="54"/>
    </row>
    <row r="305" spans="1:19" ht="30" customHeight="1" thickBot="1" x14ac:dyDescent="0.3">
      <c r="A305" s="360"/>
      <c r="B305" s="1179" t="s">
        <v>237</v>
      </c>
      <c r="C305" s="1179"/>
      <c r="D305" s="1179"/>
      <c r="E305" s="485">
        <v>3.17</v>
      </c>
      <c r="F305" s="1109" t="s">
        <v>214</v>
      </c>
      <c r="G305" s="1183"/>
      <c r="H305" s="1184"/>
      <c r="I305" s="486"/>
      <c r="J305" s="521">
        <v>1.0833999999999999</v>
      </c>
      <c r="K305" s="488">
        <f>E305*J305</f>
        <v>3.4343779999999997</v>
      </c>
      <c r="L305" s="1107" t="s">
        <v>214</v>
      </c>
      <c r="M305" s="54"/>
      <c r="N305" s="54"/>
    </row>
    <row r="306" spans="1:19" ht="30" customHeight="1" thickBot="1" x14ac:dyDescent="0.3">
      <c r="A306" s="1180"/>
      <c r="B306" s="1181"/>
      <c r="C306" s="1181"/>
      <c r="D306" s="1181"/>
      <c r="E306" s="1181"/>
      <c r="F306" s="1181"/>
      <c r="G306" s="1181"/>
      <c r="H306" s="1181"/>
      <c r="I306" s="1181"/>
      <c r="J306" s="1181"/>
      <c r="K306" s="1181"/>
      <c r="L306" s="1182"/>
      <c r="M306" s="54"/>
      <c r="N306" s="54"/>
    </row>
    <row r="307" spans="1:19" ht="30" customHeight="1" x14ac:dyDescent="0.25">
      <c r="A307" s="327" t="s">
        <v>5</v>
      </c>
      <c r="B307" s="328">
        <v>1251</v>
      </c>
      <c r="C307" s="1233" t="s">
        <v>238</v>
      </c>
      <c r="D307" s="1234"/>
      <c r="E307" s="331" t="s">
        <v>8</v>
      </c>
      <c r="F307" s="341" t="s">
        <v>40</v>
      </c>
      <c r="G307" s="342" t="s">
        <v>7</v>
      </c>
      <c r="H307" s="159">
        <v>1000</v>
      </c>
      <c r="I307" s="331" t="s">
        <v>10</v>
      </c>
      <c r="J307" s="1220" t="s">
        <v>172</v>
      </c>
      <c r="K307" s="1220"/>
      <c r="L307" s="1221"/>
      <c r="M307" s="112"/>
      <c r="N307" s="54"/>
      <c r="O307" s="343"/>
    </row>
    <row r="308" spans="1:19" ht="30" customHeight="1" x14ac:dyDescent="0.25">
      <c r="A308" s="495" t="s">
        <v>12</v>
      </c>
      <c r="B308" s="1196" t="s">
        <v>13</v>
      </c>
      <c r="C308" s="1197"/>
      <c r="D308" s="1198"/>
      <c r="E308" s="490" t="s">
        <v>14</v>
      </c>
      <c r="F308" s="522" t="s">
        <v>15</v>
      </c>
      <c r="G308" s="492" t="s">
        <v>16</v>
      </c>
      <c r="H308" s="493" t="s">
        <v>17</v>
      </c>
      <c r="I308" s="493" t="s">
        <v>18</v>
      </c>
      <c r="J308" s="494" t="s">
        <v>19</v>
      </c>
      <c r="K308" s="495" t="s">
        <v>20</v>
      </c>
      <c r="L308" s="523" t="s">
        <v>75</v>
      </c>
      <c r="M308" s="54"/>
      <c r="N308" s="111"/>
      <c r="O308" s="344"/>
      <c r="P308" s="334"/>
      <c r="Q308" s="335"/>
      <c r="R308" s="336"/>
      <c r="S308" s="337"/>
    </row>
    <row r="309" spans="1:19" ht="30" customHeight="1" x14ac:dyDescent="0.25">
      <c r="A309" s="524" t="s">
        <v>239</v>
      </c>
      <c r="B309" s="1188" t="s">
        <v>240</v>
      </c>
      <c r="C309" s="1189"/>
      <c r="D309" s="1190"/>
      <c r="E309" s="525">
        <v>1000</v>
      </c>
      <c r="F309" s="526" t="s">
        <v>40</v>
      </c>
      <c r="G309" s="526">
        <v>201285.73</v>
      </c>
      <c r="H309" s="526">
        <v>69882.509999999995</v>
      </c>
      <c r="I309" s="526">
        <v>0</v>
      </c>
      <c r="J309" s="526">
        <v>155969.4</v>
      </c>
      <c r="K309" s="527">
        <v>271168.24</v>
      </c>
      <c r="L309" s="526" t="s">
        <v>25</v>
      </c>
      <c r="M309" s="54"/>
      <c r="N309" s="111"/>
      <c r="O309" s="344"/>
      <c r="P309" s="334"/>
      <c r="Q309" s="335"/>
      <c r="R309" s="336"/>
      <c r="S309" s="337"/>
    </row>
    <row r="310" spans="1:19" ht="30" customHeight="1" x14ac:dyDescent="0.25">
      <c r="A310" s="524" t="s">
        <v>154</v>
      </c>
      <c r="B310" s="1188" t="s">
        <v>155</v>
      </c>
      <c r="C310" s="1189"/>
      <c r="D310" s="1190"/>
      <c r="E310" s="525">
        <v>1000</v>
      </c>
      <c r="F310" s="526" t="s">
        <v>40</v>
      </c>
      <c r="G310" s="526">
        <v>801.87</v>
      </c>
      <c r="H310" s="526">
        <v>1296.1500000000001</v>
      </c>
      <c r="I310" s="526">
        <v>0</v>
      </c>
      <c r="J310" s="526">
        <v>1101.5</v>
      </c>
      <c r="K310" s="527">
        <v>2098.02</v>
      </c>
      <c r="L310" s="526" t="s">
        <v>25</v>
      </c>
      <c r="M310" s="54"/>
      <c r="N310" s="111"/>
      <c r="O310" s="344"/>
      <c r="P310" s="334"/>
      <c r="Q310" s="335"/>
      <c r="R310" s="336"/>
      <c r="S310" s="337"/>
    </row>
    <row r="311" spans="1:19" ht="30" customHeight="1" x14ac:dyDescent="0.25">
      <c r="A311" s="524" t="s">
        <v>156</v>
      </c>
      <c r="B311" s="1188" t="s">
        <v>157</v>
      </c>
      <c r="C311" s="1189"/>
      <c r="D311" s="1190"/>
      <c r="E311" s="525">
        <v>3</v>
      </c>
      <c r="F311" s="526" t="s">
        <v>76</v>
      </c>
      <c r="G311" s="526">
        <v>1281.3599999999999</v>
      </c>
      <c r="H311" s="526">
        <v>272.10000000000002</v>
      </c>
      <c r="I311" s="526">
        <v>0</v>
      </c>
      <c r="J311" s="526">
        <v>911.37</v>
      </c>
      <c r="K311" s="527">
        <v>1553.46</v>
      </c>
      <c r="L311" s="526" t="s">
        <v>40</v>
      </c>
      <c r="M311" s="54"/>
      <c r="N311" s="111"/>
      <c r="O311" s="344"/>
      <c r="P311" s="334"/>
      <c r="Q311" s="335"/>
      <c r="R311" s="336"/>
      <c r="S311" s="337"/>
    </row>
    <row r="312" spans="1:19" ht="30" customHeight="1" x14ac:dyDescent="0.25">
      <c r="A312" s="524" t="s">
        <v>241</v>
      </c>
      <c r="B312" s="1188" t="s">
        <v>242</v>
      </c>
      <c r="C312" s="1189"/>
      <c r="D312" s="1190"/>
      <c r="E312" s="525">
        <v>1000</v>
      </c>
      <c r="F312" s="526" t="s">
        <v>40</v>
      </c>
      <c r="G312" s="526">
        <v>14139.09</v>
      </c>
      <c r="H312" s="526">
        <v>38804.26</v>
      </c>
      <c r="I312" s="526">
        <v>0</v>
      </c>
      <c r="J312" s="526">
        <v>26947.200000000001</v>
      </c>
      <c r="K312" s="527">
        <v>52943.35</v>
      </c>
      <c r="L312" s="526" t="s">
        <v>40</v>
      </c>
      <c r="M312" s="54"/>
      <c r="N312" s="111"/>
      <c r="O312" s="344"/>
      <c r="P312" s="334"/>
      <c r="Q312" s="335"/>
      <c r="R312" s="336"/>
      <c r="S312" s="337"/>
    </row>
    <row r="313" spans="1:19" ht="30" customHeight="1" x14ac:dyDescent="0.25">
      <c r="A313" s="524" t="s">
        <v>243</v>
      </c>
      <c r="B313" s="1188" t="s">
        <v>244</v>
      </c>
      <c r="C313" s="1189"/>
      <c r="D313" s="1190"/>
      <c r="E313" s="525">
        <v>1000</v>
      </c>
      <c r="F313" s="526" t="s">
        <v>40</v>
      </c>
      <c r="G313" s="526">
        <v>2667.44</v>
      </c>
      <c r="H313" s="526">
        <v>644.15</v>
      </c>
      <c r="I313" s="526">
        <v>28.97</v>
      </c>
      <c r="J313" s="526">
        <v>1951.6</v>
      </c>
      <c r="K313" s="527">
        <v>3340.56</v>
      </c>
      <c r="L313" s="526" t="s">
        <v>76</v>
      </c>
      <c r="M313" s="54"/>
      <c r="N313" s="111"/>
      <c r="O313" s="344"/>
      <c r="P313" s="334"/>
      <c r="Q313" s="335"/>
      <c r="R313" s="336"/>
      <c r="S313" s="337"/>
    </row>
    <row r="314" spans="1:19" ht="30" customHeight="1" x14ac:dyDescent="0.25">
      <c r="A314" s="524" t="s">
        <v>245</v>
      </c>
      <c r="B314" s="1188" t="s">
        <v>246</v>
      </c>
      <c r="C314" s="1189"/>
      <c r="D314" s="1190"/>
      <c r="E314" s="525">
        <v>3</v>
      </c>
      <c r="F314" s="526" t="s">
        <v>76</v>
      </c>
      <c r="G314" s="526">
        <v>30627.4</v>
      </c>
      <c r="H314" s="526">
        <v>7322.75</v>
      </c>
      <c r="I314" s="526">
        <v>0</v>
      </c>
      <c r="J314" s="526">
        <v>22170.29</v>
      </c>
      <c r="K314" s="527">
        <v>37950.15</v>
      </c>
      <c r="L314" s="526" t="s">
        <v>76</v>
      </c>
      <c r="M314" s="54"/>
      <c r="N314" s="111"/>
      <c r="O314" s="344"/>
      <c r="P314" s="334"/>
      <c r="Q314" s="335"/>
      <c r="R314" s="336"/>
      <c r="S314" s="337"/>
    </row>
    <row r="315" spans="1:19" ht="30" customHeight="1" x14ac:dyDescent="0.25">
      <c r="A315" s="524" t="s">
        <v>247</v>
      </c>
      <c r="B315" s="1217" t="s">
        <v>248</v>
      </c>
      <c r="C315" s="1217"/>
      <c r="D315" s="1217"/>
      <c r="E315" s="525">
        <v>3</v>
      </c>
      <c r="F315" s="542" t="s">
        <v>76</v>
      </c>
      <c r="G315" s="526">
        <v>11715.07</v>
      </c>
      <c r="H315" s="526">
        <v>7785.76</v>
      </c>
      <c r="I315" s="526">
        <v>58.56</v>
      </c>
      <c r="J315" s="526">
        <v>10867.73</v>
      </c>
      <c r="K315" s="527">
        <v>19559.400000000001</v>
      </c>
      <c r="L315" s="542" t="s">
        <v>76</v>
      </c>
      <c r="M315" s="111"/>
      <c r="N315" s="54"/>
      <c r="O315" s="344"/>
      <c r="P315" s="334"/>
      <c r="Q315" s="335"/>
      <c r="R315" s="336"/>
      <c r="S315" s="337"/>
    </row>
    <row r="316" spans="1:19" ht="30" customHeight="1" x14ac:dyDescent="0.25">
      <c r="A316" s="528"/>
      <c r="B316" s="1199"/>
      <c r="C316" s="1199"/>
      <c r="D316" s="1199"/>
      <c r="E316" s="529"/>
      <c r="F316" s="529"/>
      <c r="G316" s="529"/>
      <c r="H316" s="529"/>
      <c r="I316" s="529"/>
      <c r="J316" s="530">
        <f>SUM(J309:J315)</f>
        <v>219919.09000000003</v>
      </c>
      <c r="K316" s="531">
        <f>SUM(K309:K315)</f>
        <v>388613.18000000005</v>
      </c>
      <c r="L316" s="526"/>
      <c r="M316" s="111"/>
      <c r="N316" s="54"/>
      <c r="O316" s="344"/>
      <c r="P316" s="334"/>
      <c r="Q316" s="335"/>
      <c r="R316" s="336"/>
      <c r="S316" s="337"/>
    </row>
    <row r="317" spans="1:19" ht="30" customHeight="1" thickBot="1" x14ac:dyDescent="0.3">
      <c r="A317" s="532"/>
      <c r="B317" s="1200"/>
      <c r="C317" s="1200"/>
      <c r="D317" s="1200"/>
      <c r="E317" s="533"/>
      <c r="F317" s="534"/>
      <c r="G317" s="1201"/>
      <c r="H317" s="1202"/>
      <c r="I317" s="534"/>
      <c r="J317" s="535" t="s">
        <v>72</v>
      </c>
      <c r="K317" s="536">
        <f>K316/H307</f>
        <v>388.61318000000006</v>
      </c>
      <c r="L317" s="341" t="s">
        <v>40</v>
      </c>
      <c r="M317" s="54"/>
      <c r="N317" s="54"/>
      <c r="P317" s="334"/>
      <c r="Q317" s="335"/>
      <c r="R317" s="336"/>
      <c r="S317" s="337"/>
    </row>
    <row r="318" spans="1:19" ht="30" customHeight="1" thickBot="1" x14ac:dyDescent="0.3">
      <c r="A318" s="1180"/>
      <c r="B318" s="1181"/>
      <c r="C318" s="1181"/>
      <c r="D318" s="1181"/>
      <c r="E318" s="1181"/>
      <c r="F318" s="1181"/>
      <c r="G318" s="1181"/>
      <c r="H318" s="1181"/>
      <c r="I318" s="1181"/>
      <c r="J318" s="1181"/>
      <c r="K318" s="1181"/>
      <c r="L318" s="1182"/>
      <c r="M318" s="54"/>
      <c r="N318" s="54"/>
    </row>
    <row r="319" spans="1:19" ht="30" customHeight="1" x14ac:dyDescent="0.25">
      <c r="A319" s="327" t="s">
        <v>5</v>
      </c>
      <c r="B319" s="328">
        <v>1252</v>
      </c>
      <c r="C319" s="1218" t="s">
        <v>249</v>
      </c>
      <c r="D319" s="1219"/>
      <c r="E319" s="331" t="s">
        <v>8</v>
      </c>
      <c r="F319" s="332" t="s">
        <v>40</v>
      </c>
      <c r="G319" s="342" t="s">
        <v>74</v>
      </c>
      <c r="H319" s="158">
        <v>3999</v>
      </c>
      <c r="I319" s="331" t="s">
        <v>10</v>
      </c>
      <c r="J319" s="1253" t="s">
        <v>250</v>
      </c>
      <c r="K319" s="1254"/>
      <c r="L319" s="1255"/>
      <c r="M319" s="112"/>
      <c r="N319" s="54"/>
    </row>
    <row r="320" spans="1:19" ht="30" customHeight="1" x14ac:dyDescent="0.25">
      <c r="A320" s="356"/>
      <c r="B320" s="1196" t="s">
        <v>13</v>
      </c>
      <c r="C320" s="1197"/>
      <c r="D320" s="1198"/>
      <c r="E320" s="356" t="s">
        <v>116</v>
      </c>
      <c r="F320" s="356" t="s">
        <v>117</v>
      </c>
      <c r="G320" s="1194" t="s">
        <v>118</v>
      </c>
      <c r="H320" s="1195"/>
      <c r="I320" s="356" t="s">
        <v>119</v>
      </c>
      <c r="J320" s="356" t="s">
        <v>120</v>
      </c>
      <c r="K320" s="1236" t="s">
        <v>72</v>
      </c>
      <c r="L320" s="1237"/>
      <c r="M320" s="54"/>
      <c r="N320" s="54"/>
    </row>
    <row r="321" spans="1:21" ht="30" customHeight="1" thickBot="1" x14ac:dyDescent="0.3">
      <c r="A321" s="360"/>
      <c r="B321" s="1179" t="s">
        <v>249</v>
      </c>
      <c r="C321" s="1179"/>
      <c r="D321" s="1179"/>
      <c r="E321" s="363">
        <v>185.14</v>
      </c>
      <c r="F321" s="486"/>
      <c r="G321" s="1183"/>
      <c r="H321" s="1184"/>
      <c r="I321" s="486"/>
      <c r="J321" s="521">
        <v>1.0833999999999999</v>
      </c>
      <c r="K321" s="488">
        <f>E321*J321</f>
        <v>200.58067599999998</v>
      </c>
      <c r="L321" s="1107" t="s">
        <v>40</v>
      </c>
      <c r="M321" s="54"/>
      <c r="N321" s="54"/>
    </row>
    <row r="322" spans="1:21" ht="30" customHeight="1" thickBot="1" x14ac:dyDescent="0.3">
      <c r="A322" s="1180"/>
      <c r="B322" s="1181"/>
      <c r="C322" s="1181"/>
      <c r="D322" s="1181"/>
      <c r="E322" s="1181"/>
      <c r="F322" s="1181"/>
      <c r="G322" s="1181"/>
      <c r="H322" s="1181"/>
      <c r="I322" s="1181"/>
      <c r="J322" s="1181"/>
      <c r="K322" s="1181"/>
      <c r="L322" s="1182"/>
      <c r="M322" s="54"/>
      <c r="N322" s="54"/>
    </row>
    <row r="323" spans="1:21" ht="30" customHeight="1" x14ac:dyDescent="0.25">
      <c r="A323" s="327" t="s">
        <v>5</v>
      </c>
      <c r="B323" s="328">
        <v>1261</v>
      </c>
      <c r="C323" s="1251" t="s">
        <v>251</v>
      </c>
      <c r="D323" s="1252"/>
      <c r="E323" s="331" t="s">
        <v>8</v>
      </c>
      <c r="F323" s="341" t="s">
        <v>147</v>
      </c>
      <c r="G323" s="342" t="s">
        <v>7</v>
      </c>
      <c r="H323" s="325">
        <v>4</v>
      </c>
      <c r="I323" s="331" t="s">
        <v>10</v>
      </c>
      <c r="J323" s="1253" t="s">
        <v>172</v>
      </c>
      <c r="K323" s="1254"/>
      <c r="L323" s="1255"/>
      <c r="M323" s="112"/>
      <c r="T323" s="10"/>
      <c r="U323" s="10"/>
    </row>
    <row r="324" spans="1:21" ht="30" customHeight="1" x14ac:dyDescent="0.25">
      <c r="A324" s="495" t="s">
        <v>12</v>
      </c>
      <c r="B324" s="1196" t="s">
        <v>13</v>
      </c>
      <c r="C324" s="1197"/>
      <c r="D324" s="1198"/>
      <c r="E324" s="490" t="s">
        <v>14</v>
      </c>
      <c r="F324" s="522" t="s">
        <v>15</v>
      </c>
      <c r="G324" s="492" t="s">
        <v>16</v>
      </c>
      <c r="H324" s="493" t="s">
        <v>17</v>
      </c>
      <c r="I324" s="493" t="s">
        <v>18</v>
      </c>
      <c r="J324" s="494" t="s">
        <v>19</v>
      </c>
      <c r="K324" s="495" t="s">
        <v>20</v>
      </c>
      <c r="L324" s="523" t="s">
        <v>75</v>
      </c>
      <c r="M324" s="54"/>
      <c r="N324" s="111"/>
      <c r="O324" s="344"/>
      <c r="P324" s="334"/>
      <c r="Q324" s="335"/>
      <c r="R324" s="336"/>
      <c r="S324" s="337"/>
    </row>
    <row r="325" spans="1:21" ht="30" customHeight="1" x14ac:dyDescent="0.25">
      <c r="A325" s="524" t="s">
        <v>252</v>
      </c>
      <c r="B325" s="1188" t="s">
        <v>253</v>
      </c>
      <c r="C325" s="1189"/>
      <c r="D325" s="1190"/>
      <c r="E325" s="525">
        <v>1600</v>
      </c>
      <c r="F325" s="526" t="s">
        <v>205</v>
      </c>
      <c r="G325" s="526">
        <v>36796.03</v>
      </c>
      <c r="H325" s="526">
        <v>15325.76</v>
      </c>
      <c r="I325" s="526">
        <v>4322.47</v>
      </c>
      <c r="J325" s="526">
        <v>32413.9</v>
      </c>
      <c r="K325" s="527">
        <v>56444.26</v>
      </c>
      <c r="L325" s="526" t="s">
        <v>25</v>
      </c>
      <c r="M325" s="54"/>
      <c r="N325" s="111"/>
      <c r="O325" s="344"/>
      <c r="P325" s="334"/>
      <c r="Q325" s="335"/>
      <c r="R325" s="336"/>
      <c r="S325" s="337"/>
    </row>
    <row r="326" spans="1:21" ht="30" customHeight="1" x14ac:dyDescent="0.25">
      <c r="A326" s="524" t="s">
        <v>254</v>
      </c>
      <c r="B326" s="1188" t="s">
        <v>255</v>
      </c>
      <c r="C326" s="1189"/>
      <c r="D326" s="1190"/>
      <c r="E326" s="525">
        <v>4</v>
      </c>
      <c r="F326" s="526" t="s">
        <v>76</v>
      </c>
      <c r="G326" s="526">
        <v>87118.87</v>
      </c>
      <c r="H326" s="526">
        <v>7882.48</v>
      </c>
      <c r="I326" s="526">
        <v>560.5</v>
      </c>
      <c r="J326" s="526">
        <v>57398.34</v>
      </c>
      <c r="K326" s="527">
        <v>95561.85</v>
      </c>
      <c r="L326" s="526" t="s">
        <v>25</v>
      </c>
      <c r="M326" s="54"/>
      <c r="N326" s="111"/>
      <c r="O326" s="344"/>
      <c r="P326" s="334"/>
      <c r="Q326" s="335"/>
      <c r="R326" s="336"/>
      <c r="S326" s="337"/>
    </row>
    <row r="327" spans="1:21" ht="30" customHeight="1" x14ac:dyDescent="0.25">
      <c r="A327" s="524" t="s">
        <v>256</v>
      </c>
      <c r="B327" s="1188" t="s">
        <v>257</v>
      </c>
      <c r="C327" s="1189"/>
      <c r="D327" s="1190"/>
      <c r="E327" s="525">
        <v>4</v>
      </c>
      <c r="F327" s="526" t="s">
        <v>76</v>
      </c>
      <c r="G327" s="526">
        <v>26847.85</v>
      </c>
      <c r="H327" s="526">
        <v>3149.85</v>
      </c>
      <c r="I327" s="526">
        <v>0</v>
      </c>
      <c r="J327" s="526">
        <v>17923.59</v>
      </c>
      <c r="K327" s="527">
        <v>29997.7</v>
      </c>
      <c r="L327" s="526" t="s">
        <v>40</v>
      </c>
      <c r="M327" s="54"/>
      <c r="N327" s="111"/>
      <c r="O327" s="344"/>
      <c r="P327" s="334"/>
      <c r="Q327" s="335"/>
      <c r="R327" s="336"/>
      <c r="S327" s="337"/>
    </row>
    <row r="328" spans="1:21" ht="30" customHeight="1" x14ac:dyDescent="0.25">
      <c r="A328" s="524" t="s">
        <v>258</v>
      </c>
      <c r="B328" s="1188" t="s">
        <v>259</v>
      </c>
      <c r="C328" s="1189"/>
      <c r="D328" s="1190"/>
      <c r="E328" s="525">
        <v>4</v>
      </c>
      <c r="F328" s="526" t="s">
        <v>76</v>
      </c>
      <c r="G328" s="526">
        <v>53695.71</v>
      </c>
      <c r="H328" s="526">
        <v>11505.89</v>
      </c>
      <c r="I328" s="526">
        <v>2802.48</v>
      </c>
      <c r="J328" s="526">
        <v>40023.25</v>
      </c>
      <c r="K328" s="527">
        <v>68004.08</v>
      </c>
      <c r="L328" s="526" t="s">
        <v>40</v>
      </c>
      <c r="M328" s="54"/>
      <c r="N328" s="111"/>
      <c r="O328" s="344"/>
      <c r="P328" s="334"/>
      <c r="Q328" s="335"/>
      <c r="R328" s="336"/>
      <c r="S328" s="337"/>
    </row>
    <row r="329" spans="1:21" ht="30" customHeight="1" x14ac:dyDescent="0.25">
      <c r="A329" s="524" t="s">
        <v>260</v>
      </c>
      <c r="B329" s="1188" t="s">
        <v>261</v>
      </c>
      <c r="C329" s="1189"/>
      <c r="D329" s="1190"/>
      <c r="E329" s="525">
        <v>4</v>
      </c>
      <c r="F329" s="526" t="s">
        <v>76</v>
      </c>
      <c r="G329" s="526">
        <v>49515.8</v>
      </c>
      <c r="H329" s="526">
        <v>12081.18</v>
      </c>
      <c r="I329" s="526">
        <v>2942.61</v>
      </c>
      <c r="J329" s="526">
        <v>37822.19</v>
      </c>
      <c r="K329" s="527">
        <v>64539.59</v>
      </c>
      <c r="L329" s="526" t="s">
        <v>76</v>
      </c>
      <c r="M329" s="54"/>
      <c r="N329" s="111"/>
      <c r="O329" s="344"/>
      <c r="P329" s="334"/>
      <c r="Q329" s="335"/>
      <c r="R329" s="336"/>
      <c r="S329" s="337"/>
    </row>
    <row r="330" spans="1:21" ht="30" customHeight="1" x14ac:dyDescent="0.25">
      <c r="A330" s="524" t="s">
        <v>262</v>
      </c>
      <c r="B330" s="1188" t="s">
        <v>263</v>
      </c>
      <c r="C330" s="1189"/>
      <c r="D330" s="1190"/>
      <c r="E330" s="525">
        <v>4</v>
      </c>
      <c r="F330" s="526" t="s">
        <v>76</v>
      </c>
      <c r="G330" s="526">
        <v>1298.99</v>
      </c>
      <c r="H330" s="526">
        <v>1309.42</v>
      </c>
      <c r="I330" s="526">
        <v>0</v>
      </c>
      <c r="J330" s="526">
        <v>1414.03</v>
      </c>
      <c r="K330" s="527">
        <v>2608.4</v>
      </c>
      <c r="L330" s="526" t="s">
        <v>76</v>
      </c>
      <c r="M330" s="54"/>
      <c r="N330" s="111"/>
      <c r="O330" s="344"/>
      <c r="P330" s="334"/>
      <c r="Q330" s="335"/>
      <c r="R330" s="336"/>
      <c r="S330" s="337"/>
    </row>
    <row r="331" spans="1:21" ht="30" customHeight="1" x14ac:dyDescent="0.25">
      <c r="A331" s="524" t="s">
        <v>264</v>
      </c>
      <c r="B331" s="1217" t="s">
        <v>265</v>
      </c>
      <c r="C331" s="1217"/>
      <c r="D331" s="1217"/>
      <c r="E331" s="525">
        <v>4</v>
      </c>
      <c r="F331" s="542" t="s">
        <v>76</v>
      </c>
      <c r="G331" s="526">
        <v>67219.31</v>
      </c>
      <c r="H331" s="526">
        <v>19159.98</v>
      </c>
      <c r="I331" s="526">
        <v>923.34</v>
      </c>
      <c r="J331" s="526">
        <v>50768.85</v>
      </c>
      <c r="K331" s="527">
        <v>87302.63</v>
      </c>
      <c r="L331" s="542" t="s">
        <v>76</v>
      </c>
      <c r="M331" s="111"/>
      <c r="N331" s="54"/>
      <c r="O331" s="344"/>
      <c r="P331" s="334"/>
      <c r="Q331" s="335"/>
      <c r="R331" s="336"/>
      <c r="S331" s="337"/>
    </row>
    <row r="332" spans="1:21" ht="30" customHeight="1" x14ac:dyDescent="0.25">
      <c r="A332" s="528"/>
      <c r="B332" s="1199"/>
      <c r="C332" s="1199"/>
      <c r="D332" s="1199"/>
      <c r="E332" s="529"/>
      <c r="F332" s="529"/>
      <c r="G332" s="529"/>
      <c r="H332" s="529"/>
      <c r="I332" s="529"/>
      <c r="J332" s="530">
        <f>SUM(J325:J331)</f>
        <v>237764.15</v>
      </c>
      <c r="K332" s="531">
        <f>SUM(K325:K331)</f>
        <v>404458.51</v>
      </c>
      <c r="L332" s="526"/>
      <c r="M332" s="111"/>
      <c r="N332" s="54"/>
      <c r="O332" s="344"/>
      <c r="P332" s="334"/>
      <c r="Q332" s="335"/>
      <c r="R332" s="336"/>
      <c r="S332" s="337"/>
    </row>
    <row r="333" spans="1:21" ht="30" customHeight="1" thickBot="1" x14ac:dyDescent="0.3">
      <c r="A333" s="532"/>
      <c r="B333" s="1200"/>
      <c r="C333" s="1200"/>
      <c r="D333" s="1200"/>
      <c r="E333" s="533"/>
      <c r="F333" s="534"/>
      <c r="G333" s="1201"/>
      <c r="H333" s="1202"/>
      <c r="I333" s="534"/>
      <c r="J333" s="535" t="s">
        <v>72</v>
      </c>
      <c r="K333" s="536">
        <f>K332/H323</f>
        <v>101114.6275</v>
      </c>
      <c r="L333" s="341" t="s">
        <v>147</v>
      </c>
      <c r="M333" s="54"/>
      <c r="N333" s="54"/>
      <c r="P333" s="334"/>
      <c r="Q333" s="335"/>
      <c r="R333" s="336"/>
      <c r="S333" s="337"/>
    </row>
    <row r="334" spans="1:21" ht="30" customHeight="1" thickBot="1" x14ac:dyDescent="0.3">
      <c r="A334" s="1180"/>
      <c r="B334" s="1181"/>
      <c r="C334" s="1181"/>
      <c r="D334" s="1181"/>
      <c r="E334" s="1181"/>
      <c r="F334" s="1181"/>
      <c r="G334" s="1181"/>
      <c r="H334" s="1181"/>
      <c r="I334" s="1181"/>
      <c r="J334" s="1181"/>
      <c r="K334" s="1181"/>
      <c r="L334" s="1182"/>
      <c r="M334" s="54"/>
      <c r="N334" s="54"/>
    </row>
    <row r="335" spans="1:21" ht="30" customHeight="1" x14ac:dyDescent="0.25">
      <c r="A335" s="327" t="s">
        <v>5</v>
      </c>
      <c r="B335" s="328">
        <v>1262</v>
      </c>
      <c r="C335" s="1251" t="s">
        <v>266</v>
      </c>
      <c r="D335" s="1252"/>
      <c r="E335" s="331" t="s">
        <v>8</v>
      </c>
      <c r="F335" s="332" t="s">
        <v>267</v>
      </c>
      <c r="G335" s="338" t="s">
        <v>7</v>
      </c>
      <c r="H335" s="159">
        <v>2400</v>
      </c>
      <c r="I335" s="331" t="s">
        <v>10</v>
      </c>
      <c r="J335" s="1253" t="s">
        <v>172</v>
      </c>
      <c r="K335" s="1254"/>
      <c r="L335" s="1255"/>
      <c r="M335" s="112"/>
      <c r="N335" s="54"/>
    </row>
    <row r="336" spans="1:21" ht="30" customHeight="1" x14ac:dyDescent="0.25">
      <c r="A336" s="495" t="s">
        <v>12</v>
      </c>
      <c r="B336" s="1196" t="s">
        <v>13</v>
      </c>
      <c r="C336" s="1197"/>
      <c r="D336" s="1198"/>
      <c r="E336" s="490" t="s">
        <v>14</v>
      </c>
      <c r="F336" s="522" t="s">
        <v>15</v>
      </c>
      <c r="G336" s="492" t="s">
        <v>16</v>
      </c>
      <c r="H336" s="493" t="s">
        <v>17</v>
      </c>
      <c r="I336" s="493" t="s">
        <v>18</v>
      </c>
      <c r="J336" s="494" t="s">
        <v>19</v>
      </c>
      <c r="K336" s="495" t="s">
        <v>20</v>
      </c>
      <c r="L336" s="523" t="s">
        <v>75</v>
      </c>
      <c r="M336" s="54"/>
      <c r="N336" s="111"/>
      <c r="O336" s="344"/>
      <c r="P336" s="334"/>
      <c r="Q336" s="335"/>
      <c r="R336" s="336"/>
      <c r="S336" s="337"/>
    </row>
    <row r="337" spans="1:19" ht="30" customHeight="1" x14ac:dyDescent="0.25">
      <c r="A337" s="524" t="s">
        <v>268</v>
      </c>
      <c r="B337" s="1188" t="s">
        <v>269</v>
      </c>
      <c r="C337" s="1189"/>
      <c r="D337" s="1190"/>
      <c r="E337" s="525">
        <v>2</v>
      </c>
      <c r="F337" s="526" t="s">
        <v>76</v>
      </c>
      <c r="G337" s="526">
        <v>133627.32</v>
      </c>
      <c r="H337" s="526">
        <v>13074.34</v>
      </c>
      <c r="I337" s="526">
        <v>1559.78</v>
      </c>
      <c r="J337" s="526">
        <v>88933.96</v>
      </c>
      <c r="K337" s="527">
        <v>148261.44</v>
      </c>
      <c r="L337" s="526" t="s">
        <v>25</v>
      </c>
      <c r="M337" s="54"/>
      <c r="N337" s="111"/>
      <c r="O337" s="344"/>
      <c r="P337" s="334"/>
      <c r="Q337" s="335"/>
      <c r="R337" s="336"/>
      <c r="S337" s="337"/>
    </row>
    <row r="338" spans="1:19" ht="30" customHeight="1" x14ac:dyDescent="0.25">
      <c r="A338" s="524" t="s">
        <v>270</v>
      </c>
      <c r="B338" s="1188" t="s">
        <v>271</v>
      </c>
      <c r="C338" s="1189"/>
      <c r="D338" s="1190"/>
      <c r="E338" s="525">
        <v>4</v>
      </c>
      <c r="F338" s="526" t="s">
        <v>76</v>
      </c>
      <c r="G338" s="526">
        <v>2123661.54</v>
      </c>
      <c r="H338" s="526">
        <v>54439.09</v>
      </c>
      <c r="I338" s="526">
        <v>0</v>
      </c>
      <c r="J338" s="526">
        <v>1325728.79</v>
      </c>
      <c r="K338" s="527">
        <v>2178100</v>
      </c>
      <c r="L338" s="526" t="s">
        <v>25</v>
      </c>
      <c r="M338" s="54"/>
      <c r="N338" s="111"/>
      <c r="O338" s="344"/>
      <c r="P338" s="334"/>
      <c r="Q338" s="335"/>
      <c r="R338" s="336"/>
      <c r="S338" s="337"/>
    </row>
    <row r="339" spans="1:19" ht="30" customHeight="1" x14ac:dyDescent="0.25">
      <c r="A339" s="524" t="s">
        <v>272</v>
      </c>
      <c r="B339" s="1188" t="s">
        <v>273</v>
      </c>
      <c r="C339" s="1189"/>
      <c r="D339" s="1190"/>
      <c r="E339" s="525">
        <v>1</v>
      </c>
      <c r="F339" s="526" t="s">
        <v>76</v>
      </c>
      <c r="G339" s="526">
        <v>326717.15999999997</v>
      </c>
      <c r="H339" s="526">
        <v>91720.77</v>
      </c>
      <c r="I339" s="526">
        <v>16976.14</v>
      </c>
      <c r="J339" s="526">
        <v>253740.65</v>
      </c>
      <c r="K339" s="527">
        <v>435414.07</v>
      </c>
      <c r="L339" s="526" t="s">
        <v>40</v>
      </c>
      <c r="M339" s="54"/>
      <c r="N339" s="111"/>
      <c r="O339" s="344"/>
      <c r="P339" s="334"/>
      <c r="Q339" s="335"/>
      <c r="R339" s="336"/>
      <c r="S339" s="337"/>
    </row>
    <row r="340" spans="1:19" ht="30" customHeight="1" x14ac:dyDescent="0.25">
      <c r="A340" s="524" t="s">
        <v>274</v>
      </c>
      <c r="B340" s="1188" t="s">
        <v>275</v>
      </c>
      <c r="C340" s="1189"/>
      <c r="D340" s="1190"/>
      <c r="E340" s="525">
        <v>1</v>
      </c>
      <c r="F340" s="526" t="s">
        <v>76</v>
      </c>
      <c r="G340" s="526">
        <v>125.79</v>
      </c>
      <c r="H340" s="526">
        <v>116.41</v>
      </c>
      <c r="I340" s="526">
        <v>0</v>
      </c>
      <c r="J340" s="526">
        <v>132.02000000000001</v>
      </c>
      <c r="K340" s="527">
        <v>242.2</v>
      </c>
      <c r="L340" s="526" t="s">
        <v>40</v>
      </c>
      <c r="M340" s="54"/>
      <c r="N340" s="111"/>
      <c r="O340" s="344"/>
      <c r="P340" s="334"/>
      <c r="Q340" s="335"/>
      <c r="R340" s="336"/>
      <c r="S340" s="337"/>
    </row>
    <row r="341" spans="1:19" ht="30" customHeight="1" x14ac:dyDescent="0.25">
      <c r="A341" s="524" t="s">
        <v>276</v>
      </c>
      <c r="B341" s="1188" t="s">
        <v>277</v>
      </c>
      <c r="C341" s="1189"/>
      <c r="D341" s="1190"/>
      <c r="E341" s="525">
        <v>4</v>
      </c>
      <c r="F341" s="526" t="s">
        <v>76</v>
      </c>
      <c r="G341" s="526">
        <v>104059.42</v>
      </c>
      <c r="H341" s="526">
        <v>6796.5</v>
      </c>
      <c r="I341" s="526">
        <v>0</v>
      </c>
      <c r="J341" s="526">
        <v>66912.13</v>
      </c>
      <c r="K341" s="527">
        <v>110855.91</v>
      </c>
      <c r="L341" s="526" t="s">
        <v>76</v>
      </c>
      <c r="M341" s="54"/>
      <c r="N341" s="111"/>
      <c r="O341" s="344"/>
      <c r="P341" s="334"/>
      <c r="Q341" s="335"/>
      <c r="R341" s="336"/>
      <c r="S341" s="337"/>
    </row>
    <row r="342" spans="1:19" ht="30" customHeight="1" x14ac:dyDescent="0.25">
      <c r="A342" s="524" t="s">
        <v>278</v>
      </c>
      <c r="B342" s="1188" t="s">
        <v>279</v>
      </c>
      <c r="C342" s="1189"/>
      <c r="D342" s="1190"/>
      <c r="E342" s="525">
        <v>1</v>
      </c>
      <c r="F342" s="526" t="s">
        <v>76</v>
      </c>
      <c r="G342" s="526">
        <v>61542.73</v>
      </c>
      <c r="H342" s="526">
        <v>0</v>
      </c>
      <c r="I342" s="526">
        <v>0</v>
      </c>
      <c r="J342" s="526">
        <v>37673.4</v>
      </c>
      <c r="K342" s="527">
        <v>61542.73</v>
      </c>
      <c r="L342" s="526" t="s">
        <v>76</v>
      </c>
      <c r="M342" s="54"/>
      <c r="N342" s="111"/>
      <c r="O342" s="344"/>
      <c r="P342" s="334"/>
      <c r="Q342" s="335"/>
      <c r="R342" s="336"/>
      <c r="S342" s="337"/>
    </row>
    <row r="343" spans="1:19" ht="30" customHeight="1" x14ac:dyDescent="0.25">
      <c r="A343" s="528"/>
      <c r="B343" s="1199"/>
      <c r="C343" s="1199"/>
      <c r="D343" s="1199"/>
      <c r="E343" s="529"/>
      <c r="F343" s="529"/>
      <c r="G343" s="529"/>
      <c r="H343" s="529"/>
      <c r="I343" s="529"/>
      <c r="J343" s="530">
        <f>SUM(J337:J342)</f>
        <v>1773120.9499999997</v>
      </c>
      <c r="K343" s="531">
        <f>SUM(K337:K342)</f>
        <v>2934416.35</v>
      </c>
      <c r="L343" s="545" t="s">
        <v>3367</v>
      </c>
      <c r="M343" s="111"/>
      <c r="N343" s="54"/>
      <c r="O343" s="344"/>
      <c r="P343" s="334"/>
      <c r="Q343" s="335"/>
      <c r="R343" s="336"/>
      <c r="S343" s="337"/>
    </row>
    <row r="344" spans="1:19" ht="30" customHeight="1" thickBot="1" x14ac:dyDescent="0.3">
      <c r="A344" s="532"/>
      <c r="B344" s="1200"/>
      <c r="C344" s="1200"/>
      <c r="D344" s="1200"/>
      <c r="E344" s="533"/>
      <c r="F344" s="534"/>
      <c r="G344" s="1201"/>
      <c r="H344" s="1202"/>
      <c r="I344" s="534"/>
      <c r="J344" s="535" t="s">
        <v>72</v>
      </c>
      <c r="K344" s="536">
        <f>K343/H335</f>
        <v>1222.6734791666668</v>
      </c>
      <c r="L344" s="526" t="s">
        <v>267</v>
      </c>
      <c r="M344" s="54"/>
      <c r="N344" s="54"/>
      <c r="P344" s="334"/>
      <c r="Q344" s="335"/>
      <c r="R344" s="336"/>
      <c r="S344" s="337"/>
    </row>
    <row r="345" spans="1:19" ht="30" customHeight="1" thickBot="1" x14ac:dyDescent="0.3">
      <c r="A345" s="1180"/>
      <c r="B345" s="1181"/>
      <c r="C345" s="1181"/>
      <c r="D345" s="1181"/>
      <c r="E345" s="1181"/>
      <c r="F345" s="1181"/>
      <c r="G345" s="1181"/>
      <c r="H345" s="1181"/>
      <c r="I345" s="1181"/>
      <c r="J345" s="1181"/>
      <c r="K345" s="1181"/>
      <c r="L345" s="1182"/>
      <c r="M345" s="54"/>
      <c r="N345" s="54"/>
      <c r="O345" s="336"/>
      <c r="P345" s="334"/>
      <c r="Q345" s="335"/>
      <c r="R345" s="336"/>
      <c r="S345" s="337"/>
    </row>
    <row r="346" spans="1:19" ht="30" customHeight="1" x14ac:dyDescent="0.25">
      <c r="A346" s="327" t="s">
        <v>5</v>
      </c>
      <c r="B346" s="328">
        <v>1311</v>
      </c>
      <c r="C346" s="1218" t="s">
        <v>280</v>
      </c>
      <c r="D346" s="1219"/>
      <c r="E346" s="331" t="s">
        <v>8</v>
      </c>
      <c r="F346" s="332" t="s">
        <v>205</v>
      </c>
      <c r="G346" s="342" t="s">
        <v>74</v>
      </c>
      <c r="H346" s="325">
        <v>4821</v>
      </c>
      <c r="I346" s="331" t="s">
        <v>10</v>
      </c>
      <c r="J346" s="1253" t="s">
        <v>281</v>
      </c>
      <c r="K346" s="1254"/>
      <c r="L346" s="1255"/>
      <c r="M346" s="54"/>
      <c r="N346" s="54"/>
      <c r="O346" s="336"/>
      <c r="P346" s="334"/>
      <c r="Q346" s="335"/>
      <c r="R346" s="336"/>
      <c r="S346" s="337"/>
    </row>
    <row r="347" spans="1:19" ht="30" customHeight="1" x14ac:dyDescent="0.25">
      <c r="A347" s="356" t="s">
        <v>282</v>
      </c>
      <c r="B347" s="1163" t="s">
        <v>13</v>
      </c>
      <c r="C347" s="1163"/>
      <c r="D347" s="1163"/>
      <c r="E347" s="357" t="s">
        <v>283</v>
      </c>
      <c r="F347" s="546" t="s">
        <v>116</v>
      </c>
      <c r="G347" s="356"/>
      <c r="H347" s="356"/>
      <c r="I347" s="1276" t="s">
        <v>284</v>
      </c>
      <c r="J347" s="1277"/>
      <c r="K347" s="1236" t="s">
        <v>285</v>
      </c>
      <c r="L347" s="1237"/>
      <c r="M347" s="54"/>
      <c r="N347" s="54"/>
      <c r="O347" s="336"/>
      <c r="P347" s="334"/>
      <c r="Q347" s="335"/>
      <c r="R347" s="336"/>
      <c r="S347" s="337"/>
    </row>
    <row r="348" spans="1:19" ht="30" customHeight="1" x14ac:dyDescent="0.25">
      <c r="A348" s="367" t="s">
        <v>286</v>
      </c>
      <c r="B348" s="1164" t="s">
        <v>287</v>
      </c>
      <c r="C348" s="1164"/>
      <c r="D348" s="1164"/>
      <c r="E348" s="547">
        <v>57000</v>
      </c>
      <c r="F348" s="240">
        <v>489</v>
      </c>
      <c r="G348" s="548"/>
      <c r="H348" s="549"/>
      <c r="I348" s="1302" t="s">
        <v>288</v>
      </c>
      <c r="J348" s="1303"/>
      <c r="K348" s="240">
        <f>F348</f>
        <v>489</v>
      </c>
      <c r="L348" s="367" t="s">
        <v>205</v>
      </c>
      <c r="M348" s="54"/>
      <c r="N348" s="54"/>
      <c r="O348" s="336"/>
      <c r="P348" s="334"/>
      <c r="Q348" s="335"/>
      <c r="R348" s="336"/>
      <c r="S348" s="337"/>
    </row>
    <row r="349" spans="1:19" ht="30" customHeight="1" thickBot="1" x14ac:dyDescent="0.3">
      <c r="A349" s="365"/>
      <c r="B349" s="1281"/>
      <c r="C349" s="1281"/>
      <c r="D349" s="1281"/>
      <c r="E349" s="550"/>
      <c r="F349" s="551"/>
      <c r="G349" s="551"/>
      <c r="H349" s="552"/>
      <c r="I349" s="366"/>
      <c r="J349" s="553" t="s">
        <v>72</v>
      </c>
      <c r="K349" s="240">
        <f>F348</f>
        <v>489</v>
      </c>
      <c r="L349" s="365" t="s">
        <v>205</v>
      </c>
      <c r="M349" s="54"/>
      <c r="N349" s="54"/>
      <c r="O349" s="336"/>
      <c r="P349" s="334"/>
      <c r="Q349" s="335"/>
      <c r="R349" s="336"/>
      <c r="S349" s="337"/>
    </row>
    <row r="350" spans="1:19" ht="30" customHeight="1" thickBot="1" x14ac:dyDescent="0.3">
      <c r="A350" s="1180"/>
      <c r="B350" s="1181"/>
      <c r="C350" s="1181"/>
      <c r="D350" s="1181"/>
      <c r="E350" s="1181"/>
      <c r="F350" s="1181"/>
      <c r="G350" s="1181"/>
      <c r="H350" s="1181"/>
      <c r="I350" s="1181"/>
      <c r="J350" s="1181"/>
      <c r="K350" s="1181"/>
      <c r="L350" s="1182"/>
      <c r="M350" s="54"/>
      <c r="N350" s="54"/>
      <c r="O350" s="336"/>
      <c r="P350" s="334"/>
      <c r="Q350" s="335"/>
      <c r="R350" s="336"/>
      <c r="S350" s="337"/>
    </row>
    <row r="351" spans="1:19" ht="30" customHeight="1" x14ac:dyDescent="0.25">
      <c r="A351" s="327" t="s">
        <v>5</v>
      </c>
      <c r="B351" s="328">
        <v>1312</v>
      </c>
      <c r="C351" s="1218" t="s">
        <v>289</v>
      </c>
      <c r="D351" s="1219"/>
      <c r="E351" s="331" t="s">
        <v>8</v>
      </c>
      <c r="F351" s="332" t="s">
        <v>205</v>
      </c>
      <c r="G351" s="342" t="s">
        <v>74</v>
      </c>
      <c r="H351" s="160">
        <v>3748</v>
      </c>
      <c r="I351" s="331" t="s">
        <v>10</v>
      </c>
      <c r="J351" s="1253" t="s">
        <v>290</v>
      </c>
      <c r="K351" s="1254"/>
      <c r="L351" s="1255"/>
      <c r="M351" s="111"/>
      <c r="O351" s="336"/>
      <c r="P351" s="334"/>
      <c r="Q351" s="335"/>
      <c r="R351" s="336"/>
      <c r="S351" s="337"/>
    </row>
    <row r="352" spans="1:19" ht="30" customHeight="1" x14ac:dyDescent="0.25">
      <c r="A352" s="356" t="s">
        <v>282</v>
      </c>
      <c r="B352" s="1163" t="s">
        <v>13</v>
      </c>
      <c r="C352" s="1163"/>
      <c r="D352" s="1163"/>
      <c r="E352" s="357" t="s">
        <v>283</v>
      </c>
      <c r="F352" s="546" t="s">
        <v>116</v>
      </c>
      <c r="G352" s="356"/>
      <c r="H352" s="356"/>
      <c r="I352" s="1276" t="s">
        <v>291</v>
      </c>
      <c r="J352" s="1277"/>
      <c r="K352" s="1236" t="s">
        <v>285</v>
      </c>
      <c r="L352" s="1237"/>
      <c r="M352" s="54"/>
      <c r="N352" s="54"/>
      <c r="O352" s="336"/>
      <c r="P352" s="334"/>
      <c r="Q352" s="335"/>
      <c r="R352" s="336"/>
      <c r="S352" s="337"/>
    </row>
    <row r="353" spans="1:19" ht="30" customHeight="1" x14ac:dyDescent="0.25">
      <c r="A353" s="367">
        <v>13181</v>
      </c>
      <c r="B353" s="1164" t="s">
        <v>292</v>
      </c>
      <c r="C353" s="1164"/>
      <c r="D353" s="1164"/>
      <c r="E353" s="547">
        <v>26000</v>
      </c>
      <c r="F353" s="240">
        <v>377</v>
      </c>
      <c r="G353" s="548"/>
      <c r="H353" s="549"/>
      <c r="I353" s="1302">
        <f>+'2022 MILCON Inflation Table'!F15</f>
        <v>1.1446122264727614</v>
      </c>
      <c r="J353" s="1303"/>
      <c r="K353" s="242">
        <f>+F353*I353</f>
        <v>431.51880938023106</v>
      </c>
      <c r="L353" s="367" t="s">
        <v>205</v>
      </c>
      <c r="N353" s="54"/>
      <c r="O353" s="336"/>
      <c r="P353" s="334"/>
      <c r="Q353" s="335"/>
      <c r="R353" s="336"/>
      <c r="S353" s="337"/>
    </row>
    <row r="354" spans="1:19" ht="30" customHeight="1" thickBot="1" x14ac:dyDescent="0.3">
      <c r="A354" s="365"/>
      <c r="B354" s="1281"/>
      <c r="C354" s="1281"/>
      <c r="D354" s="1281"/>
      <c r="E354" s="1259" t="s">
        <v>293</v>
      </c>
      <c r="F354" s="1260"/>
      <c r="G354" s="1260"/>
      <c r="H354" s="1261"/>
      <c r="I354" s="366"/>
      <c r="J354" s="553" t="s">
        <v>72</v>
      </c>
      <c r="K354" s="243">
        <f>+K353</f>
        <v>431.51880938023106</v>
      </c>
      <c r="L354" s="365" t="s">
        <v>205</v>
      </c>
      <c r="M354" s="54"/>
      <c r="N354" s="54"/>
      <c r="O354" s="554"/>
      <c r="P354" s="334"/>
      <c r="Q354" s="335"/>
      <c r="R354" s="336"/>
      <c r="S354" s="337"/>
    </row>
    <row r="355" spans="1:19" ht="30" customHeight="1" thickBot="1" x14ac:dyDescent="0.3">
      <c r="A355" s="1180"/>
      <c r="B355" s="1181"/>
      <c r="C355" s="1181"/>
      <c r="D355" s="1181"/>
      <c r="E355" s="1181"/>
      <c r="F355" s="1181"/>
      <c r="G355" s="1181"/>
      <c r="H355" s="1181"/>
      <c r="I355" s="1181"/>
      <c r="J355" s="1181"/>
      <c r="K355" s="1181"/>
      <c r="L355" s="1182"/>
      <c r="M355" s="54"/>
      <c r="N355" s="54"/>
      <c r="O355" s="344"/>
      <c r="P355" s="334"/>
      <c r="Q355" s="335"/>
      <c r="R355" s="336"/>
      <c r="S355" s="337"/>
    </row>
    <row r="356" spans="1:19" ht="30" customHeight="1" x14ac:dyDescent="0.25">
      <c r="A356" s="327" t="s">
        <v>5</v>
      </c>
      <c r="B356" s="327">
        <v>1321</v>
      </c>
      <c r="C356" s="1218" t="s">
        <v>287</v>
      </c>
      <c r="D356" s="1219"/>
      <c r="E356" s="331" t="s">
        <v>8</v>
      </c>
      <c r="F356" s="332" t="s">
        <v>76</v>
      </c>
      <c r="G356" s="342" t="s">
        <v>7</v>
      </c>
      <c r="H356" s="160">
        <v>1</v>
      </c>
      <c r="I356" s="331" t="s">
        <v>10</v>
      </c>
      <c r="J356" s="1253" t="s">
        <v>294</v>
      </c>
      <c r="K356" s="1253"/>
      <c r="L356" s="1367"/>
      <c r="M356" s="111"/>
      <c r="N356" s="54"/>
      <c r="O356" s="344"/>
      <c r="P356" s="334"/>
      <c r="Q356" s="335"/>
      <c r="R356" s="336"/>
      <c r="S356" s="337"/>
    </row>
    <row r="357" spans="1:19" ht="30" customHeight="1" x14ac:dyDescent="0.25">
      <c r="A357" s="356" t="s">
        <v>295</v>
      </c>
      <c r="B357" s="1322" t="s">
        <v>13</v>
      </c>
      <c r="C357" s="1323"/>
      <c r="D357" s="1324"/>
      <c r="E357" s="546" t="s">
        <v>116</v>
      </c>
      <c r="F357" s="546" t="s">
        <v>15</v>
      </c>
      <c r="G357" s="1276"/>
      <c r="H357" s="1277"/>
      <c r="I357" s="1276" t="s">
        <v>296</v>
      </c>
      <c r="J357" s="1277"/>
      <c r="K357" s="1236" t="s">
        <v>285</v>
      </c>
      <c r="L357" s="1237"/>
      <c r="M357" s="54"/>
      <c r="N357" s="54"/>
      <c r="O357" s="336"/>
      <c r="P357" s="334"/>
      <c r="Q357" s="335"/>
      <c r="R357" s="336"/>
      <c r="S357" s="337"/>
    </row>
    <row r="358" spans="1:19" ht="30" customHeight="1" x14ac:dyDescent="0.25">
      <c r="A358" s="367" t="s">
        <v>297</v>
      </c>
      <c r="B358" s="1203" t="s">
        <v>298</v>
      </c>
      <c r="C358" s="1204"/>
      <c r="D358" s="1205"/>
      <c r="E358" s="244">
        <v>40000</v>
      </c>
      <c r="F358" s="244" t="s">
        <v>76</v>
      </c>
      <c r="G358" s="1442"/>
      <c r="H358" s="1443"/>
      <c r="I358" s="1263">
        <v>1.2</v>
      </c>
      <c r="J358" s="1264"/>
      <c r="K358" s="242">
        <f>+E358*I358</f>
        <v>48000</v>
      </c>
      <c r="L358" s="367" t="s">
        <v>76</v>
      </c>
      <c r="N358" s="54"/>
      <c r="O358" s="336"/>
      <c r="P358" s="334"/>
      <c r="Q358" s="335"/>
      <c r="R358" s="336"/>
      <c r="S358" s="337"/>
    </row>
    <row r="359" spans="1:19" ht="30" customHeight="1" x14ac:dyDescent="0.25">
      <c r="A359" s="367" t="s">
        <v>297</v>
      </c>
      <c r="B359" s="1203" t="s">
        <v>299</v>
      </c>
      <c r="C359" s="1204"/>
      <c r="D359" s="1205"/>
      <c r="E359" s="555">
        <v>15642</v>
      </c>
      <c r="F359" s="244" t="s">
        <v>76</v>
      </c>
      <c r="G359" s="331"/>
      <c r="H359" s="341"/>
      <c r="I359" s="1263">
        <v>1.2</v>
      </c>
      <c r="J359" s="1264"/>
      <c r="K359" s="242">
        <f>+E359*I359</f>
        <v>18770.399999999998</v>
      </c>
      <c r="L359" s="367" t="s">
        <v>76</v>
      </c>
      <c r="M359" s="54"/>
      <c r="N359" s="54"/>
      <c r="O359" s="336"/>
      <c r="P359" s="334"/>
      <c r="Q359" s="335"/>
      <c r="R359" s="336"/>
      <c r="S359" s="337"/>
    </row>
    <row r="360" spans="1:19" ht="30" customHeight="1" x14ac:dyDescent="0.25">
      <c r="A360" s="367"/>
      <c r="B360" s="556"/>
      <c r="C360" s="557"/>
      <c r="D360" s="558"/>
      <c r="E360" s="555"/>
      <c r="F360" s="155"/>
      <c r="G360" s="331"/>
      <c r="H360" s="341"/>
      <c r="I360" s="559"/>
      <c r="J360" s="560" t="s">
        <v>300</v>
      </c>
      <c r="K360" s="242">
        <f>AVERAGE(K358:K359)</f>
        <v>33385.199999999997</v>
      </c>
      <c r="L360" s="367"/>
      <c r="M360" s="54"/>
      <c r="N360" s="54"/>
      <c r="O360" s="554"/>
      <c r="P360" s="334"/>
      <c r="Q360" s="335"/>
      <c r="R360" s="336"/>
      <c r="S360" s="337"/>
    </row>
    <row r="361" spans="1:19" ht="30" customHeight="1" x14ac:dyDescent="0.25">
      <c r="A361" s="367" t="s">
        <v>301</v>
      </c>
      <c r="B361" s="1203" t="s">
        <v>302</v>
      </c>
      <c r="C361" s="1204"/>
      <c r="D361" s="1205"/>
      <c r="E361" s="555">
        <v>765</v>
      </c>
      <c r="F361" s="244" t="s">
        <v>76</v>
      </c>
      <c r="G361" s="331"/>
      <c r="H361" s="341"/>
      <c r="I361" s="1263">
        <v>1.2</v>
      </c>
      <c r="J361" s="1264"/>
      <c r="K361" s="242">
        <f>+E361*I361</f>
        <v>918</v>
      </c>
      <c r="L361" s="244" t="s">
        <v>76</v>
      </c>
      <c r="M361" s="54"/>
      <c r="N361" s="54"/>
      <c r="O361" s="554"/>
      <c r="Q361" s="335"/>
      <c r="R361" s="336"/>
      <c r="S361" s="337"/>
    </row>
    <row r="362" spans="1:19" ht="30" customHeight="1" x14ac:dyDescent="0.25">
      <c r="A362" s="365"/>
      <c r="B362" s="561"/>
      <c r="C362" s="562"/>
      <c r="D362" s="563"/>
      <c r="E362" s="152"/>
      <c r="F362" s="1272" t="s">
        <v>303</v>
      </c>
      <c r="G362" s="1283" t="s">
        <v>304</v>
      </c>
      <c r="H362" s="1283"/>
      <c r="I362" s="1283"/>
      <c r="J362" s="1283"/>
      <c r="K362" s="251">
        <v>1.06</v>
      </c>
      <c r="L362" s="366"/>
      <c r="M362" s="54"/>
      <c r="N362" s="54"/>
      <c r="Q362" s="335"/>
      <c r="R362" s="336"/>
      <c r="S362" s="337"/>
    </row>
    <row r="363" spans="1:19" ht="30" customHeight="1" x14ac:dyDescent="0.25">
      <c r="A363" s="365"/>
      <c r="B363" s="561"/>
      <c r="C363" s="562"/>
      <c r="D363" s="563"/>
      <c r="E363" s="152"/>
      <c r="F363" s="1273"/>
      <c r="G363" s="1284" t="s">
        <v>305</v>
      </c>
      <c r="H363" s="1284"/>
      <c r="I363" s="1284"/>
      <c r="J363" s="1284"/>
      <c r="K363" s="251">
        <v>1.06</v>
      </c>
      <c r="L363" s="366"/>
      <c r="M363" s="54"/>
      <c r="N363" s="54"/>
      <c r="P363" s="334"/>
      <c r="Q363" s="335"/>
      <c r="R363" s="336"/>
      <c r="S363" s="337"/>
    </row>
    <row r="364" spans="1:19" ht="30" customHeight="1" x14ac:dyDescent="0.25">
      <c r="A364" s="486"/>
      <c r="B364" s="1209"/>
      <c r="C364" s="1210"/>
      <c r="D364" s="1211"/>
      <c r="E364" s="564"/>
      <c r="F364" s="565"/>
      <c r="G364" s="565"/>
      <c r="H364" s="566"/>
      <c r="I364" s="567"/>
      <c r="J364" s="568" t="s">
        <v>72</v>
      </c>
      <c r="K364" s="245">
        <f>(K360+K361)*K362/K363</f>
        <v>34303.199999999997</v>
      </c>
      <c r="L364" s="486" t="s">
        <v>76</v>
      </c>
      <c r="M364" s="54"/>
      <c r="N364" s="54"/>
      <c r="P364" s="334"/>
      <c r="Q364" s="335"/>
      <c r="R364" s="336"/>
      <c r="S364" s="337"/>
    </row>
    <row r="365" spans="1:19" ht="30" customHeight="1" x14ac:dyDescent="0.25">
      <c r="A365" s="569"/>
      <c r="B365" s="570"/>
      <c r="C365" s="570"/>
      <c r="D365" s="570"/>
      <c r="E365" s="571"/>
      <c r="F365" s="571"/>
      <c r="G365" s="572" t="s">
        <v>306</v>
      </c>
      <c r="H365" s="571"/>
      <c r="I365" s="573"/>
      <c r="J365" s="521">
        <f>VLOOKUP(B356,'Mil Cost Premiums for PUCs'!$A$4:$R$277,18,FALSE)</f>
        <v>1.0209999999999999</v>
      </c>
      <c r="K365" s="226">
        <f>+K364*J365</f>
        <v>35023.56719999999</v>
      </c>
      <c r="L365" s="574" t="s">
        <v>76</v>
      </c>
      <c r="M365" s="54"/>
      <c r="N365" s="54"/>
      <c r="P365" s="334"/>
      <c r="Q365" s="335"/>
      <c r="R365" s="336"/>
      <c r="S365" s="337"/>
    </row>
    <row r="366" spans="1:19" ht="78.75" customHeight="1" x14ac:dyDescent="0.25">
      <c r="A366" s="1230" t="s">
        <v>307</v>
      </c>
      <c r="B366" s="1231"/>
      <c r="C366" s="1231"/>
      <c r="D366" s="1231"/>
      <c r="E366" s="1231"/>
      <c r="F366" s="1231"/>
      <c r="G366" s="1231"/>
      <c r="H366" s="1231"/>
      <c r="I366" s="1231"/>
      <c r="J366" s="1231"/>
      <c r="K366" s="1231"/>
      <c r="L366" s="1232"/>
      <c r="N366" s="54"/>
      <c r="P366" s="334"/>
      <c r="Q366" s="335"/>
      <c r="R366" s="336"/>
      <c r="S366" s="337"/>
    </row>
    <row r="367" spans="1:19" ht="30" customHeight="1" x14ac:dyDescent="0.25">
      <c r="A367" s="1436" t="s">
        <v>308</v>
      </c>
      <c r="B367" s="1437"/>
      <c r="C367" s="1438"/>
      <c r="D367" s="1330" t="s">
        <v>309</v>
      </c>
      <c r="E367" s="1331"/>
      <c r="F367" s="1331"/>
      <c r="G367" s="1331"/>
      <c r="H367" s="1331"/>
      <c r="I367" s="1331"/>
      <c r="J367" s="1331"/>
      <c r="K367" s="1331"/>
      <c r="L367" s="1332"/>
      <c r="M367" s="54"/>
      <c r="N367" s="54"/>
      <c r="O367" s="554"/>
      <c r="P367" s="334"/>
      <c r="R367" s="336"/>
      <c r="S367" s="337"/>
    </row>
    <row r="368" spans="1:19" ht="30" customHeight="1" x14ac:dyDescent="0.25">
      <c r="A368" s="1439" t="s">
        <v>310</v>
      </c>
      <c r="B368" s="1440"/>
      <c r="C368" s="1441"/>
      <c r="D368" s="1330" t="s">
        <v>311</v>
      </c>
      <c r="E368" s="1331"/>
      <c r="F368" s="1331"/>
      <c r="G368" s="1331"/>
      <c r="H368" s="1331"/>
      <c r="I368" s="1331"/>
      <c r="J368" s="1331"/>
      <c r="K368" s="1331"/>
      <c r="L368" s="1332"/>
      <c r="M368" s="54"/>
      <c r="N368" s="54"/>
    </row>
    <row r="369" spans="1:21" ht="30" customHeight="1" thickBot="1" x14ac:dyDescent="0.3">
      <c r="A369" s="1439" t="s">
        <v>312</v>
      </c>
      <c r="B369" s="1440"/>
      <c r="C369" s="1441"/>
      <c r="D369" s="1291" t="s">
        <v>313</v>
      </c>
      <c r="E369" s="1292"/>
      <c r="F369" s="1292"/>
      <c r="G369" s="1292"/>
      <c r="H369" s="1292"/>
      <c r="I369" s="1292"/>
      <c r="J369" s="1292"/>
      <c r="K369" s="1292"/>
      <c r="L369" s="1293"/>
      <c r="M369" s="54"/>
      <c r="N369" s="112"/>
    </row>
    <row r="370" spans="1:21" ht="30" customHeight="1" x14ac:dyDescent="0.25">
      <c r="A370" s="1439" t="s">
        <v>314</v>
      </c>
      <c r="B370" s="1440"/>
      <c r="C370" s="1441"/>
      <c r="D370" s="1256" t="s">
        <v>315</v>
      </c>
      <c r="E370" s="1257"/>
      <c r="F370" s="1257"/>
      <c r="G370" s="1257"/>
      <c r="H370" s="1257"/>
      <c r="I370" s="1257"/>
      <c r="J370" s="1257"/>
      <c r="K370" s="1257"/>
      <c r="L370" s="1258"/>
      <c r="M370" s="54"/>
      <c r="T370" s="10"/>
      <c r="U370" s="10"/>
    </row>
    <row r="371" spans="1:21" ht="30" customHeight="1" x14ac:dyDescent="0.25">
      <c r="A371" s="1439" t="s">
        <v>316</v>
      </c>
      <c r="B371" s="1440"/>
      <c r="C371" s="1441"/>
      <c r="D371" s="1330" t="s">
        <v>317</v>
      </c>
      <c r="E371" s="1331"/>
      <c r="F371" s="1331"/>
      <c r="G371" s="1331"/>
      <c r="H371" s="1331"/>
      <c r="I371" s="1331"/>
      <c r="J371" s="1331"/>
      <c r="K371" s="1331"/>
      <c r="L371" s="1332"/>
      <c r="M371" s="54"/>
      <c r="N371" s="54"/>
      <c r="P371" s="575"/>
      <c r="T371" s="60"/>
      <c r="U371" s="60"/>
    </row>
    <row r="372" spans="1:21" ht="30" customHeight="1" x14ac:dyDescent="0.25">
      <c r="A372" s="1439" t="s">
        <v>318</v>
      </c>
      <c r="B372" s="1440"/>
      <c r="C372" s="1441"/>
      <c r="D372" s="1330" t="s">
        <v>319</v>
      </c>
      <c r="E372" s="1331"/>
      <c r="F372" s="1331"/>
      <c r="G372" s="1331"/>
      <c r="H372" s="1331"/>
      <c r="I372" s="1331"/>
      <c r="J372" s="1331"/>
      <c r="K372" s="1331"/>
      <c r="L372" s="1332"/>
      <c r="M372" s="54"/>
      <c r="N372" s="54"/>
      <c r="O372" s="373"/>
      <c r="T372" s="10"/>
      <c r="U372" s="10"/>
    </row>
    <row r="373" spans="1:21" ht="30" customHeight="1" x14ac:dyDescent="0.25">
      <c r="A373" s="1439" t="s">
        <v>320</v>
      </c>
      <c r="B373" s="1440"/>
      <c r="C373" s="1441"/>
      <c r="D373" s="1330" t="s">
        <v>321</v>
      </c>
      <c r="E373" s="1331"/>
      <c r="F373" s="1331"/>
      <c r="G373" s="1331"/>
      <c r="H373" s="1331"/>
      <c r="I373" s="1331"/>
      <c r="J373" s="1331"/>
      <c r="K373" s="1331"/>
      <c r="L373" s="1332"/>
      <c r="M373" s="54"/>
      <c r="N373" s="112"/>
      <c r="T373" s="10"/>
      <c r="U373" s="10"/>
    </row>
    <row r="374" spans="1:21" ht="36" customHeight="1" thickBot="1" x14ac:dyDescent="0.3">
      <c r="A374" s="1439" t="s">
        <v>322</v>
      </c>
      <c r="B374" s="1440"/>
      <c r="C374" s="1441"/>
      <c r="D374" s="1206" t="s">
        <v>323</v>
      </c>
      <c r="E374" s="1207"/>
      <c r="F374" s="1207"/>
      <c r="G374" s="1207"/>
      <c r="H374" s="1207"/>
      <c r="I374" s="1207"/>
      <c r="J374" s="1207"/>
      <c r="K374" s="1207"/>
      <c r="L374" s="1208"/>
      <c r="M374" s="54"/>
      <c r="T374" s="10"/>
      <c r="U374" s="10"/>
    </row>
    <row r="375" spans="1:21" ht="30" customHeight="1" thickBot="1" x14ac:dyDescent="0.3">
      <c r="A375" s="1180"/>
      <c r="B375" s="1181"/>
      <c r="C375" s="1181"/>
      <c r="D375" s="1181"/>
      <c r="E375" s="1181"/>
      <c r="F375" s="1181"/>
      <c r="G375" s="1181"/>
      <c r="H375" s="1181"/>
      <c r="I375" s="1181"/>
      <c r="J375" s="1181"/>
      <c r="K375" s="1181"/>
      <c r="L375" s="1182"/>
      <c r="M375" s="54"/>
      <c r="N375" s="54"/>
    </row>
    <row r="376" spans="1:21" ht="30" customHeight="1" x14ac:dyDescent="0.25">
      <c r="A376" s="327" t="s">
        <v>5</v>
      </c>
      <c r="B376" s="328">
        <v>1331</v>
      </c>
      <c r="C376" s="1218" t="s">
        <v>324</v>
      </c>
      <c r="D376" s="1219"/>
      <c r="E376" s="331" t="s">
        <v>8</v>
      </c>
      <c r="F376" s="332" t="s">
        <v>205</v>
      </c>
      <c r="G376" s="342" t="s">
        <v>74</v>
      </c>
      <c r="H376" s="160">
        <v>2650</v>
      </c>
      <c r="I376" s="331" t="s">
        <v>10</v>
      </c>
      <c r="J376" s="1253" t="s">
        <v>281</v>
      </c>
      <c r="K376" s="1254"/>
      <c r="L376" s="1255"/>
      <c r="M376" s="54"/>
      <c r="N376" s="54"/>
    </row>
    <row r="377" spans="1:21" ht="30" customHeight="1" x14ac:dyDescent="0.25">
      <c r="A377" s="356" t="s">
        <v>282</v>
      </c>
      <c r="B377" s="1163" t="s">
        <v>13</v>
      </c>
      <c r="C377" s="1163"/>
      <c r="D377" s="1163"/>
      <c r="E377" s="357" t="s">
        <v>283</v>
      </c>
      <c r="F377" s="546" t="s">
        <v>116</v>
      </c>
      <c r="G377" s="356"/>
      <c r="H377" s="356"/>
      <c r="I377" s="1276" t="s">
        <v>284</v>
      </c>
      <c r="J377" s="1277"/>
      <c r="K377" s="1236" t="s">
        <v>285</v>
      </c>
      <c r="L377" s="1237"/>
      <c r="M377" s="54"/>
      <c r="N377" s="54"/>
      <c r="T377" s="10"/>
      <c r="U377" s="10"/>
    </row>
    <row r="378" spans="1:21" ht="30" customHeight="1" x14ac:dyDescent="0.25">
      <c r="A378" s="367" t="s">
        <v>286</v>
      </c>
      <c r="B378" s="1164" t="s">
        <v>287</v>
      </c>
      <c r="C378" s="1164"/>
      <c r="D378" s="1164"/>
      <c r="E378" s="547">
        <v>57000</v>
      </c>
      <c r="F378" s="240">
        <v>489</v>
      </c>
      <c r="G378" s="548"/>
      <c r="H378" s="549"/>
      <c r="I378" s="1302" t="s">
        <v>288</v>
      </c>
      <c r="J378" s="1303"/>
      <c r="K378" s="240">
        <v>489</v>
      </c>
      <c r="L378" s="367" t="s">
        <v>205</v>
      </c>
      <c r="M378" s="54"/>
      <c r="N378" s="334"/>
      <c r="T378" s="60"/>
      <c r="U378" s="60"/>
    </row>
    <row r="379" spans="1:21" ht="30" customHeight="1" thickBot="1" x14ac:dyDescent="0.3">
      <c r="A379" s="365"/>
      <c r="B379" s="1281"/>
      <c r="C379" s="1281"/>
      <c r="D379" s="1281"/>
      <c r="E379" s="550"/>
      <c r="F379" s="551"/>
      <c r="G379" s="551"/>
      <c r="H379" s="552"/>
      <c r="I379" s="366"/>
      <c r="J379" s="553" t="s">
        <v>72</v>
      </c>
      <c r="K379" s="246">
        <f>K378</f>
        <v>489</v>
      </c>
      <c r="L379" s="365" t="s">
        <v>205</v>
      </c>
      <c r="M379" s="54"/>
      <c r="N379" s="54"/>
      <c r="T379" s="10"/>
      <c r="U379" s="10"/>
    </row>
    <row r="380" spans="1:21" ht="30" customHeight="1" thickBot="1" x14ac:dyDescent="0.3">
      <c r="A380" s="1180"/>
      <c r="B380" s="1181"/>
      <c r="C380" s="1181"/>
      <c r="D380" s="1181"/>
      <c r="E380" s="1181"/>
      <c r="F380" s="1181"/>
      <c r="G380" s="1181"/>
      <c r="H380" s="1181"/>
      <c r="I380" s="1181"/>
      <c r="J380" s="1181"/>
      <c r="K380" s="1181"/>
      <c r="L380" s="1182"/>
      <c r="M380" s="54"/>
      <c r="N380" s="54"/>
      <c r="T380" s="10"/>
      <c r="U380" s="10"/>
    </row>
    <row r="381" spans="1:21" ht="30" customHeight="1" x14ac:dyDescent="0.25">
      <c r="A381" s="327" t="s">
        <v>5</v>
      </c>
      <c r="B381" s="328">
        <v>1341</v>
      </c>
      <c r="C381" s="329" t="s">
        <v>325</v>
      </c>
      <c r="D381" s="576"/>
      <c r="E381" s="331" t="s">
        <v>8</v>
      </c>
      <c r="F381" s="332" t="s">
        <v>76</v>
      </c>
      <c r="G381" s="342" t="s">
        <v>74</v>
      </c>
      <c r="H381" s="576">
        <v>3</v>
      </c>
      <c r="I381" s="331" t="s">
        <v>10</v>
      </c>
      <c r="J381" s="1253" t="s">
        <v>294</v>
      </c>
      <c r="K381" s="1253"/>
      <c r="L381" s="1367"/>
      <c r="M381" s="54"/>
      <c r="N381" s="54"/>
      <c r="O381" s="61"/>
      <c r="T381" s="10"/>
      <c r="U381" s="10"/>
    </row>
    <row r="382" spans="1:21" ht="30" customHeight="1" x14ac:dyDescent="0.25">
      <c r="A382" s="359" t="s">
        <v>295</v>
      </c>
      <c r="B382" s="1222" t="s">
        <v>326</v>
      </c>
      <c r="C382" s="1235"/>
      <c r="D382" s="1223"/>
      <c r="E382" s="577" t="s">
        <v>116</v>
      </c>
      <c r="F382" s="577" t="s">
        <v>117</v>
      </c>
      <c r="G382" s="1194" t="s">
        <v>118</v>
      </c>
      <c r="H382" s="1195"/>
      <c r="I382" s="1276" t="s">
        <v>296</v>
      </c>
      <c r="J382" s="1277"/>
      <c r="K382" s="1236" t="s">
        <v>285</v>
      </c>
      <c r="L382" s="1237"/>
      <c r="M382" s="54"/>
      <c r="N382" s="54"/>
      <c r="O382" s="61"/>
      <c r="T382" s="10"/>
      <c r="U382" s="10"/>
    </row>
    <row r="383" spans="1:21" ht="30" customHeight="1" x14ac:dyDescent="0.25">
      <c r="A383" s="365" t="s">
        <v>327</v>
      </c>
      <c r="B383" s="1209" t="s">
        <v>328</v>
      </c>
      <c r="C383" s="1210"/>
      <c r="D383" s="1211"/>
      <c r="E383" s="247">
        <v>99</v>
      </c>
      <c r="F383" s="365" t="s">
        <v>205</v>
      </c>
      <c r="G383" s="452">
        <v>100</v>
      </c>
      <c r="H383" s="563" t="s">
        <v>329</v>
      </c>
      <c r="I383" s="1389">
        <v>1.22</v>
      </c>
      <c r="J383" s="1240"/>
      <c r="K383" s="247">
        <f>+E383*G383*I383</f>
        <v>12078</v>
      </c>
      <c r="L383" s="365" t="s">
        <v>76</v>
      </c>
      <c r="M383" s="54"/>
      <c r="O383" s="61"/>
      <c r="T383" s="10"/>
      <c r="U383" s="10"/>
    </row>
    <row r="384" spans="1:21" ht="30" customHeight="1" x14ac:dyDescent="0.25">
      <c r="A384" s="365"/>
      <c r="B384" s="1269" t="s">
        <v>330</v>
      </c>
      <c r="C384" s="1269"/>
      <c r="D384" s="1269"/>
      <c r="E384" s="247"/>
      <c r="F384" s="1272" t="s">
        <v>303</v>
      </c>
      <c r="G384" s="1283" t="s">
        <v>304</v>
      </c>
      <c r="H384" s="1283"/>
      <c r="I384" s="1283"/>
      <c r="J384" s="1283"/>
      <c r="K384" s="251">
        <v>1.06</v>
      </c>
      <c r="L384" s="365"/>
      <c r="M384" s="112"/>
      <c r="N384" s="54"/>
      <c r="O384" s="61"/>
      <c r="T384" s="10"/>
      <c r="U384" s="10"/>
    </row>
    <row r="385" spans="1:21" ht="30" customHeight="1" x14ac:dyDescent="0.25">
      <c r="A385" s="365"/>
      <c r="B385" s="578"/>
      <c r="C385" s="578"/>
      <c r="D385" s="578"/>
      <c r="E385" s="247"/>
      <c r="F385" s="1273"/>
      <c r="G385" s="1284" t="s">
        <v>305</v>
      </c>
      <c r="H385" s="1284"/>
      <c r="I385" s="1284"/>
      <c r="J385" s="1284"/>
      <c r="K385" s="251">
        <v>1.06</v>
      </c>
      <c r="L385" s="365"/>
      <c r="N385" s="54"/>
      <c r="T385" s="10"/>
      <c r="U385" s="10"/>
    </row>
    <row r="386" spans="1:21" ht="30" customHeight="1" x14ac:dyDescent="0.25">
      <c r="A386" s="365"/>
      <c r="B386" s="365"/>
      <c r="C386" s="366"/>
      <c r="D386" s="366"/>
      <c r="E386" s="366"/>
      <c r="F386" s="366"/>
      <c r="G386" s="366"/>
      <c r="H386" s="366"/>
      <c r="I386" s="366"/>
      <c r="J386" s="579" t="s">
        <v>72</v>
      </c>
      <c r="K386" s="246">
        <f>+K383*K384/K385</f>
        <v>12078</v>
      </c>
      <c r="L386" s="365" t="s">
        <v>76</v>
      </c>
      <c r="M386" s="54"/>
      <c r="N386" s="54"/>
    </row>
    <row r="387" spans="1:21" ht="30" customHeight="1" thickBot="1" x14ac:dyDescent="0.3">
      <c r="A387" s="365"/>
      <c r="B387" s="365"/>
      <c r="C387" s="366"/>
      <c r="D387" s="366"/>
      <c r="E387" s="366"/>
      <c r="F387" s="366"/>
      <c r="G387" s="580" t="s">
        <v>306</v>
      </c>
      <c r="H387" s="366"/>
      <c r="I387" s="366"/>
      <c r="J387" s="521">
        <f>VLOOKUP(B381,'Mil Cost Premiums for PUCs'!$A$4:$R$277,18,FALSE)</f>
        <v>1.0209999999999999</v>
      </c>
      <c r="K387" s="246">
        <f>+K386*J387</f>
        <v>12331.637999999999</v>
      </c>
      <c r="L387" s="365" t="s">
        <v>76</v>
      </c>
      <c r="M387" s="54"/>
      <c r="N387" s="54"/>
    </row>
    <row r="388" spans="1:21" ht="30" customHeight="1" thickBot="1" x14ac:dyDescent="0.3">
      <c r="A388" s="1180"/>
      <c r="B388" s="1181"/>
      <c r="C388" s="1181"/>
      <c r="D388" s="1181"/>
      <c r="E388" s="1181"/>
      <c r="F388" s="1181"/>
      <c r="G388" s="1181"/>
      <c r="H388" s="1181"/>
      <c r="I388" s="1181"/>
      <c r="J388" s="1181"/>
      <c r="K388" s="1181"/>
      <c r="L388" s="1182"/>
      <c r="M388" s="112"/>
      <c r="N388" s="54"/>
      <c r="O388" s="554"/>
      <c r="T388" s="10"/>
      <c r="U388" s="10"/>
    </row>
    <row r="389" spans="1:21" ht="30" customHeight="1" x14ac:dyDescent="0.25">
      <c r="A389" s="456" t="s">
        <v>331</v>
      </c>
      <c r="B389" s="456">
        <v>1351</v>
      </c>
      <c r="C389" s="1294" t="s">
        <v>332</v>
      </c>
      <c r="D389" s="1295"/>
      <c r="E389" s="1122" t="s">
        <v>8</v>
      </c>
      <c r="F389" s="1123" t="s">
        <v>333</v>
      </c>
      <c r="G389" s="342" t="s">
        <v>7</v>
      </c>
      <c r="H389" s="160">
        <v>1</v>
      </c>
      <c r="I389" s="331" t="s">
        <v>10</v>
      </c>
      <c r="J389" s="1678" t="s">
        <v>334</v>
      </c>
      <c r="K389" s="1678"/>
      <c r="L389" s="1679"/>
      <c r="N389" s="54"/>
      <c r="O389" s="554"/>
      <c r="T389" s="60"/>
      <c r="U389" s="60"/>
    </row>
    <row r="390" spans="1:21" s="345" customFormat="1" ht="30" customHeight="1" x14ac:dyDescent="0.25">
      <c r="A390" s="359" t="s">
        <v>295</v>
      </c>
      <c r="B390" s="581" t="s">
        <v>326</v>
      </c>
      <c r="C390" s="1680"/>
      <c r="D390" s="1237"/>
      <c r="E390" s="359" t="s">
        <v>116</v>
      </c>
      <c r="F390" s="359" t="s">
        <v>117</v>
      </c>
      <c r="G390" s="359" t="s">
        <v>118</v>
      </c>
      <c r="H390" s="359"/>
      <c r="I390" s="356" t="s">
        <v>296</v>
      </c>
      <c r="J390" s="356" t="s">
        <v>119</v>
      </c>
      <c r="K390" s="1236" t="s">
        <v>285</v>
      </c>
      <c r="L390" s="1237"/>
      <c r="M390" s="54"/>
      <c r="N390" s="54"/>
      <c r="O390" s="543"/>
      <c r="P390" s="344"/>
    </row>
    <row r="391" spans="1:21" ht="30" customHeight="1" x14ac:dyDescent="0.25">
      <c r="A391" s="392">
        <v>13510</v>
      </c>
      <c r="B391" s="1268" t="s">
        <v>335</v>
      </c>
      <c r="C391" s="1167"/>
      <c r="D391" s="1168"/>
      <c r="E391" s="583">
        <v>3.2</v>
      </c>
      <c r="F391" s="582" t="s">
        <v>40</v>
      </c>
      <c r="G391" s="584">
        <v>5280</v>
      </c>
      <c r="H391" s="582" t="s">
        <v>336</v>
      </c>
      <c r="I391" s="585">
        <f>+'2022 MILCON Inflation Table'!F21</f>
        <v>0.94047825952836139</v>
      </c>
      <c r="J391" s="586"/>
      <c r="K391" s="583">
        <f>+E391*I391*G391</f>
        <v>15890.320672991194</v>
      </c>
      <c r="L391" s="582" t="s">
        <v>333</v>
      </c>
      <c r="M391" s="54"/>
    </row>
    <row r="392" spans="1:21" ht="30" customHeight="1" x14ac:dyDescent="0.25">
      <c r="A392" s="392">
        <v>13510</v>
      </c>
      <c r="B392" s="1268" t="s">
        <v>337</v>
      </c>
      <c r="C392" s="1167"/>
      <c r="D392" s="1168"/>
      <c r="E392" s="583">
        <v>1016</v>
      </c>
      <c r="F392" s="582" t="s">
        <v>76</v>
      </c>
      <c r="G392" s="582">
        <v>6</v>
      </c>
      <c r="H392" s="582" t="s">
        <v>338</v>
      </c>
      <c r="I392" s="585">
        <f>+'2022 MILCON Inflation Table'!F21</f>
        <v>0.94047825952836139</v>
      </c>
      <c r="J392" s="586"/>
      <c r="K392" s="583">
        <f>+E392*I392*G392</f>
        <v>5733.155470084891</v>
      </c>
      <c r="L392" s="582" t="s">
        <v>333</v>
      </c>
      <c r="M392" s="54"/>
      <c r="N392" s="54"/>
    </row>
    <row r="393" spans="1:21" ht="30" customHeight="1" x14ac:dyDescent="0.25">
      <c r="A393" s="392" t="s">
        <v>339</v>
      </c>
      <c r="B393" s="1203" t="s">
        <v>340</v>
      </c>
      <c r="C393" s="1204"/>
      <c r="D393" s="1205"/>
      <c r="E393" s="583">
        <v>7.09</v>
      </c>
      <c r="F393" s="582" t="s">
        <v>341</v>
      </c>
      <c r="G393" s="584">
        <v>5280</v>
      </c>
      <c r="H393" s="582" t="s">
        <v>336</v>
      </c>
      <c r="I393" s="586">
        <v>1.21</v>
      </c>
      <c r="J393" s="586">
        <f>1.06/1.06</f>
        <v>1</v>
      </c>
      <c r="K393" s="583">
        <f>+E393*G393*I393*J393</f>
        <v>45296.591999999997</v>
      </c>
      <c r="L393" s="582" t="s">
        <v>333</v>
      </c>
      <c r="M393" s="334"/>
      <c r="N393" s="54"/>
      <c r="P393" s="334"/>
      <c r="Q393" s="336"/>
      <c r="U393" s="337"/>
    </row>
    <row r="394" spans="1:21" ht="30" customHeight="1" x14ac:dyDescent="0.25">
      <c r="A394" s="392" t="s">
        <v>339</v>
      </c>
      <c r="B394" s="1203" t="s">
        <v>342</v>
      </c>
      <c r="C394" s="1204"/>
      <c r="D394" s="1205"/>
      <c r="E394" s="583">
        <v>6.32</v>
      </c>
      <c r="F394" s="582" t="s">
        <v>341</v>
      </c>
      <c r="G394" s="584">
        <v>5280</v>
      </c>
      <c r="H394" s="582" t="s">
        <v>336</v>
      </c>
      <c r="I394" s="586">
        <v>1.21</v>
      </c>
      <c r="J394" s="586">
        <f>1.06/1.06</f>
        <v>1</v>
      </c>
      <c r="K394" s="583">
        <f>+E394*G394*I394*J394</f>
        <v>40377.216</v>
      </c>
      <c r="L394" s="582" t="s">
        <v>333</v>
      </c>
      <c r="M394" s="54"/>
      <c r="N394" s="54"/>
      <c r="P394" s="334"/>
      <c r="Q394" s="336"/>
      <c r="U394" s="337"/>
    </row>
    <row r="395" spans="1:21" ht="30" customHeight="1" x14ac:dyDescent="0.25">
      <c r="A395" s="366"/>
      <c r="B395" s="452"/>
      <c r="C395" s="587"/>
      <c r="D395" s="391"/>
      <c r="E395" s="588"/>
      <c r="F395" s="366"/>
      <c r="G395" s="366"/>
      <c r="H395" s="366"/>
      <c r="I395" s="1389" t="s">
        <v>343</v>
      </c>
      <c r="J395" s="1240"/>
      <c r="K395" s="588">
        <f>SUM(K391:K394)</f>
        <v>107297.28414307609</v>
      </c>
      <c r="L395" s="366" t="s">
        <v>333</v>
      </c>
      <c r="M395" s="54"/>
      <c r="N395" s="60"/>
      <c r="P395" s="334"/>
      <c r="Q395" s="336"/>
      <c r="U395" s="337"/>
    </row>
    <row r="396" spans="1:21" ht="30" customHeight="1" x14ac:dyDescent="0.25">
      <c r="A396" s="1209" t="s">
        <v>344</v>
      </c>
      <c r="B396" s="1210"/>
      <c r="C396" s="1210"/>
      <c r="D396" s="1210"/>
      <c r="E396" s="1210"/>
      <c r="F396" s="589"/>
      <c r="G396" s="366"/>
      <c r="H396" s="366"/>
      <c r="I396" s="1389" t="s">
        <v>72</v>
      </c>
      <c r="J396" s="1240"/>
      <c r="K396" s="588">
        <f>+K395</f>
        <v>107297.28414307609</v>
      </c>
      <c r="L396" s="366" t="s">
        <v>333</v>
      </c>
      <c r="M396" s="54"/>
      <c r="N396" s="60"/>
      <c r="P396" s="334"/>
      <c r="Q396" s="336"/>
      <c r="U396" s="337"/>
    </row>
    <row r="397" spans="1:21" ht="30" customHeight="1" x14ac:dyDescent="0.25">
      <c r="A397" s="590"/>
      <c r="B397" s="591"/>
      <c r="C397" s="591"/>
      <c r="D397" s="591"/>
      <c r="E397" s="591"/>
      <c r="F397" s="589"/>
      <c r="G397" s="580" t="s">
        <v>306</v>
      </c>
      <c r="H397" s="573"/>
      <c r="I397" s="592"/>
      <c r="J397" s="521">
        <f>VLOOKUP(B389,'Mil Cost Premiums for PUCs'!$A$4:$R$277,18,FALSE)</f>
        <v>1.0209999999999999</v>
      </c>
      <c r="K397" s="588">
        <f>+K396*J397</f>
        <v>109550.52711008067</v>
      </c>
      <c r="L397" s="366" t="s">
        <v>333</v>
      </c>
      <c r="M397" s="54"/>
      <c r="N397" s="593"/>
      <c r="O397" s="593"/>
      <c r="P397" s="334"/>
      <c r="Q397" s="336"/>
      <c r="U397" s="337"/>
    </row>
    <row r="398" spans="1:21" ht="60" customHeight="1" x14ac:dyDescent="0.25">
      <c r="A398" s="1209" t="s">
        <v>307</v>
      </c>
      <c r="B398" s="1210"/>
      <c r="C398" s="1210"/>
      <c r="D398" s="1210"/>
      <c r="E398" s="1210"/>
      <c r="F398" s="1210"/>
      <c r="G398" s="1210"/>
      <c r="H398" s="1210"/>
      <c r="I398" s="1210"/>
      <c r="J398" s="1210"/>
      <c r="K398" s="1210"/>
      <c r="L398" s="1211"/>
      <c r="N398" s="60"/>
      <c r="P398" s="334"/>
      <c r="Q398" s="336"/>
      <c r="U398" s="337"/>
    </row>
    <row r="399" spans="1:21" ht="30" customHeight="1" x14ac:dyDescent="0.25">
      <c r="A399" s="1224" t="s">
        <v>308</v>
      </c>
      <c r="B399" s="1225"/>
      <c r="C399" s="1226"/>
      <c r="D399" s="1227" t="s">
        <v>345</v>
      </c>
      <c r="E399" s="1325"/>
      <c r="F399" s="1325"/>
      <c r="G399" s="1325"/>
      <c r="H399" s="1325"/>
      <c r="I399" s="1325"/>
      <c r="J399" s="1325"/>
      <c r="K399" s="1325"/>
      <c r="L399" s="1325"/>
      <c r="M399" s="54"/>
      <c r="N399" s="60"/>
      <c r="P399" s="334"/>
      <c r="Q399" s="336"/>
      <c r="U399" s="337"/>
    </row>
    <row r="400" spans="1:21" ht="30" customHeight="1" x14ac:dyDescent="0.25">
      <c r="A400" s="1224" t="s">
        <v>310</v>
      </c>
      <c r="B400" s="1225"/>
      <c r="C400" s="1226"/>
      <c r="D400" s="1224" t="s">
        <v>346</v>
      </c>
      <c r="E400" s="1617"/>
      <c r="F400" s="1617"/>
      <c r="G400" s="1617"/>
      <c r="H400" s="1617"/>
      <c r="I400" s="1617"/>
      <c r="J400" s="1617"/>
      <c r="K400" s="1617"/>
      <c r="L400" s="1390"/>
      <c r="M400" s="54"/>
      <c r="N400" s="60"/>
      <c r="P400" s="334"/>
      <c r="Q400" s="336"/>
      <c r="U400" s="337"/>
    </row>
    <row r="401" spans="1:21" ht="30" customHeight="1" x14ac:dyDescent="0.25">
      <c r="A401" s="1224" t="s">
        <v>312</v>
      </c>
      <c r="B401" s="1225"/>
      <c r="C401" s="1226"/>
      <c r="D401" s="1203" t="s">
        <v>347</v>
      </c>
      <c r="E401" s="1204"/>
      <c r="F401" s="1204"/>
      <c r="G401" s="1204"/>
      <c r="H401" s="1204"/>
      <c r="I401" s="1204"/>
      <c r="J401" s="1204"/>
      <c r="K401" s="1204"/>
      <c r="L401" s="1205"/>
      <c r="M401" s="54"/>
      <c r="N401" s="334"/>
      <c r="P401" s="334"/>
      <c r="Q401" s="336"/>
      <c r="U401" s="337"/>
    </row>
    <row r="402" spans="1:21" ht="30" customHeight="1" x14ac:dyDescent="0.25">
      <c r="A402" s="1224" t="s">
        <v>314</v>
      </c>
      <c r="B402" s="1225"/>
      <c r="C402" s="1226"/>
      <c r="D402" s="1245" t="s">
        <v>315</v>
      </c>
      <c r="E402" s="1245"/>
      <c r="F402" s="1245"/>
      <c r="G402" s="1245"/>
      <c r="H402" s="1245"/>
      <c r="I402" s="1245"/>
      <c r="J402" s="1245"/>
      <c r="K402" s="1245"/>
      <c r="L402" s="1245"/>
      <c r="M402" s="54"/>
      <c r="P402" s="334"/>
      <c r="Q402" s="336"/>
      <c r="U402" s="337"/>
    </row>
    <row r="403" spans="1:21" ht="30" customHeight="1" x14ac:dyDescent="0.25">
      <c r="A403" s="1224" t="s">
        <v>316</v>
      </c>
      <c r="B403" s="1225"/>
      <c r="C403" s="1226"/>
      <c r="D403" s="1227" t="s">
        <v>348</v>
      </c>
      <c r="E403" s="1325"/>
      <c r="F403" s="1325"/>
      <c r="G403" s="1325"/>
      <c r="H403" s="1325"/>
      <c r="I403" s="1325"/>
      <c r="J403" s="1325"/>
      <c r="K403" s="1325"/>
      <c r="L403" s="1325"/>
      <c r="M403" s="54"/>
      <c r="P403" s="334"/>
      <c r="Q403" s="336"/>
      <c r="U403" s="337"/>
    </row>
    <row r="404" spans="1:21" ht="30" customHeight="1" x14ac:dyDescent="0.25">
      <c r="A404" s="1224" t="s">
        <v>318</v>
      </c>
      <c r="B404" s="1225"/>
      <c r="C404" s="1226"/>
      <c r="D404" s="1203" t="s">
        <v>319</v>
      </c>
      <c r="E404" s="1204"/>
      <c r="F404" s="1204"/>
      <c r="G404" s="1204"/>
      <c r="H404" s="1204"/>
      <c r="I404" s="1204"/>
      <c r="J404" s="1204"/>
      <c r="K404" s="1204"/>
      <c r="L404" s="1205"/>
      <c r="M404" s="54"/>
      <c r="P404" s="334"/>
      <c r="Q404" s="336"/>
      <c r="U404" s="337"/>
    </row>
    <row r="405" spans="1:21" ht="30" customHeight="1" x14ac:dyDescent="0.25">
      <c r="A405" s="1224" t="s">
        <v>320</v>
      </c>
      <c r="B405" s="1225"/>
      <c r="C405" s="1226"/>
      <c r="D405" s="1203" t="s">
        <v>349</v>
      </c>
      <c r="E405" s="1204"/>
      <c r="F405" s="1204"/>
      <c r="G405" s="1204"/>
      <c r="H405" s="1204"/>
      <c r="I405" s="1204"/>
      <c r="J405" s="1204"/>
      <c r="K405" s="1204"/>
      <c r="L405" s="1205"/>
      <c r="M405" s="54"/>
      <c r="P405" s="334"/>
      <c r="Q405" s="336"/>
      <c r="U405" s="337"/>
    </row>
    <row r="406" spans="1:21" ht="30" customHeight="1" x14ac:dyDescent="0.25">
      <c r="A406" s="1224" t="s">
        <v>322</v>
      </c>
      <c r="B406" s="1225"/>
      <c r="C406" s="1226"/>
      <c r="D406" s="1206" t="s">
        <v>323</v>
      </c>
      <c r="E406" s="1257"/>
      <c r="F406" s="1257"/>
      <c r="G406" s="1257"/>
      <c r="H406" s="1257"/>
      <c r="I406" s="1257"/>
      <c r="J406" s="1257"/>
      <c r="K406" s="1257"/>
      <c r="L406" s="1258"/>
      <c r="P406" s="334"/>
      <c r="Q406" s="336"/>
      <c r="U406" s="337"/>
    </row>
    <row r="407" spans="1:21" ht="45" customHeight="1" thickBot="1" x14ac:dyDescent="0.3">
      <c r="A407" s="1433" t="s">
        <v>350</v>
      </c>
      <c r="B407" s="1434"/>
      <c r="C407" s="1435"/>
      <c r="D407" s="1230" t="s">
        <v>351</v>
      </c>
      <c r="E407" s="1257"/>
      <c r="F407" s="1257"/>
      <c r="G407" s="1257"/>
      <c r="H407" s="1257"/>
      <c r="I407" s="1257"/>
      <c r="J407" s="1257"/>
      <c r="K407" s="1257"/>
      <c r="L407" s="1258"/>
      <c r="M407" s="54"/>
      <c r="P407" s="334"/>
      <c r="Q407" s="336"/>
      <c r="U407" s="337"/>
    </row>
    <row r="408" spans="1:21" ht="30" customHeight="1" thickBot="1" x14ac:dyDescent="0.3">
      <c r="A408" s="1180"/>
      <c r="B408" s="1181"/>
      <c r="C408" s="1181"/>
      <c r="D408" s="1181"/>
      <c r="E408" s="1181"/>
      <c r="F408" s="1181"/>
      <c r="G408" s="1181"/>
      <c r="H408" s="1181"/>
      <c r="I408" s="1181"/>
      <c r="J408" s="1181"/>
      <c r="K408" s="1181"/>
      <c r="L408" s="1182"/>
      <c r="M408" s="54"/>
      <c r="P408" s="334"/>
      <c r="Q408" s="336"/>
      <c r="U408" s="337"/>
    </row>
    <row r="409" spans="1:21" ht="30" customHeight="1" x14ac:dyDescent="0.25">
      <c r="A409" s="594" t="s">
        <v>5</v>
      </c>
      <c r="B409" s="595">
        <v>1361</v>
      </c>
      <c r="C409" s="1507" t="s">
        <v>352</v>
      </c>
      <c r="D409" s="1508"/>
      <c r="E409" s="596" t="s">
        <v>8</v>
      </c>
      <c r="F409" s="597" t="s">
        <v>40</v>
      </c>
      <c r="G409" s="598" t="s">
        <v>7</v>
      </c>
      <c r="H409" s="227">
        <v>10000</v>
      </c>
      <c r="I409" s="596" t="s">
        <v>10</v>
      </c>
      <c r="J409" s="1431" t="s">
        <v>353</v>
      </c>
      <c r="K409" s="1432"/>
      <c r="L409" s="1282"/>
      <c r="M409" s="112"/>
      <c r="P409" s="334"/>
      <c r="Q409" s="336"/>
      <c r="U409" s="337"/>
    </row>
    <row r="410" spans="1:21" ht="30" customHeight="1" x14ac:dyDescent="0.25">
      <c r="A410" s="1519" t="s">
        <v>12</v>
      </c>
      <c r="B410" s="1519"/>
      <c r="C410" s="1519" t="s">
        <v>13</v>
      </c>
      <c r="D410" s="1519"/>
      <c r="E410" s="599" t="s">
        <v>14</v>
      </c>
      <c r="F410" s="599" t="s">
        <v>15</v>
      </c>
      <c r="G410" s="600" t="s">
        <v>16</v>
      </c>
      <c r="H410" s="200" t="s">
        <v>17</v>
      </c>
      <c r="I410" s="601" t="s">
        <v>18</v>
      </c>
      <c r="J410" s="600" t="s">
        <v>354</v>
      </c>
      <c r="K410" s="600" t="s">
        <v>20</v>
      </c>
      <c r="L410" s="602"/>
      <c r="M410" s="54"/>
      <c r="P410" s="334"/>
      <c r="Q410" s="336"/>
      <c r="U410" s="337"/>
    </row>
    <row r="411" spans="1:21" ht="30" customHeight="1" x14ac:dyDescent="0.25">
      <c r="A411" s="1513" t="s">
        <v>355</v>
      </c>
      <c r="B411" s="1514"/>
      <c r="C411" s="1517" t="s">
        <v>356</v>
      </c>
      <c r="D411" s="1518"/>
      <c r="E411" s="603">
        <v>20</v>
      </c>
      <c r="F411" s="604" t="s">
        <v>357</v>
      </c>
      <c r="G411" s="605">
        <v>2789199.95</v>
      </c>
      <c r="H411" s="606">
        <v>1751925.08</v>
      </c>
      <c r="I411" s="607">
        <v>27444.240000000002</v>
      </c>
      <c r="J411" s="606">
        <v>2552197.39</v>
      </c>
      <c r="K411" s="606">
        <v>4568569.2699999996</v>
      </c>
      <c r="L411" s="608" t="s">
        <v>357</v>
      </c>
      <c r="M411" s="54"/>
      <c r="P411" s="334"/>
      <c r="Q411" s="336"/>
      <c r="U411" s="337"/>
    </row>
    <row r="412" spans="1:21" ht="30" customHeight="1" x14ac:dyDescent="0.25">
      <c r="A412" s="1515" t="s">
        <v>358</v>
      </c>
      <c r="B412" s="1516"/>
      <c r="C412" s="1655" t="s">
        <v>359</v>
      </c>
      <c r="D412" s="1656"/>
      <c r="E412" s="609">
        <v>10</v>
      </c>
      <c r="F412" s="610" t="s">
        <v>357</v>
      </c>
      <c r="G412" s="611">
        <v>1737753.03</v>
      </c>
      <c r="H412" s="612">
        <v>836846.91</v>
      </c>
      <c r="I412" s="613">
        <v>11761.82</v>
      </c>
      <c r="J412" s="612">
        <v>1466473.26</v>
      </c>
      <c r="K412" s="612">
        <v>2586361.75</v>
      </c>
      <c r="L412" s="360" t="s">
        <v>357</v>
      </c>
      <c r="M412" s="54"/>
      <c r="N412" s="54"/>
      <c r="P412" s="334"/>
      <c r="Q412" s="336"/>
      <c r="U412" s="337"/>
    </row>
    <row r="413" spans="1:21" ht="30" customHeight="1" x14ac:dyDescent="0.25">
      <c r="A413" s="1510" t="s">
        <v>170</v>
      </c>
      <c r="B413" s="1511"/>
      <c r="C413" s="1511"/>
      <c r="D413" s="1511"/>
      <c r="E413" s="614"/>
      <c r="F413" s="615"/>
      <c r="G413" s="355"/>
      <c r="H413" s="1262" t="s">
        <v>108</v>
      </c>
      <c r="I413" s="1262"/>
      <c r="J413" s="612">
        <f>J411+J412</f>
        <v>4018670.6500000004</v>
      </c>
      <c r="K413" s="612">
        <f>K411+K412</f>
        <v>7154931.0199999996</v>
      </c>
      <c r="L413" s="360" t="s">
        <v>357</v>
      </c>
      <c r="M413" s="54"/>
      <c r="N413" s="54"/>
      <c r="P413" s="334"/>
      <c r="Q413" s="336"/>
      <c r="U413" s="337"/>
    </row>
    <row r="414" spans="1:21" ht="30" customHeight="1" x14ac:dyDescent="0.25">
      <c r="A414" s="1510"/>
      <c r="B414" s="1511"/>
      <c r="C414" s="1511"/>
      <c r="D414" s="1511"/>
      <c r="E414" s="614"/>
      <c r="F414" s="615"/>
      <c r="G414" s="348"/>
      <c r="H414" s="616"/>
      <c r="I414" s="616"/>
      <c r="J414" s="612" t="s">
        <v>71</v>
      </c>
      <c r="K414" s="612">
        <v>1.06</v>
      </c>
      <c r="L414" s="366"/>
      <c r="M414" s="54"/>
      <c r="N414" s="111"/>
      <c r="O414" s="336"/>
      <c r="P414" s="334"/>
      <c r="Q414" s="335"/>
      <c r="R414" s="336"/>
      <c r="S414" s="337"/>
    </row>
    <row r="415" spans="1:21" ht="30" customHeight="1" thickBot="1" x14ac:dyDescent="0.3">
      <c r="A415" s="1512"/>
      <c r="B415" s="1512"/>
      <c r="C415" s="1512"/>
      <c r="D415" s="1512"/>
      <c r="E415" s="617"/>
      <c r="F415" s="601"/>
      <c r="G415" s="618"/>
      <c r="H415" s="619"/>
      <c r="I415" s="619"/>
      <c r="J415" s="620" t="s">
        <v>72</v>
      </c>
      <c r="K415" s="621">
        <f>K413/H409/K414</f>
        <v>674.99349245283008</v>
      </c>
      <c r="L415" s="450" t="s">
        <v>40</v>
      </c>
      <c r="M415" s="54"/>
      <c r="T415" s="10"/>
      <c r="U415" s="10"/>
    </row>
    <row r="416" spans="1:21" ht="30" customHeight="1" thickBot="1" x14ac:dyDescent="0.3">
      <c r="A416" s="1180"/>
      <c r="B416" s="1181"/>
      <c r="C416" s="1181"/>
      <c r="D416" s="1181"/>
      <c r="E416" s="1181"/>
      <c r="F416" s="1181"/>
      <c r="G416" s="1181"/>
      <c r="H416" s="1181"/>
      <c r="I416" s="1181"/>
      <c r="J416" s="1181"/>
      <c r="K416" s="1181"/>
      <c r="L416" s="1182"/>
      <c r="M416" s="334"/>
      <c r="N416" s="54"/>
      <c r="T416" s="60"/>
      <c r="U416" s="60"/>
    </row>
    <row r="417" spans="1:21" s="345" customFormat="1" ht="30" customHeight="1" x14ac:dyDescent="0.25">
      <c r="A417" s="327" t="s">
        <v>5</v>
      </c>
      <c r="B417" s="328">
        <v>1362</v>
      </c>
      <c r="C417" s="1251" t="s">
        <v>360</v>
      </c>
      <c r="D417" s="1252"/>
      <c r="E417" s="331" t="s">
        <v>8</v>
      </c>
      <c r="F417" s="332" t="s">
        <v>76</v>
      </c>
      <c r="G417" s="346" t="s">
        <v>7</v>
      </c>
      <c r="H417" s="156">
        <v>938</v>
      </c>
      <c r="I417" s="596" t="s">
        <v>10</v>
      </c>
      <c r="J417" s="1431" t="s">
        <v>3395</v>
      </c>
      <c r="K417" s="1432"/>
      <c r="L417" s="1282"/>
      <c r="M417" s="116"/>
      <c r="N417" s="54"/>
      <c r="O417" s="344"/>
      <c r="P417" s="344"/>
    </row>
    <row r="418" spans="1:21" ht="30" customHeight="1" x14ac:dyDescent="0.25">
      <c r="A418" s="1520" t="s">
        <v>12</v>
      </c>
      <c r="B418" s="1521"/>
      <c r="C418" s="1520" t="s">
        <v>13</v>
      </c>
      <c r="D418" s="1521"/>
      <c r="E418" s="594" t="s">
        <v>14</v>
      </c>
      <c r="F418" s="622" t="s">
        <v>15</v>
      </c>
      <c r="G418" s="470" t="s">
        <v>16</v>
      </c>
      <c r="H418" s="204" t="s">
        <v>17</v>
      </c>
      <c r="I418" s="615" t="s">
        <v>18</v>
      </c>
      <c r="J418" s="602" t="s">
        <v>354</v>
      </c>
      <c r="K418" s="602" t="s">
        <v>20</v>
      </c>
      <c r="L418" s="623"/>
      <c r="N418" s="54"/>
    </row>
    <row r="419" spans="1:21" ht="30" customHeight="1" x14ac:dyDescent="0.25">
      <c r="A419" s="1442" t="s">
        <v>361</v>
      </c>
      <c r="B419" s="1443"/>
      <c r="C419" s="1203" t="s">
        <v>362</v>
      </c>
      <c r="D419" s="1204"/>
      <c r="E419" s="603">
        <v>2</v>
      </c>
      <c r="F419" s="624" t="s">
        <v>76</v>
      </c>
      <c r="G419" s="605">
        <v>2535897.89</v>
      </c>
      <c r="H419" s="201">
        <v>753142.92</v>
      </c>
      <c r="I419" s="625">
        <v>5516.32</v>
      </c>
      <c r="J419" s="605">
        <v>1902156.16</v>
      </c>
      <c r="K419" s="605">
        <v>3294557.12</v>
      </c>
      <c r="L419" s="623" t="s">
        <v>76</v>
      </c>
      <c r="N419" s="154"/>
    </row>
    <row r="420" spans="1:21" ht="30" customHeight="1" x14ac:dyDescent="0.25">
      <c r="A420" s="1442" t="s">
        <v>363</v>
      </c>
      <c r="B420" s="1443"/>
      <c r="C420" s="1203" t="s">
        <v>364</v>
      </c>
      <c r="D420" s="1204"/>
      <c r="E420" s="609">
        <v>2</v>
      </c>
      <c r="F420" s="626" t="s">
        <v>76</v>
      </c>
      <c r="G420" s="606">
        <v>1131614.7</v>
      </c>
      <c r="H420" s="202">
        <v>775609.5</v>
      </c>
      <c r="I420" s="607">
        <v>6202.18</v>
      </c>
      <c r="J420" s="605">
        <v>1057787.08</v>
      </c>
      <c r="K420" s="605">
        <v>1913426.37</v>
      </c>
      <c r="L420" s="623" t="s">
        <v>76</v>
      </c>
      <c r="T420" s="10"/>
      <c r="U420" s="10"/>
    </row>
    <row r="421" spans="1:21" ht="30" customHeight="1" x14ac:dyDescent="0.25">
      <c r="A421" s="1442" t="s">
        <v>365</v>
      </c>
      <c r="B421" s="1443"/>
      <c r="C421" s="1203" t="s">
        <v>366</v>
      </c>
      <c r="D421" s="1522"/>
      <c r="E421" s="603">
        <v>2</v>
      </c>
      <c r="F421" s="624" t="s">
        <v>76</v>
      </c>
      <c r="G421" s="605">
        <v>915688.95</v>
      </c>
      <c r="H421" s="203">
        <v>511245</v>
      </c>
      <c r="I421" s="625">
        <v>5910.34</v>
      </c>
      <c r="J421" s="627">
        <v>801767.68</v>
      </c>
      <c r="K421" s="606">
        <v>1432844.28</v>
      </c>
      <c r="L421" s="628" t="s">
        <v>76</v>
      </c>
      <c r="N421" s="54"/>
      <c r="T421" s="60"/>
      <c r="U421" s="60"/>
    </row>
    <row r="422" spans="1:21" s="345" customFormat="1" ht="30" customHeight="1" x14ac:dyDescent="0.25">
      <c r="A422" s="1442" t="s">
        <v>367</v>
      </c>
      <c r="B422" s="1443"/>
      <c r="C422" s="1203" t="s">
        <v>368</v>
      </c>
      <c r="D422" s="1522"/>
      <c r="E422" s="603">
        <v>28</v>
      </c>
      <c r="F422" s="624" t="s">
        <v>357</v>
      </c>
      <c r="G422" s="605">
        <v>4152683.66</v>
      </c>
      <c r="H422" s="203">
        <v>897562.71</v>
      </c>
      <c r="I422" s="625">
        <v>30339.73</v>
      </c>
      <c r="J422" s="629">
        <v>2969979.25</v>
      </c>
      <c r="K422" s="605">
        <v>5080586.1100000003</v>
      </c>
      <c r="L422" s="623" t="s">
        <v>357</v>
      </c>
      <c r="M422" s="11"/>
      <c r="N422" s="54"/>
      <c r="O422" s="543"/>
      <c r="P422" s="344"/>
    </row>
    <row r="423" spans="1:21" ht="30" customHeight="1" x14ac:dyDescent="0.25">
      <c r="A423" s="1442" t="s">
        <v>369</v>
      </c>
      <c r="B423" s="1443"/>
      <c r="C423" s="1203" t="s">
        <v>370</v>
      </c>
      <c r="D423" s="1522"/>
      <c r="E423" s="603">
        <v>14</v>
      </c>
      <c r="F423" s="624" t="s">
        <v>357</v>
      </c>
      <c r="G423" s="605">
        <v>2056752.24</v>
      </c>
      <c r="H423" s="203">
        <v>922071.14</v>
      </c>
      <c r="I423" s="625">
        <v>12411.71</v>
      </c>
      <c r="J423" s="629">
        <v>1693948.12</v>
      </c>
      <c r="K423" s="605">
        <v>2991235.09</v>
      </c>
      <c r="L423" s="623" t="s">
        <v>357</v>
      </c>
      <c r="N423" s="54"/>
    </row>
    <row r="424" spans="1:21" ht="30" customHeight="1" x14ac:dyDescent="0.25">
      <c r="A424" s="1442" t="s">
        <v>371</v>
      </c>
      <c r="B424" s="1443"/>
      <c r="C424" s="1203" t="s">
        <v>372</v>
      </c>
      <c r="D424" s="1522"/>
      <c r="E424" s="603">
        <v>9.1999999999999993</v>
      </c>
      <c r="F424" s="624" t="s">
        <v>357</v>
      </c>
      <c r="G424" s="606">
        <v>745917.15</v>
      </c>
      <c r="H424" s="205">
        <v>419926.2</v>
      </c>
      <c r="I424" s="607">
        <v>5437.51</v>
      </c>
      <c r="J424" s="627">
        <v>655127.46</v>
      </c>
      <c r="K424" s="606">
        <v>1171280.8600000001</v>
      </c>
      <c r="L424" s="628" t="s">
        <v>357</v>
      </c>
      <c r="N424" s="54"/>
    </row>
    <row r="425" spans="1:21" ht="30" customHeight="1" x14ac:dyDescent="0.25">
      <c r="A425" s="1172" t="s">
        <v>170</v>
      </c>
      <c r="B425" s="1173"/>
      <c r="C425" s="1173"/>
      <c r="D425" s="1174"/>
      <c r="E425" s="351"/>
      <c r="F425" s="352"/>
      <c r="G425" s="360"/>
      <c r="H425" s="248"/>
      <c r="I425" s="367" t="s">
        <v>373</v>
      </c>
      <c r="J425" s="612">
        <f>SUM(J419:J424)</f>
        <v>9080765.75</v>
      </c>
      <c r="K425" s="612">
        <v>15883929.84</v>
      </c>
      <c r="L425" s="360"/>
      <c r="T425" s="10"/>
      <c r="U425" s="10"/>
    </row>
    <row r="426" spans="1:21" ht="30" customHeight="1" x14ac:dyDescent="0.25">
      <c r="A426" s="1175"/>
      <c r="B426" s="1176"/>
      <c r="C426" s="1176"/>
      <c r="D426" s="1177"/>
      <c r="E426" s="351"/>
      <c r="F426" s="352"/>
      <c r="G426" s="360"/>
      <c r="H426" s="248"/>
      <c r="I426" s="367"/>
      <c r="J426" s="612" t="s">
        <v>71</v>
      </c>
      <c r="K426" s="360">
        <v>1.06</v>
      </c>
      <c r="L426" s="360"/>
      <c r="N426" s="54"/>
      <c r="T426" s="60"/>
      <c r="U426" s="60"/>
    </row>
    <row r="427" spans="1:21" s="345" customFormat="1" ht="30" customHeight="1" thickBot="1" x14ac:dyDescent="0.3">
      <c r="A427" s="1175"/>
      <c r="B427" s="1176"/>
      <c r="C427" s="1176"/>
      <c r="D427" s="1177"/>
      <c r="E427" s="357"/>
      <c r="F427" s="357"/>
      <c r="G427" s="1509"/>
      <c r="H427" s="1509"/>
      <c r="I427" s="357"/>
      <c r="J427" s="357" t="s">
        <v>72</v>
      </c>
      <c r="K427" s="630">
        <f>K425/H417/K426</f>
        <v>15975.308605221868</v>
      </c>
      <c r="L427" s="631" t="s">
        <v>76</v>
      </c>
      <c r="M427" s="54"/>
      <c r="N427" s="54"/>
      <c r="O427" s="554"/>
      <c r="P427" s="344"/>
    </row>
    <row r="428" spans="1:21" ht="30" customHeight="1" thickBot="1" x14ac:dyDescent="0.3">
      <c r="A428" s="1180"/>
      <c r="B428" s="1181"/>
      <c r="C428" s="1181"/>
      <c r="D428" s="1181"/>
      <c r="E428" s="1181"/>
      <c r="F428" s="1181"/>
      <c r="G428" s="1181"/>
      <c r="H428" s="1181"/>
      <c r="I428" s="1181"/>
      <c r="J428" s="1181"/>
      <c r="K428" s="1181"/>
      <c r="L428" s="1182"/>
      <c r="M428" s="54"/>
      <c r="N428" s="54"/>
    </row>
    <row r="429" spans="1:21" ht="30" customHeight="1" x14ac:dyDescent="0.25">
      <c r="A429" s="327" t="s">
        <v>5</v>
      </c>
      <c r="B429" s="328">
        <v>1371</v>
      </c>
      <c r="C429" s="1218" t="s">
        <v>374</v>
      </c>
      <c r="D429" s="1219"/>
      <c r="E429" s="331" t="s">
        <v>8</v>
      </c>
      <c r="F429" s="332" t="s">
        <v>205</v>
      </c>
      <c r="G429" s="342" t="s">
        <v>74</v>
      </c>
      <c r="H429" s="160">
        <v>192</v>
      </c>
      <c r="I429" s="331" t="s">
        <v>10</v>
      </c>
      <c r="J429" s="1253" t="s">
        <v>281</v>
      </c>
      <c r="K429" s="1254"/>
      <c r="L429" s="1255"/>
      <c r="M429" s="54"/>
      <c r="N429" s="54"/>
    </row>
    <row r="430" spans="1:21" ht="30" customHeight="1" x14ac:dyDescent="0.25">
      <c r="A430" s="356" t="s">
        <v>282</v>
      </c>
      <c r="B430" s="1163" t="s">
        <v>13</v>
      </c>
      <c r="C430" s="1163"/>
      <c r="D430" s="1163"/>
      <c r="E430" s="357" t="s">
        <v>283</v>
      </c>
      <c r="F430" s="546" t="s">
        <v>116</v>
      </c>
      <c r="G430" s="356"/>
      <c r="H430" s="356"/>
      <c r="I430" s="1276" t="s">
        <v>284</v>
      </c>
      <c r="J430" s="1277"/>
      <c r="K430" s="1236" t="s">
        <v>285</v>
      </c>
      <c r="L430" s="1237"/>
      <c r="O430" s="632"/>
      <c r="T430" s="10"/>
      <c r="U430" s="10"/>
    </row>
    <row r="431" spans="1:21" ht="30" customHeight="1" x14ac:dyDescent="0.25">
      <c r="A431" s="367" t="s">
        <v>286</v>
      </c>
      <c r="B431" s="1164" t="s">
        <v>287</v>
      </c>
      <c r="C431" s="1164"/>
      <c r="D431" s="1164"/>
      <c r="E431" s="547">
        <v>57000</v>
      </c>
      <c r="F431" s="240">
        <v>489</v>
      </c>
      <c r="G431" s="548"/>
      <c r="H431" s="549"/>
      <c r="I431" s="1302" t="s">
        <v>288</v>
      </c>
      <c r="J431" s="1303"/>
      <c r="K431" s="240">
        <f>F431</f>
        <v>489</v>
      </c>
      <c r="L431" s="367" t="s">
        <v>205</v>
      </c>
      <c r="M431" s="54"/>
      <c r="N431" s="54"/>
      <c r="T431" s="60"/>
      <c r="U431" s="60"/>
    </row>
    <row r="432" spans="1:21" s="345" customFormat="1" ht="30" customHeight="1" thickBot="1" x14ac:dyDescent="0.3">
      <c r="A432" s="365"/>
      <c r="B432" s="1281"/>
      <c r="C432" s="1281"/>
      <c r="D432" s="1281"/>
      <c r="E432" s="550"/>
      <c r="F432" s="551"/>
      <c r="G432" s="551"/>
      <c r="H432" s="552"/>
      <c r="I432" s="366"/>
      <c r="J432" s="359" t="s">
        <v>72</v>
      </c>
      <c r="K432" s="246">
        <f>K431</f>
        <v>489</v>
      </c>
      <c r="L432" s="365" t="s">
        <v>205</v>
      </c>
      <c r="M432" s="54"/>
      <c r="N432" s="54"/>
      <c r="O432" s="344"/>
      <c r="P432" s="344"/>
    </row>
    <row r="433" spans="1:21" ht="30" customHeight="1" thickBot="1" x14ac:dyDescent="0.3">
      <c r="A433" s="1180"/>
      <c r="B433" s="1181"/>
      <c r="C433" s="1181"/>
      <c r="D433" s="1181"/>
      <c r="E433" s="1181"/>
      <c r="F433" s="1181"/>
      <c r="G433" s="1181"/>
      <c r="H433" s="1181"/>
      <c r="I433" s="1181"/>
      <c r="J433" s="1181"/>
      <c r="K433" s="1181"/>
      <c r="L433" s="1182"/>
      <c r="M433" s="54"/>
      <c r="N433" s="54"/>
    </row>
    <row r="434" spans="1:21" ht="30" customHeight="1" x14ac:dyDescent="0.25">
      <c r="A434" s="327" t="s">
        <v>5</v>
      </c>
      <c r="B434" s="328">
        <v>1381</v>
      </c>
      <c r="C434" s="1364" t="s">
        <v>375</v>
      </c>
      <c r="D434" s="1365"/>
      <c r="E434" s="331" t="s">
        <v>8</v>
      </c>
      <c r="F434" s="332" t="s">
        <v>76</v>
      </c>
      <c r="G434" s="342" t="s">
        <v>74</v>
      </c>
      <c r="H434" s="576">
        <v>1</v>
      </c>
      <c r="I434" s="331" t="s">
        <v>10</v>
      </c>
      <c r="J434" s="1220" t="s">
        <v>376</v>
      </c>
      <c r="K434" s="1220"/>
      <c r="L434" s="1221"/>
      <c r="M434" s="54"/>
      <c r="N434" s="54"/>
    </row>
    <row r="435" spans="1:21" ht="30" customHeight="1" x14ac:dyDescent="0.25">
      <c r="A435" s="359" t="s">
        <v>295</v>
      </c>
      <c r="B435" s="1222" t="s">
        <v>326</v>
      </c>
      <c r="C435" s="1235"/>
      <c r="D435" s="1223"/>
      <c r="E435" s="577" t="s">
        <v>116</v>
      </c>
      <c r="F435" s="577" t="s">
        <v>117</v>
      </c>
      <c r="G435" s="1236" t="s">
        <v>118</v>
      </c>
      <c r="H435" s="1237"/>
      <c r="I435" s="633" t="s">
        <v>296</v>
      </c>
      <c r="J435" s="633"/>
      <c r="K435" s="1236" t="s">
        <v>285</v>
      </c>
      <c r="L435" s="1237"/>
      <c r="T435" s="10"/>
      <c r="U435" s="10"/>
    </row>
    <row r="436" spans="1:21" ht="30" customHeight="1" x14ac:dyDescent="0.25">
      <c r="A436" s="367" t="s">
        <v>297</v>
      </c>
      <c r="B436" s="1245" t="s">
        <v>377</v>
      </c>
      <c r="C436" s="1245"/>
      <c r="D436" s="1245"/>
      <c r="E436" s="244">
        <f>+(15800+25200)/2</f>
        <v>20500</v>
      </c>
      <c r="F436" s="367" t="s">
        <v>76</v>
      </c>
      <c r="G436" s="367"/>
      <c r="H436" s="367"/>
      <c r="I436" s="634">
        <v>1.2</v>
      </c>
      <c r="J436" s="367"/>
      <c r="K436" s="244">
        <f>+E436*I436</f>
        <v>24600</v>
      </c>
      <c r="L436" s="367" t="s">
        <v>76</v>
      </c>
      <c r="M436" s="54"/>
      <c r="N436" s="54"/>
      <c r="T436" s="60"/>
      <c r="U436" s="60"/>
    </row>
    <row r="437" spans="1:21" s="345" customFormat="1" ht="30" customHeight="1" x14ac:dyDescent="0.25">
      <c r="A437" s="365"/>
      <c r="B437" s="578"/>
      <c r="C437" s="578"/>
      <c r="D437" s="578"/>
      <c r="E437" s="247"/>
      <c r="F437" s="1272" t="s">
        <v>303</v>
      </c>
      <c r="G437" s="1283" t="s">
        <v>304</v>
      </c>
      <c r="H437" s="1283"/>
      <c r="I437" s="1283"/>
      <c r="J437" s="1283"/>
      <c r="K437" s="250">
        <v>1.06</v>
      </c>
      <c r="L437" s="365"/>
      <c r="M437" s="54"/>
      <c r="N437" s="54"/>
      <c r="O437" s="543"/>
      <c r="P437" s="344"/>
    </row>
    <row r="438" spans="1:21" ht="30" customHeight="1" x14ac:dyDescent="0.25">
      <c r="A438" s="365"/>
      <c r="B438" s="578"/>
      <c r="C438" s="578"/>
      <c r="D438" s="578"/>
      <c r="E438" s="247"/>
      <c r="F438" s="1273"/>
      <c r="G438" s="1284" t="s">
        <v>305</v>
      </c>
      <c r="H438" s="1284"/>
      <c r="I438" s="1284"/>
      <c r="J438" s="1284"/>
      <c r="K438" s="251">
        <v>1.06</v>
      </c>
      <c r="L438" s="365"/>
      <c r="M438" s="54"/>
      <c r="N438" s="54"/>
    </row>
    <row r="439" spans="1:21" ht="30" customHeight="1" x14ac:dyDescent="0.25">
      <c r="A439" s="365"/>
      <c r="B439" s="365"/>
      <c r="C439" s="366"/>
      <c r="D439" s="366"/>
      <c r="E439" s="366"/>
      <c r="F439" s="366"/>
      <c r="G439" s="366"/>
      <c r="H439" s="366"/>
      <c r="I439" s="366"/>
      <c r="J439" s="359" t="s">
        <v>72</v>
      </c>
      <c r="K439" s="246">
        <f>+K436*K437/K438</f>
        <v>24600</v>
      </c>
      <c r="L439" s="365" t="s">
        <v>76</v>
      </c>
      <c r="M439" s="54"/>
      <c r="N439" s="54"/>
    </row>
    <row r="440" spans="1:21" ht="30" customHeight="1" thickBot="1" x14ac:dyDescent="0.3">
      <c r="A440" s="365"/>
      <c r="B440" s="365"/>
      <c r="C440" s="366"/>
      <c r="D440" s="366"/>
      <c r="E440" s="366"/>
      <c r="F440" s="366"/>
      <c r="G440" s="580" t="s">
        <v>306</v>
      </c>
      <c r="H440" s="366"/>
      <c r="I440" s="366"/>
      <c r="J440" s="521">
        <f>VLOOKUP(B434,'Mil Cost Premiums for PUCs'!$A$4:$R$277,18,FALSE)</f>
        <v>1.0209999999999999</v>
      </c>
      <c r="K440" s="246">
        <f>+K439*J440</f>
        <v>25116.6</v>
      </c>
      <c r="L440" s="365" t="s">
        <v>76</v>
      </c>
      <c r="N440" s="54"/>
      <c r="O440" s="340"/>
      <c r="T440" s="10"/>
      <c r="U440" s="10"/>
    </row>
    <row r="441" spans="1:21" ht="30" customHeight="1" thickBot="1" x14ac:dyDescent="0.3">
      <c r="A441" s="1180"/>
      <c r="B441" s="1181"/>
      <c r="C441" s="1181"/>
      <c r="D441" s="1181"/>
      <c r="E441" s="1181"/>
      <c r="F441" s="1181"/>
      <c r="G441" s="1181"/>
      <c r="H441" s="1181"/>
      <c r="I441" s="1181"/>
      <c r="J441" s="1181"/>
      <c r="K441" s="1181"/>
      <c r="L441" s="1182"/>
      <c r="M441" s="54"/>
      <c r="N441" s="54"/>
      <c r="T441" s="60"/>
      <c r="U441" s="60"/>
    </row>
    <row r="442" spans="1:21" s="345" customFormat="1" ht="30" customHeight="1" x14ac:dyDescent="0.25">
      <c r="A442" s="327" t="s">
        <v>5</v>
      </c>
      <c r="B442" s="328">
        <v>1402</v>
      </c>
      <c r="C442" s="1218" t="s">
        <v>378</v>
      </c>
      <c r="D442" s="1219"/>
      <c r="E442" s="331" t="s">
        <v>8</v>
      </c>
      <c r="F442" s="332" t="s">
        <v>205</v>
      </c>
      <c r="G442" s="342" t="s">
        <v>74</v>
      </c>
      <c r="H442" s="160">
        <v>9674</v>
      </c>
      <c r="I442" s="331" t="s">
        <v>10</v>
      </c>
      <c r="J442" s="1253" t="s">
        <v>281</v>
      </c>
      <c r="K442" s="1254"/>
      <c r="L442" s="1255"/>
      <c r="M442" s="54"/>
      <c r="O442" s="543"/>
      <c r="P442" s="344"/>
    </row>
    <row r="443" spans="1:21" ht="30" customHeight="1" x14ac:dyDescent="0.25">
      <c r="A443" s="356" t="s">
        <v>282</v>
      </c>
      <c r="B443" s="1163" t="s">
        <v>13</v>
      </c>
      <c r="C443" s="1163"/>
      <c r="D443" s="1163"/>
      <c r="E443" s="357" t="s">
        <v>283</v>
      </c>
      <c r="F443" s="546" t="s">
        <v>116</v>
      </c>
      <c r="G443" s="356"/>
      <c r="H443" s="356"/>
      <c r="I443" s="1276" t="s">
        <v>284</v>
      </c>
      <c r="J443" s="1277"/>
      <c r="K443" s="1236" t="s">
        <v>285</v>
      </c>
      <c r="L443" s="1237"/>
      <c r="M443" s="54"/>
      <c r="N443" s="54"/>
    </row>
    <row r="444" spans="1:21" ht="30" customHeight="1" x14ac:dyDescent="0.25">
      <c r="A444" s="367" t="s">
        <v>286</v>
      </c>
      <c r="B444" s="1164" t="s">
        <v>379</v>
      </c>
      <c r="C444" s="1164"/>
      <c r="D444" s="1164"/>
      <c r="E444" s="547">
        <v>54000</v>
      </c>
      <c r="F444" s="240">
        <v>385</v>
      </c>
      <c r="G444" s="548"/>
      <c r="H444" s="549"/>
      <c r="I444" s="1302" t="s">
        <v>288</v>
      </c>
      <c r="J444" s="1303"/>
      <c r="K444" s="240">
        <f>F444</f>
        <v>385</v>
      </c>
      <c r="L444" s="367" t="s">
        <v>205</v>
      </c>
      <c r="M444" s="334"/>
      <c r="N444" s="54"/>
    </row>
    <row r="445" spans="1:21" ht="30" customHeight="1" thickBot="1" x14ac:dyDescent="0.3">
      <c r="A445" s="365"/>
      <c r="B445" s="1209"/>
      <c r="C445" s="1210"/>
      <c r="D445" s="1211"/>
      <c r="E445" s="550"/>
      <c r="F445" s="551"/>
      <c r="G445" s="551"/>
      <c r="H445" s="552"/>
      <c r="I445" s="366"/>
      <c r="J445" s="456" t="s">
        <v>72</v>
      </c>
      <c r="K445" s="246">
        <f>+K444</f>
        <v>385</v>
      </c>
      <c r="L445" s="365" t="s">
        <v>205</v>
      </c>
      <c r="N445" s="54"/>
      <c r="T445" s="10"/>
      <c r="U445" s="10"/>
    </row>
    <row r="446" spans="1:21" ht="30" customHeight="1" thickBot="1" x14ac:dyDescent="0.3">
      <c r="A446" s="1180"/>
      <c r="B446" s="1181"/>
      <c r="C446" s="1181"/>
      <c r="D446" s="1181"/>
      <c r="E446" s="1181"/>
      <c r="F446" s="1181"/>
      <c r="G446" s="1181"/>
      <c r="H446" s="1181"/>
      <c r="I446" s="1181"/>
      <c r="J446" s="1181"/>
      <c r="K446" s="1181"/>
      <c r="L446" s="1182"/>
      <c r="M446" s="54"/>
      <c r="N446" s="54"/>
      <c r="T446" s="60"/>
      <c r="U446" s="60"/>
    </row>
    <row r="447" spans="1:21" s="345" customFormat="1" ht="30" customHeight="1" x14ac:dyDescent="0.25">
      <c r="A447" s="327" t="s">
        <v>5</v>
      </c>
      <c r="B447" s="328">
        <v>1403</v>
      </c>
      <c r="C447" s="1218" t="s">
        <v>380</v>
      </c>
      <c r="D447" s="1219"/>
      <c r="E447" s="331" t="s">
        <v>8</v>
      </c>
      <c r="F447" s="332" t="s">
        <v>205</v>
      </c>
      <c r="G447" s="342" t="s">
        <v>74</v>
      </c>
      <c r="H447" s="160">
        <v>5859</v>
      </c>
      <c r="I447" s="331" t="s">
        <v>10</v>
      </c>
      <c r="J447" s="1253" t="s">
        <v>281</v>
      </c>
      <c r="K447" s="1254"/>
      <c r="L447" s="1255"/>
      <c r="M447" s="54"/>
      <c r="N447" s="54"/>
      <c r="O447" s="554"/>
      <c r="P447" s="344"/>
    </row>
    <row r="448" spans="1:21" s="345" customFormat="1" ht="30" customHeight="1" x14ac:dyDescent="0.25">
      <c r="A448" s="356" t="s">
        <v>282</v>
      </c>
      <c r="B448" s="1163" t="s">
        <v>13</v>
      </c>
      <c r="C448" s="1163"/>
      <c r="D448" s="1163"/>
      <c r="E448" s="357" t="s">
        <v>283</v>
      </c>
      <c r="F448" s="546" t="s">
        <v>116</v>
      </c>
      <c r="G448" s="356"/>
      <c r="H448" s="356"/>
      <c r="I448" s="1276" t="s">
        <v>284</v>
      </c>
      <c r="J448" s="1277"/>
      <c r="K448" s="1236" t="s">
        <v>285</v>
      </c>
      <c r="L448" s="1237"/>
      <c r="M448" s="54"/>
      <c r="N448" s="54"/>
      <c r="O448" s="543"/>
      <c r="P448" s="344"/>
    </row>
    <row r="449" spans="1:19" s="345" customFormat="1" ht="30" customHeight="1" x14ac:dyDescent="0.25">
      <c r="A449" s="367" t="s">
        <v>286</v>
      </c>
      <c r="B449" s="1164" t="s">
        <v>287</v>
      </c>
      <c r="C449" s="1164"/>
      <c r="D449" s="1164"/>
      <c r="E449" s="547">
        <v>57000</v>
      </c>
      <c r="F449" s="240">
        <v>489</v>
      </c>
      <c r="G449" s="548"/>
      <c r="H449" s="549"/>
      <c r="I449" s="1302" t="s">
        <v>288</v>
      </c>
      <c r="J449" s="1303"/>
      <c r="K449" s="240">
        <f>F449</f>
        <v>489</v>
      </c>
      <c r="L449" s="367" t="s">
        <v>205</v>
      </c>
      <c r="M449" s="54"/>
      <c r="N449" s="112"/>
      <c r="O449" s="635"/>
      <c r="P449" s="344"/>
    </row>
    <row r="450" spans="1:19" ht="30" customHeight="1" thickBot="1" x14ac:dyDescent="0.3">
      <c r="A450" s="365"/>
      <c r="B450" s="1281"/>
      <c r="C450" s="1281"/>
      <c r="D450" s="1281"/>
      <c r="E450" s="550"/>
      <c r="F450" s="551"/>
      <c r="G450" s="551"/>
      <c r="H450" s="552"/>
      <c r="I450" s="366"/>
      <c r="J450" s="359" t="s">
        <v>72</v>
      </c>
      <c r="K450" s="246">
        <f>K449</f>
        <v>489</v>
      </c>
      <c r="L450" s="365" t="s">
        <v>205</v>
      </c>
      <c r="N450" s="54"/>
    </row>
    <row r="451" spans="1:19" ht="30" customHeight="1" thickBot="1" x14ac:dyDescent="0.3">
      <c r="A451" s="1180"/>
      <c r="B451" s="1181"/>
      <c r="C451" s="1181"/>
      <c r="D451" s="1181"/>
      <c r="E451" s="1181"/>
      <c r="F451" s="1181"/>
      <c r="G451" s="1181"/>
      <c r="H451" s="1181"/>
      <c r="I451" s="1181"/>
      <c r="J451" s="1181"/>
      <c r="K451" s="1181"/>
      <c r="L451" s="1182"/>
      <c r="M451" s="54"/>
      <c r="N451" s="54"/>
    </row>
    <row r="452" spans="1:19" ht="30" customHeight="1" x14ac:dyDescent="0.25">
      <c r="A452" s="327" t="s">
        <v>5</v>
      </c>
      <c r="B452" s="328">
        <v>1404</v>
      </c>
      <c r="C452" s="1218" t="s">
        <v>381</v>
      </c>
      <c r="D452" s="1219"/>
      <c r="E452" s="331" t="s">
        <v>8</v>
      </c>
      <c r="F452" s="332" t="s">
        <v>205</v>
      </c>
      <c r="G452" s="342" t="s">
        <v>74</v>
      </c>
      <c r="H452" s="160">
        <v>13803</v>
      </c>
      <c r="I452" s="331" t="s">
        <v>10</v>
      </c>
      <c r="J452" s="1253" t="s">
        <v>382</v>
      </c>
      <c r="K452" s="1254"/>
      <c r="L452" s="1255"/>
      <c r="M452" s="111"/>
      <c r="O452" s="336"/>
      <c r="P452" s="334"/>
      <c r="Q452" s="335"/>
      <c r="R452" s="336"/>
      <c r="S452" s="337"/>
    </row>
    <row r="453" spans="1:19" ht="30" customHeight="1" x14ac:dyDescent="0.25">
      <c r="A453" s="356" t="s">
        <v>282</v>
      </c>
      <c r="B453" s="1163" t="s">
        <v>13</v>
      </c>
      <c r="C453" s="1163"/>
      <c r="D453" s="1163"/>
      <c r="E453" s="357" t="s">
        <v>283</v>
      </c>
      <c r="F453" s="546" t="s">
        <v>116</v>
      </c>
      <c r="G453" s="356"/>
      <c r="H453" s="356"/>
      <c r="I453" s="1276" t="s">
        <v>284</v>
      </c>
      <c r="J453" s="1277"/>
      <c r="K453" s="1236" t="s">
        <v>285</v>
      </c>
      <c r="L453" s="1237"/>
      <c r="M453" s="54"/>
      <c r="N453" s="54"/>
      <c r="O453" s="336"/>
      <c r="P453" s="334"/>
      <c r="Q453" s="335"/>
      <c r="R453" s="336"/>
      <c r="S453" s="337"/>
    </row>
    <row r="454" spans="1:19" ht="30" customHeight="1" x14ac:dyDescent="0.25">
      <c r="A454" s="367">
        <v>14161</v>
      </c>
      <c r="B454" s="1164" t="s">
        <v>383</v>
      </c>
      <c r="C454" s="1164"/>
      <c r="D454" s="1164"/>
      <c r="E454" s="547">
        <v>80500</v>
      </c>
      <c r="F454" s="240">
        <v>611</v>
      </c>
      <c r="G454" s="548"/>
      <c r="H454" s="549"/>
      <c r="I454" s="1302">
        <f>+'2022 MILCON Inflation Table'!F21</f>
        <v>0.94047825952836139</v>
      </c>
      <c r="J454" s="1303"/>
      <c r="K454" s="242">
        <f>+F454*I454</f>
        <v>574.63221657182885</v>
      </c>
      <c r="L454" s="367" t="s">
        <v>205</v>
      </c>
      <c r="M454" s="54"/>
      <c r="N454" s="54"/>
      <c r="O454" s="344"/>
      <c r="P454" s="334"/>
      <c r="Q454" s="335"/>
      <c r="R454" s="336"/>
      <c r="S454" s="337"/>
    </row>
    <row r="455" spans="1:19" ht="30" customHeight="1" thickBot="1" x14ac:dyDescent="0.3">
      <c r="A455" s="561"/>
      <c r="B455" s="562"/>
      <c r="C455" s="562"/>
      <c r="D455" s="563"/>
      <c r="E455" s="550"/>
      <c r="F455" s="551"/>
      <c r="G455" s="551"/>
      <c r="H455" s="552"/>
      <c r="I455" s="366"/>
      <c r="J455" s="359" t="s">
        <v>72</v>
      </c>
      <c r="K455" s="243">
        <f>+K454</f>
        <v>574.63221657182885</v>
      </c>
      <c r="L455" s="365" t="s">
        <v>205</v>
      </c>
      <c r="M455" s="54"/>
      <c r="N455" s="54"/>
      <c r="O455" s="344"/>
      <c r="P455" s="334"/>
      <c r="Q455" s="335"/>
      <c r="R455" s="336"/>
      <c r="S455" s="337"/>
    </row>
    <row r="456" spans="1:19" ht="30" customHeight="1" thickBot="1" x14ac:dyDescent="0.3">
      <c r="A456" s="1180"/>
      <c r="B456" s="1181"/>
      <c r="C456" s="1181"/>
      <c r="D456" s="1181"/>
      <c r="E456" s="1181"/>
      <c r="F456" s="1181"/>
      <c r="G456" s="1181"/>
      <c r="H456" s="1181"/>
      <c r="I456" s="1181"/>
      <c r="J456" s="1181"/>
      <c r="K456" s="1181"/>
      <c r="L456" s="1182"/>
      <c r="M456" s="54"/>
      <c r="N456" s="54"/>
      <c r="O456" s="336"/>
      <c r="P456" s="334"/>
      <c r="Q456" s="335"/>
      <c r="R456" s="336"/>
      <c r="S456" s="337"/>
    </row>
    <row r="457" spans="1:19" ht="30" customHeight="1" x14ac:dyDescent="0.25">
      <c r="A457" s="327" t="s">
        <v>5</v>
      </c>
      <c r="B457" s="328">
        <v>1411</v>
      </c>
      <c r="C457" s="1218" t="s">
        <v>384</v>
      </c>
      <c r="D457" s="1219"/>
      <c r="E457" s="331" t="s">
        <v>8</v>
      </c>
      <c r="F457" s="332" t="s">
        <v>205</v>
      </c>
      <c r="G457" s="342" t="s">
        <v>74</v>
      </c>
      <c r="H457" s="160">
        <v>9247</v>
      </c>
      <c r="I457" s="331" t="s">
        <v>10</v>
      </c>
      <c r="J457" s="1253" t="s">
        <v>281</v>
      </c>
      <c r="K457" s="1254"/>
      <c r="L457" s="1255"/>
      <c r="M457" s="543"/>
      <c r="O457" s="336"/>
      <c r="P457" s="334"/>
      <c r="Q457" s="335"/>
      <c r="R457" s="336"/>
      <c r="S457" s="337"/>
    </row>
    <row r="458" spans="1:19" ht="30" customHeight="1" x14ac:dyDescent="0.25">
      <c r="A458" s="356" t="s">
        <v>282</v>
      </c>
      <c r="B458" s="1163" t="s">
        <v>13</v>
      </c>
      <c r="C458" s="1163"/>
      <c r="D458" s="1163"/>
      <c r="E458" s="357" t="s">
        <v>283</v>
      </c>
      <c r="F458" s="546" t="s">
        <v>116</v>
      </c>
      <c r="G458" s="356"/>
      <c r="H458" s="356"/>
      <c r="I458" s="1276" t="s">
        <v>284</v>
      </c>
      <c r="J458" s="1277"/>
      <c r="K458" s="1236" t="s">
        <v>285</v>
      </c>
      <c r="L458" s="1237"/>
      <c r="M458" s="54"/>
      <c r="N458" s="54"/>
      <c r="O458" s="336"/>
      <c r="P458" s="334"/>
      <c r="Q458" s="335"/>
      <c r="R458" s="336"/>
      <c r="S458" s="337"/>
    </row>
    <row r="459" spans="1:19" ht="30" customHeight="1" x14ac:dyDescent="0.25">
      <c r="A459" s="367" t="s">
        <v>286</v>
      </c>
      <c r="B459" s="1164" t="s">
        <v>384</v>
      </c>
      <c r="C459" s="1164"/>
      <c r="D459" s="1164"/>
      <c r="E459" s="547">
        <v>20000</v>
      </c>
      <c r="F459" s="240">
        <v>672</v>
      </c>
      <c r="G459" s="548"/>
      <c r="H459" s="636"/>
      <c r="I459" s="1302" t="s">
        <v>288</v>
      </c>
      <c r="J459" s="1303"/>
      <c r="K459" s="240">
        <f>F459</f>
        <v>672</v>
      </c>
      <c r="L459" s="367" t="s">
        <v>205</v>
      </c>
      <c r="M459" s="54"/>
      <c r="N459" s="54"/>
      <c r="O459" s="336"/>
      <c r="P459" s="334"/>
      <c r="Q459" s="335"/>
      <c r="R459" s="336"/>
      <c r="S459" s="337"/>
    </row>
    <row r="460" spans="1:19" ht="30" customHeight="1" thickBot="1" x14ac:dyDescent="0.3">
      <c r="A460" s="365"/>
      <c r="B460" s="1403"/>
      <c r="C460" s="1404"/>
      <c r="D460" s="1405"/>
      <c r="E460" s="550"/>
      <c r="F460" s="551"/>
      <c r="G460" s="551"/>
      <c r="H460" s="552"/>
      <c r="I460" s="366"/>
      <c r="J460" s="359" t="s">
        <v>72</v>
      </c>
      <c r="K460" s="246">
        <f>+K459</f>
        <v>672</v>
      </c>
      <c r="L460" s="365" t="s">
        <v>205</v>
      </c>
      <c r="M460" s="54"/>
      <c r="N460" s="54"/>
      <c r="O460" s="336"/>
      <c r="P460" s="334"/>
      <c r="Q460" s="335"/>
      <c r="R460" s="336"/>
      <c r="S460" s="337"/>
    </row>
    <row r="461" spans="1:19" ht="30" customHeight="1" thickBot="1" x14ac:dyDescent="0.3">
      <c r="A461" s="1180"/>
      <c r="B461" s="1181"/>
      <c r="C461" s="1181"/>
      <c r="D461" s="1181"/>
      <c r="E461" s="1181"/>
      <c r="F461" s="1181"/>
      <c r="G461" s="1181"/>
      <c r="H461" s="1181"/>
      <c r="I461" s="1181"/>
      <c r="J461" s="1181"/>
      <c r="K461" s="1181"/>
      <c r="L461" s="1182"/>
      <c r="M461" s="54"/>
      <c r="N461" s="54"/>
      <c r="O461" s="336"/>
      <c r="P461" s="334"/>
      <c r="Q461" s="335"/>
      <c r="R461" s="336"/>
      <c r="S461" s="337"/>
    </row>
    <row r="462" spans="1:19" ht="30" customHeight="1" x14ac:dyDescent="0.25">
      <c r="A462" s="327" t="s">
        <v>5</v>
      </c>
      <c r="B462" s="328">
        <v>1412</v>
      </c>
      <c r="C462" s="1218" t="s">
        <v>385</v>
      </c>
      <c r="D462" s="1219"/>
      <c r="E462" s="331" t="s">
        <v>8</v>
      </c>
      <c r="F462" s="332" t="s">
        <v>205</v>
      </c>
      <c r="G462" s="342" t="s">
        <v>74</v>
      </c>
      <c r="H462" s="160">
        <v>9942</v>
      </c>
      <c r="I462" s="331" t="s">
        <v>10</v>
      </c>
      <c r="J462" s="1253" t="s">
        <v>281</v>
      </c>
      <c r="K462" s="1254"/>
      <c r="L462" s="1255"/>
      <c r="M462" s="54"/>
      <c r="N462" s="54"/>
      <c r="O462" s="637"/>
      <c r="P462" s="334"/>
      <c r="Q462" s="335"/>
      <c r="R462" s="336"/>
      <c r="S462" s="337"/>
    </row>
    <row r="463" spans="1:19" ht="30" customHeight="1" x14ac:dyDescent="0.25">
      <c r="A463" s="356" t="s">
        <v>282</v>
      </c>
      <c r="B463" s="1163" t="s">
        <v>13</v>
      </c>
      <c r="C463" s="1163"/>
      <c r="D463" s="1163"/>
      <c r="E463" s="357" t="s">
        <v>283</v>
      </c>
      <c r="F463" s="546" t="s">
        <v>116</v>
      </c>
      <c r="G463" s="356"/>
      <c r="H463" s="356"/>
      <c r="I463" s="1276" t="s">
        <v>284</v>
      </c>
      <c r="J463" s="1277"/>
      <c r="K463" s="1236" t="s">
        <v>285</v>
      </c>
      <c r="L463" s="1237"/>
      <c r="M463" s="54"/>
      <c r="N463" s="54"/>
      <c r="O463" s="336"/>
      <c r="P463" s="334"/>
      <c r="Q463" s="335"/>
      <c r="R463" s="336"/>
      <c r="S463" s="337"/>
    </row>
    <row r="464" spans="1:19" ht="30" customHeight="1" x14ac:dyDescent="0.25">
      <c r="A464" s="367" t="s">
        <v>286</v>
      </c>
      <c r="B464" s="1164" t="s">
        <v>379</v>
      </c>
      <c r="C464" s="1164"/>
      <c r="D464" s="1164"/>
      <c r="E464" s="547">
        <v>54000</v>
      </c>
      <c r="F464" s="240">
        <v>385</v>
      </c>
      <c r="G464" s="548"/>
      <c r="H464" s="549"/>
      <c r="I464" s="1302" t="s">
        <v>288</v>
      </c>
      <c r="J464" s="1303"/>
      <c r="K464" s="240">
        <f>F464</f>
        <v>385</v>
      </c>
      <c r="L464" s="367" t="s">
        <v>205</v>
      </c>
      <c r="M464" s="112"/>
      <c r="N464" s="54"/>
      <c r="O464" s="344"/>
      <c r="P464" s="334"/>
      <c r="Q464" s="335"/>
      <c r="R464" s="336"/>
      <c r="S464" s="337"/>
    </row>
    <row r="465" spans="1:19" ht="30" customHeight="1" thickBot="1" x14ac:dyDescent="0.3">
      <c r="A465" s="365"/>
      <c r="B465" s="1281"/>
      <c r="C465" s="1281"/>
      <c r="D465" s="1281"/>
      <c r="E465" s="550"/>
      <c r="F465" s="551"/>
      <c r="G465" s="551"/>
      <c r="H465" s="552"/>
      <c r="I465" s="366"/>
      <c r="J465" s="359" t="s">
        <v>72</v>
      </c>
      <c r="K465" s="246">
        <f>+K464</f>
        <v>385</v>
      </c>
      <c r="L465" s="365" t="s">
        <v>205</v>
      </c>
      <c r="M465" s="54"/>
      <c r="N465" s="54"/>
      <c r="O465" s="344"/>
      <c r="P465" s="334"/>
      <c r="Q465" s="335"/>
      <c r="R465" s="336"/>
      <c r="S465" s="337"/>
    </row>
    <row r="466" spans="1:19" ht="30" customHeight="1" thickBot="1" x14ac:dyDescent="0.3">
      <c r="A466" s="1180"/>
      <c r="B466" s="1181"/>
      <c r="C466" s="1181"/>
      <c r="D466" s="1181"/>
      <c r="E466" s="1181"/>
      <c r="F466" s="1181"/>
      <c r="G466" s="1181"/>
      <c r="H466" s="1181"/>
      <c r="I466" s="1181"/>
      <c r="J466" s="1181"/>
      <c r="K466" s="1181"/>
      <c r="L466" s="1182"/>
      <c r="M466" s="54"/>
      <c r="N466" s="54"/>
      <c r="O466" s="344"/>
      <c r="P466" s="334"/>
      <c r="Q466" s="335"/>
      <c r="R466" s="336"/>
      <c r="S466" s="337"/>
    </row>
    <row r="467" spans="1:19" ht="30" customHeight="1" x14ac:dyDescent="0.25">
      <c r="A467" s="327" t="s">
        <v>5</v>
      </c>
      <c r="B467" s="328">
        <v>1413</v>
      </c>
      <c r="C467" s="1218" t="s">
        <v>386</v>
      </c>
      <c r="D467" s="1219"/>
      <c r="E467" s="331" t="s">
        <v>8</v>
      </c>
      <c r="F467" s="332" t="s">
        <v>205</v>
      </c>
      <c r="G467" s="342" t="s">
        <v>74</v>
      </c>
      <c r="H467" s="160">
        <v>3714</v>
      </c>
      <c r="I467" s="331" t="s">
        <v>10</v>
      </c>
      <c r="J467" s="1253" t="s">
        <v>281</v>
      </c>
      <c r="K467" s="1254"/>
      <c r="L467" s="1255"/>
      <c r="O467" s="344"/>
      <c r="P467" s="334"/>
      <c r="Q467" s="335"/>
      <c r="R467" s="336"/>
      <c r="S467" s="337"/>
    </row>
    <row r="468" spans="1:19" ht="30" customHeight="1" x14ac:dyDescent="0.25">
      <c r="A468" s="356" t="s">
        <v>282</v>
      </c>
      <c r="B468" s="1163" t="s">
        <v>13</v>
      </c>
      <c r="C468" s="1163"/>
      <c r="D468" s="1163"/>
      <c r="E468" s="357" t="s">
        <v>283</v>
      </c>
      <c r="F468" s="546" t="s">
        <v>116</v>
      </c>
      <c r="G468" s="1276" t="s">
        <v>118</v>
      </c>
      <c r="H468" s="1277"/>
      <c r="I468" s="1276" t="s">
        <v>284</v>
      </c>
      <c r="J468" s="1277"/>
      <c r="K468" s="1236" t="s">
        <v>285</v>
      </c>
      <c r="L468" s="1237"/>
      <c r="M468" s="54"/>
      <c r="N468" s="54"/>
      <c r="O468" s="343"/>
      <c r="P468" s="334"/>
      <c r="Q468" s="335"/>
      <c r="R468" s="336"/>
      <c r="S468" s="337"/>
    </row>
    <row r="469" spans="1:19" ht="30" customHeight="1" x14ac:dyDescent="0.25">
      <c r="A469" s="367" t="s">
        <v>286</v>
      </c>
      <c r="B469" s="1164" t="s">
        <v>387</v>
      </c>
      <c r="C469" s="1164"/>
      <c r="D469" s="1164"/>
      <c r="E469" s="638" t="s">
        <v>388</v>
      </c>
      <c r="F469" s="240">
        <v>101286</v>
      </c>
      <c r="G469" s="639">
        <f>127.5/5630.33</f>
        <v>2.2645209073002825E-2</v>
      </c>
      <c r="H469" s="549" t="s">
        <v>389</v>
      </c>
      <c r="I469" s="1302" t="str">
        <f>I464</f>
        <v>NA;  GUCs are as of October 2021</v>
      </c>
      <c r="J469" s="1303"/>
      <c r="K469" s="240">
        <f>F469*G469</f>
        <v>2293.642646168164</v>
      </c>
      <c r="L469" s="367" t="s">
        <v>205</v>
      </c>
      <c r="M469" s="54"/>
      <c r="N469" s="54"/>
      <c r="O469" s="640"/>
      <c r="P469" s="334"/>
      <c r="Q469" s="335"/>
      <c r="R469" s="336"/>
      <c r="S469" s="337"/>
    </row>
    <row r="470" spans="1:19" ht="30" customHeight="1" thickBot="1" x14ac:dyDescent="0.3">
      <c r="A470" s="1403" t="s">
        <v>390</v>
      </c>
      <c r="B470" s="1404"/>
      <c r="C470" s="1404"/>
      <c r="D470" s="1404"/>
      <c r="E470" s="1405"/>
      <c r="F470" s="551"/>
      <c r="G470" s="551"/>
      <c r="H470" s="552"/>
      <c r="I470" s="641">
        <f>I465</f>
        <v>0</v>
      </c>
      <c r="J470" s="642" t="str">
        <f>J465</f>
        <v>PUC</v>
      </c>
      <c r="K470" s="240">
        <f>K469</f>
        <v>2293.642646168164</v>
      </c>
      <c r="L470" s="367" t="s">
        <v>205</v>
      </c>
      <c r="M470" s="54"/>
      <c r="N470" s="54"/>
      <c r="O470" s="336"/>
      <c r="P470" s="334"/>
      <c r="Q470" s="335"/>
      <c r="R470" s="336"/>
      <c r="S470" s="337"/>
    </row>
    <row r="471" spans="1:19" ht="30" customHeight="1" thickBot="1" x14ac:dyDescent="0.3">
      <c r="A471" s="1180"/>
      <c r="B471" s="1181"/>
      <c r="C471" s="1181"/>
      <c r="D471" s="1181"/>
      <c r="E471" s="1181"/>
      <c r="F471" s="1181"/>
      <c r="G471" s="1181"/>
      <c r="H471" s="1181"/>
      <c r="I471" s="1181"/>
      <c r="J471" s="1181"/>
      <c r="K471" s="1181"/>
      <c r="L471" s="1182"/>
      <c r="M471" s="54"/>
      <c r="N471" s="54"/>
      <c r="O471" s="336"/>
      <c r="P471" s="334"/>
      <c r="Q471" s="335"/>
      <c r="R471" s="336"/>
      <c r="S471" s="337"/>
    </row>
    <row r="472" spans="1:19" ht="30" customHeight="1" x14ac:dyDescent="0.25">
      <c r="A472" s="327" t="s">
        <v>5</v>
      </c>
      <c r="B472" s="328">
        <v>1421</v>
      </c>
      <c r="C472" s="1218" t="s">
        <v>391</v>
      </c>
      <c r="D472" s="1219"/>
      <c r="E472" s="331" t="s">
        <v>8</v>
      </c>
      <c r="F472" s="332" t="s">
        <v>205</v>
      </c>
      <c r="G472" s="342" t="s">
        <v>74</v>
      </c>
      <c r="H472" s="160">
        <v>386</v>
      </c>
      <c r="I472" s="331" t="s">
        <v>10</v>
      </c>
      <c r="J472" s="1253" t="s">
        <v>392</v>
      </c>
      <c r="K472" s="1253"/>
      <c r="L472" s="1367"/>
      <c r="N472" s="54"/>
      <c r="O472" s="336"/>
      <c r="P472" s="334"/>
      <c r="Q472" s="335"/>
      <c r="R472" s="336"/>
      <c r="S472" s="337"/>
    </row>
    <row r="473" spans="1:19" ht="30" customHeight="1" x14ac:dyDescent="0.25">
      <c r="A473" s="356" t="s">
        <v>282</v>
      </c>
      <c r="B473" s="1163" t="s">
        <v>13</v>
      </c>
      <c r="C473" s="1163"/>
      <c r="D473" s="1163"/>
      <c r="E473" s="357" t="s">
        <v>283</v>
      </c>
      <c r="F473" s="546" t="s">
        <v>116</v>
      </c>
      <c r="G473" s="356"/>
      <c r="H473" s="356"/>
      <c r="I473" s="1276" t="s">
        <v>284</v>
      </c>
      <c r="J473" s="1277"/>
      <c r="K473" s="1236" t="s">
        <v>285</v>
      </c>
      <c r="L473" s="1237"/>
      <c r="M473" s="54"/>
      <c r="N473" s="54"/>
      <c r="O473" s="336"/>
      <c r="P473" s="334"/>
      <c r="Q473" s="335"/>
      <c r="R473" s="336"/>
      <c r="S473" s="337"/>
    </row>
    <row r="474" spans="1:19" ht="30" customHeight="1" x14ac:dyDescent="0.25">
      <c r="A474" s="367" t="s">
        <v>286</v>
      </c>
      <c r="B474" s="1268" t="s">
        <v>393</v>
      </c>
      <c r="C474" s="1167"/>
      <c r="D474" s="1168"/>
      <c r="E474" s="547">
        <v>8300</v>
      </c>
      <c r="F474" s="240">
        <v>330</v>
      </c>
      <c r="G474" s="548"/>
      <c r="H474" s="549"/>
      <c r="I474" s="1302" t="str">
        <f>I469</f>
        <v>NA;  GUCs are as of October 2021</v>
      </c>
      <c r="J474" s="1303"/>
      <c r="K474" s="240">
        <v>325</v>
      </c>
      <c r="L474" s="367" t="s">
        <v>205</v>
      </c>
      <c r="M474" s="54"/>
      <c r="N474" s="54"/>
      <c r="O474" s="336"/>
      <c r="P474" s="334"/>
      <c r="Q474" s="335"/>
      <c r="R474" s="336"/>
      <c r="S474" s="337"/>
    </row>
    <row r="475" spans="1:19" ht="30" customHeight="1" x14ac:dyDescent="0.25">
      <c r="A475" s="367">
        <v>44135</v>
      </c>
      <c r="B475" s="1268" t="s">
        <v>394</v>
      </c>
      <c r="C475" s="1167"/>
      <c r="D475" s="1168"/>
      <c r="E475" s="547">
        <v>386</v>
      </c>
      <c r="F475" s="240">
        <v>387</v>
      </c>
      <c r="G475" s="548"/>
      <c r="H475" s="549"/>
      <c r="I475" s="1302">
        <f>'2022 MILCON Inflation Table'!F19</f>
        <v>0.97847358121330719</v>
      </c>
      <c r="J475" s="1303"/>
      <c r="K475" s="240">
        <f>+F475*I475</f>
        <v>378.66927592954988</v>
      </c>
      <c r="L475" s="367" t="s">
        <v>205</v>
      </c>
      <c r="M475" s="54"/>
      <c r="N475" s="54"/>
      <c r="O475" s="336"/>
      <c r="P475" s="334"/>
      <c r="Q475" s="335"/>
      <c r="R475" s="336"/>
      <c r="S475" s="337"/>
    </row>
    <row r="476" spans="1:19" ht="30" customHeight="1" x14ac:dyDescent="0.25">
      <c r="A476" s="365"/>
      <c r="B476" s="561"/>
      <c r="C476" s="562"/>
      <c r="D476" s="563" t="s">
        <v>395</v>
      </c>
      <c r="E476" s="643">
        <f>AVERAGE(E474:E475)</f>
        <v>4343</v>
      </c>
      <c r="F476" s="162"/>
      <c r="G476" s="644"/>
      <c r="H476" s="645"/>
      <c r="I476" s="1302" t="s">
        <v>396</v>
      </c>
      <c r="J476" s="1303"/>
      <c r="K476" s="240">
        <f>((E474/(E474+E475))*K474)+(E475/(E474+E475))*K475</f>
        <v>327.38502653796985</v>
      </c>
      <c r="L476" s="367" t="s">
        <v>205</v>
      </c>
      <c r="M476" s="54"/>
      <c r="N476" s="54"/>
      <c r="O476" s="336"/>
      <c r="P476" s="334"/>
      <c r="Q476" s="335"/>
      <c r="R476" s="336"/>
      <c r="S476" s="337"/>
    </row>
    <row r="477" spans="1:19" ht="30" customHeight="1" thickBot="1" x14ac:dyDescent="0.3">
      <c r="A477" s="365"/>
      <c r="B477" s="1281"/>
      <c r="C477" s="1281"/>
      <c r="D477" s="1281"/>
      <c r="E477" s="646"/>
      <c r="F477" s="647"/>
      <c r="G477" s="647"/>
      <c r="H477" s="648"/>
      <c r="I477" s="366"/>
      <c r="J477" s="359" t="s">
        <v>72</v>
      </c>
      <c r="K477" s="246">
        <f>+K476</f>
        <v>327.38502653796985</v>
      </c>
      <c r="L477" s="365" t="s">
        <v>205</v>
      </c>
      <c r="M477" s="54"/>
      <c r="N477" s="54"/>
      <c r="O477" s="336"/>
      <c r="P477" s="334"/>
      <c r="Q477" s="335"/>
      <c r="R477" s="336"/>
      <c r="S477" s="337"/>
    </row>
    <row r="478" spans="1:19" ht="30" customHeight="1" thickBot="1" x14ac:dyDescent="0.3">
      <c r="A478" s="1180"/>
      <c r="B478" s="1181"/>
      <c r="C478" s="1181"/>
      <c r="D478" s="1181"/>
      <c r="E478" s="1181"/>
      <c r="F478" s="1181"/>
      <c r="G478" s="1181"/>
      <c r="H478" s="1181"/>
      <c r="I478" s="1181"/>
      <c r="J478" s="1181"/>
      <c r="K478" s="1181"/>
      <c r="L478" s="1182"/>
      <c r="M478" s="54"/>
      <c r="N478" s="54"/>
      <c r="O478" s="336"/>
      <c r="P478" s="334"/>
      <c r="Q478" s="335"/>
      <c r="R478" s="336"/>
      <c r="S478" s="337"/>
    </row>
    <row r="479" spans="1:19" ht="30" customHeight="1" x14ac:dyDescent="0.25">
      <c r="A479" s="327" t="s">
        <v>5</v>
      </c>
      <c r="B479" s="328">
        <v>1422</v>
      </c>
      <c r="C479" s="1251" t="s">
        <v>397</v>
      </c>
      <c r="D479" s="1252"/>
      <c r="E479" s="331" t="s">
        <v>8</v>
      </c>
      <c r="F479" s="332" t="s">
        <v>76</v>
      </c>
      <c r="G479" s="333" t="s">
        <v>7</v>
      </c>
      <c r="H479" s="576">
        <v>1</v>
      </c>
      <c r="I479" s="331" t="s">
        <v>10</v>
      </c>
      <c r="J479" s="1220" t="s">
        <v>376</v>
      </c>
      <c r="K479" s="1220"/>
      <c r="L479" s="1221"/>
      <c r="M479" s="54"/>
      <c r="N479" s="54"/>
      <c r="O479" s="336"/>
      <c r="P479" s="334"/>
      <c r="Q479" s="335"/>
      <c r="R479" s="336"/>
      <c r="S479" s="337"/>
    </row>
    <row r="480" spans="1:19" ht="30" customHeight="1" x14ac:dyDescent="0.25">
      <c r="A480" s="359" t="s">
        <v>295</v>
      </c>
      <c r="B480" s="1222" t="s">
        <v>326</v>
      </c>
      <c r="C480" s="1235"/>
      <c r="D480" s="1223"/>
      <c r="E480" s="577" t="s">
        <v>116</v>
      </c>
      <c r="F480" s="577" t="s">
        <v>117</v>
      </c>
      <c r="G480" s="1194" t="s">
        <v>118</v>
      </c>
      <c r="H480" s="1195"/>
      <c r="I480" s="356" t="s">
        <v>296</v>
      </c>
      <c r="J480" s="356"/>
      <c r="K480" s="1236" t="s">
        <v>285</v>
      </c>
      <c r="L480" s="1237"/>
      <c r="M480" s="54"/>
      <c r="N480" s="54"/>
      <c r="O480" s="336"/>
      <c r="P480" s="334"/>
      <c r="Q480" s="335"/>
      <c r="R480" s="336"/>
      <c r="S480" s="337"/>
    </row>
    <row r="481" spans="1:19" ht="30" customHeight="1" x14ac:dyDescent="0.25">
      <c r="A481" s="365" t="s">
        <v>398</v>
      </c>
      <c r="B481" s="1214" t="s">
        <v>399</v>
      </c>
      <c r="C481" s="1215"/>
      <c r="D481" s="1216"/>
      <c r="E481" s="247">
        <v>85750</v>
      </c>
      <c r="F481" s="365" t="s">
        <v>76</v>
      </c>
      <c r="G481" s="365"/>
      <c r="H481" s="365"/>
      <c r="I481" s="365">
        <v>1.19</v>
      </c>
      <c r="J481" s="365"/>
      <c r="K481" s="247">
        <f>+E481*I481</f>
        <v>102042.5</v>
      </c>
      <c r="L481" s="365" t="s">
        <v>76</v>
      </c>
      <c r="M481" s="54"/>
      <c r="N481" s="54"/>
      <c r="O481" s="336"/>
      <c r="P481" s="334"/>
      <c r="Q481" s="335"/>
      <c r="R481" s="336"/>
      <c r="S481" s="337"/>
    </row>
    <row r="482" spans="1:19" ht="30" customHeight="1" x14ac:dyDescent="0.25">
      <c r="A482" s="365" t="s">
        <v>398</v>
      </c>
      <c r="B482" s="1214" t="s">
        <v>400</v>
      </c>
      <c r="C482" s="1215"/>
      <c r="D482" s="1216"/>
      <c r="E482" s="247">
        <v>129000</v>
      </c>
      <c r="F482" s="365" t="s">
        <v>76</v>
      </c>
      <c r="G482" s="365"/>
      <c r="H482" s="365"/>
      <c r="I482" s="365">
        <v>1.19</v>
      </c>
      <c r="J482" s="365"/>
      <c r="K482" s="247">
        <f>+E482*I482</f>
        <v>153510</v>
      </c>
      <c r="L482" s="365" t="s">
        <v>76</v>
      </c>
      <c r="N482" s="54"/>
      <c r="O482" s="336"/>
      <c r="P482" s="334"/>
      <c r="Q482" s="335"/>
      <c r="R482" s="336"/>
      <c r="S482" s="337"/>
    </row>
    <row r="483" spans="1:19" ht="30" customHeight="1" x14ac:dyDescent="0.25">
      <c r="A483" s="365"/>
      <c r="B483" s="561"/>
      <c r="C483" s="562"/>
      <c r="D483" s="563"/>
      <c r="E483" s="247"/>
      <c r="F483" s="365"/>
      <c r="G483" s="365"/>
      <c r="H483" s="365"/>
      <c r="I483" s="365"/>
      <c r="J483" s="365" t="s">
        <v>300</v>
      </c>
      <c r="K483" s="247">
        <f>AVERAGE(K481:K482)</f>
        <v>127776.25</v>
      </c>
      <c r="L483" s="365" t="s">
        <v>76</v>
      </c>
      <c r="M483" s="54"/>
      <c r="N483" s="54"/>
      <c r="O483" s="336"/>
      <c r="P483" s="334"/>
      <c r="Q483" s="335"/>
      <c r="R483" s="336"/>
      <c r="S483" s="337"/>
    </row>
    <row r="484" spans="1:19" ht="30" customHeight="1" x14ac:dyDescent="0.25">
      <c r="A484" s="365"/>
      <c r="B484" s="561"/>
      <c r="C484" s="562"/>
      <c r="D484" s="563"/>
      <c r="E484" s="247"/>
      <c r="F484" s="1272" t="s">
        <v>303</v>
      </c>
      <c r="G484" s="1283" t="s">
        <v>304</v>
      </c>
      <c r="H484" s="1283"/>
      <c r="I484" s="1283"/>
      <c r="J484" s="1283"/>
      <c r="K484" s="251">
        <v>1.06</v>
      </c>
      <c r="L484" s="365"/>
      <c r="M484" s="54"/>
      <c r="N484" s="54"/>
      <c r="O484" s="336"/>
      <c r="P484" s="334"/>
      <c r="Q484" s="335"/>
      <c r="R484" s="336"/>
      <c r="S484" s="337"/>
    </row>
    <row r="485" spans="1:19" ht="30" customHeight="1" x14ac:dyDescent="0.25">
      <c r="A485" s="365"/>
      <c r="B485" s="1281"/>
      <c r="C485" s="1281"/>
      <c r="D485" s="1281"/>
      <c r="E485" s="247"/>
      <c r="F485" s="1273"/>
      <c r="G485" s="1284" t="s">
        <v>305</v>
      </c>
      <c r="H485" s="1284"/>
      <c r="I485" s="1284"/>
      <c r="J485" s="1284"/>
      <c r="K485" s="251">
        <v>1.06</v>
      </c>
      <c r="L485" s="366"/>
      <c r="M485" s="54"/>
      <c r="N485" s="54"/>
      <c r="O485" s="336"/>
      <c r="P485" s="334"/>
      <c r="Q485" s="335"/>
      <c r="R485" s="336"/>
      <c r="S485" s="337"/>
    </row>
    <row r="486" spans="1:19" ht="30" customHeight="1" x14ac:dyDescent="0.25">
      <c r="A486" s="365"/>
      <c r="B486" s="365"/>
      <c r="C486" s="366"/>
      <c r="D486" s="366"/>
      <c r="E486" s="366"/>
      <c r="F486" s="366"/>
      <c r="G486" s="366"/>
      <c r="H486" s="366"/>
      <c r="I486" s="366"/>
      <c r="J486" s="366" t="s">
        <v>72</v>
      </c>
      <c r="K486" s="246">
        <f>+K483*K484/K485</f>
        <v>127776.25</v>
      </c>
      <c r="L486" s="365" t="s">
        <v>76</v>
      </c>
      <c r="M486" s="54"/>
      <c r="O486" s="336"/>
      <c r="P486" s="334"/>
      <c r="Q486" s="335"/>
      <c r="R486" s="336"/>
      <c r="S486" s="337"/>
    </row>
    <row r="487" spans="1:19" ht="30" customHeight="1" thickBot="1" x14ac:dyDescent="0.3">
      <c r="A487" s="365"/>
      <c r="B487" s="365"/>
      <c r="C487" s="366"/>
      <c r="D487" s="366"/>
      <c r="E487" s="366"/>
      <c r="F487" s="366"/>
      <c r="G487" s="580" t="s">
        <v>306</v>
      </c>
      <c r="H487" s="366"/>
      <c r="I487" s="366"/>
      <c r="J487" s="521">
        <f>VLOOKUP(B479,'Mil Cost Premiums for PUCs'!$A$4:$R$277,18,FALSE)</f>
        <v>1.0209999999999999</v>
      </c>
      <c r="K487" s="246">
        <f>+K486*J487</f>
        <v>130459.55124999999</v>
      </c>
      <c r="L487" s="365" t="s">
        <v>76</v>
      </c>
      <c r="M487" s="54"/>
      <c r="N487" s="54"/>
      <c r="O487" s="336"/>
      <c r="P487" s="334"/>
      <c r="Q487" s="335"/>
      <c r="R487" s="336"/>
      <c r="S487" s="337"/>
    </row>
    <row r="488" spans="1:19" ht="30" customHeight="1" thickBot="1" x14ac:dyDescent="0.3">
      <c r="A488" s="1180"/>
      <c r="B488" s="1181"/>
      <c r="C488" s="1181"/>
      <c r="D488" s="1181"/>
      <c r="E488" s="1181"/>
      <c r="F488" s="1181"/>
      <c r="G488" s="1181"/>
      <c r="H488" s="1181"/>
      <c r="I488" s="1181"/>
      <c r="J488" s="1181"/>
      <c r="K488" s="1181"/>
      <c r="L488" s="1182"/>
      <c r="M488" s="54"/>
      <c r="N488" s="54"/>
      <c r="O488" s="336"/>
      <c r="P488" s="334"/>
      <c r="Q488" s="335"/>
      <c r="R488" s="336"/>
      <c r="S488" s="337"/>
    </row>
    <row r="489" spans="1:19" ht="30" customHeight="1" x14ac:dyDescent="0.25">
      <c r="A489" s="456" t="s">
        <v>5</v>
      </c>
      <c r="B489" s="456">
        <v>1431</v>
      </c>
      <c r="C489" s="1294" t="s">
        <v>401</v>
      </c>
      <c r="D489" s="1295"/>
      <c r="E489" s="367" t="s">
        <v>8</v>
      </c>
      <c r="F489" s="378" t="s">
        <v>205</v>
      </c>
      <c r="G489" s="342" t="s">
        <v>74</v>
      </c>
      <c r="H489" s="649">
        <v>8607</v>
      </c>
      <c r="I489" s="331" t="s">
        <v>10</v>
      </c>
      <c r="J489" s="1253" t="s">
        <v>281</v>
      </c>
      <c r="K489" s="1254"/>
      <c r="L489" s="1255"/>
      <c r="M489" s="54"/>
      <c r="N489" s="54"/>
      <c r="O489" s="336"/>
      <c r="P489" s="334"/>
      <c r="Q489" s="335"/>
      <c r="R489" s="336"/>
      <c r="S489" s="337"/>
    </row>
    <row r="490" spans="1:19" ht="30" customHeight="1" x14ac:dyDescent="0.25">
      <c r="A490" s="356" t="s">
        <v>282</v>
      </c>
      <c r="B490" s="1163" t="s">
        <v>13</v>
      </c>
      <c r="C490" s="1163"/>
      <c r="D490" s="1163"/>
      <c r="E490" s="357" t="s">
        <v>283</v>
      </c>
      <c r="F490" s="546" t="s">
        <v>116</v>
      </c>
      <c r="G490" s="356"/>
      <c r="H490" s="356"/>
      <c r="I490" s="1276" t="s">
        <v>284</v>
      </c>
      <c r="J490" s="1277"/>
      <c r="K490" s="1236" t="s">
        <v>285</v>
      </c>
      <c r="L490" s="1237"/>
      <c r="M490" s="54"/>
      <c r="N490" s="54"/>
      <c r="O490" s="336"/>
      <c r="P490" s="334"/>
      <c r="Q490" s="335"/>
      <c r="R490" s="336"/>
      <c r="S490" s="337"/>
    </row>
    <row r="491" spans="1:19" ht="30" customHeight="1" x14ac:dyDescent="0.25">
      <c r="A491" s="365" t="s">
        <v>286</v>
      </c>
      <c r="B491" s="1209" t="s">
        <v>402</v>
      </c>
      <c r="C491" s="1210"/>
      <c r="D491" s="1211"/>
      <c r="E491" s="650">
        <v>17000</v>
      </c>
      <c r="F491" s="651">
        <v>367</v>
      </c>
      <c r="G491" s="452"/>
      <c r="H491" s="563"/>
      <c r="I491" s="1302" t="str">
        <f>$I$449</f>
        <v>NA;  GUCs are as of October 2021</v>
      </c>
      <c r="J491" s="1303"/>
      <c r="K491" s="247">
        <f>F491</f>
        <v>367</v>
      </c>
      <c r="L491" s="365" t="s">
        <v>205</v>
      </c>
      <c r="M491" s="54"/>
      <c r="N491" s="54"/>
      <c r="O491" s="336"/>
      <c r="P491" s="334"/>
      <c r="Q491" s="335"/>
      <c r="R491" s="336"/>
      <c r="S491" s="337"/>
    </row>
    <row r="492" spans="1:19" ht="30" customHeight="1" thickBot="1" x14ac:dyDescent="0.3">
      <c r="A492" s="365"/>
      <c r="B492" s="578"/>
      <c r="C492" s="578"/>
      <c r="D492" s="578"/>
      <c r="E492" s="247"/>
      <c r="F492" s="365"/>
      <c r="G492" s="365"/>
      <c r="H492" s="365"/>
      <c r="I492" s="365"/>
      <c r="J492" s="359" t="s">
        <v>72</v>
      </c>
      <c r="K492" s="247">
        <f>SUM(K491:K491)</f>
        <v>367</v>
      </c>
      <c r="L492" s="365" t="s">
        <v>205</v>
      </c>
      <c r="M492" s="54"/>
      <c r="N492" s="54"/>
      <c r="O492" s="336"/>
      <c r="P492" s="334"/>
      <c r="Q492" s="335"/>
      <c r="R492" s="336"/>
      <c r="S492" s="337"/>
    </row>
    <row r="493" spans="1:19" ht="30" customHeight="1" thickBot="1" x14ac:dyDescent="0.3">
      <c r="A493" s="1180"/>
      <c r="B493" s="1181"/>
      <c r="C493" s="1181"/>
      <c r="D493" s="1181"/>
      <c r="E493" s="1181"/>
      <c r="F493" s="1181"/>
      <c r="G493" s="1181"/>
      <c r="H493" s="1181"/>
      <c r="I493" s="1181"/>
      <c r="J493" s="1181"/>
      <c r="K493" s="1181"/>
      <c r="L493" s="1182"/>
      <c r="M493" s="54"/>
      <c r="N493" s="54"/>
      <c r="O493" s="336"/>
      <c r="P493" s="334"/>
      <c r="Q493" s="335"/>
      <c r="R493" s="336"/>
      <c r="S493" s="337"/>
    </row>
    <row r="494" spans="1:19" ht="30" customHeight="1" x14ac:dyDescent="0.25">
      <c r="A494" s="327" t="s">
        <v>5</v>
      </c>
      <c r="B494" s="328">
        <v>1441</v>
      </c>
      <c r="C494" s="329" t="s">
        <v>403</v>
      </c>
      <c r="D494" s="652"/>
      <c r="E494" s="331" t="s">
        <v>8</v>
      </c>
      <c r="F494" s="332" t="s">
        <v>205</v>
      </c>
      <c r="G494" s="342" t="s">
        <v>74</v>
      </c>
      <c r="H494" s="653">
        <v>5341</v>
      </c>
      <c r="I494" s="331" t="s">
        <v>10</v>
      </c>
      <c r="J494" s="1220" t="s">
        <v>376</v>
      </c>
      <c r="K494" s="1220"/>
      <c r="L494" s="1221"/>
      <c r="M494" s="54"/>
      <c r="N494" s="54"/>
      <c r="O494" s="336"/>
      <c r="P494" s="334"/>
      <c r="Q494" s="335"/>
      <c r="R494" s="336"/>
      <c r="S494" s="337"/>
    </row>
    <row r="495" spans="1:19" ht="30" customHeight="1" x14ac:dyDescent="0.25">
      <c r="A495" s="359" t="s">
        <v>295</v>
      </c>
      <c r="B495" s="1222" t="s">
        <v>326</v>
      </c>
      <c r="C495" s="1235"/>
      <c r="D495" s="1223"/>
      <c r="E495" s="577" t="s">
        <v>116</v>
      </c>
      <c r="F495" s="577" t="s">
        <v>117</v>
      </c>
      <c r="G495" s="1194" t="s">
        <v>118</v>
      </c>
      <c r="H495" s="1195"/>
      <c r="I495" s="633" t="s">
        <v>296</v>
      </c>
      <c r="J495" s="633"/>
      <c r="K495" s="1236" t="s">
        <v>285</v>
      </c>
      <c r="L495" s="1237"/>
      <c r="M495" s="54"/>
      <c r="N495" s="54"/>
      <c r="O495" s="336"/>
      <c r="P495" s="334"/>
      <c r="Q495" s="335"/>
      <c r="R495" s="336"/>
      <c r="S495" s="337"/>
    </row>
    <row r="496" spans="1:19" ht="30" customHeight="1" x14ac:dyDescent="0.25">
      <c r="A496" s="365" t="s">
        <v>404</v>
      </c>
      <c r="B496" s="1214" t="s">
        <v>405</v>
      </c>
      <c r="C496" s="1215"/>
      <c r="D496" s="1216"/>
      <c r="E496" s="247">
        <v>214</v>
      </c>
      <c r="F496" s="365" t="s">
        <v>205</v>
      </c>
      <c r="G496" s="452"/>
      <c r="H496" s="563"/>
      <c r="I496" s="365">
        <v>1.19</v>
      </c>
      <c r="J496" s="365"/>
      <c r="K496" s="247">
        <f>+E496*I496</f>
        <v>254.66</v>
      </c>
      <c r="L496" s="365" t="s">
        <v>205</v>
      </c>
      <c r="M496" s="54"/>
      <c r="N496" s="54"/>
      <c r="O496" s="336"/>
      <c r="P496" s="334"/>
      <c r="Q496" s="335"/>
      <c r="R496" s="336"/>
      <c r="S496" s="337"/>
    </row>
    <row r="497" spans="1:19" ht="30" customHeight="1" x14ac:dyDescent="0.25">
      <c r="A497" s="365" t="s">
        <v>406</v>
      </c>
      <c r="B497" s="1214" t="s">
        <v>407</v>
      </c>
      <c r="C497" s="1215"/>
      <c r="D497" s="1216"/>
      <c r="E497" s="247">
        <v>3.71</v>
      </c>
      <c r="F497" s="365" t="s">
        <v>205</v>
      </c>
      <c r="G497" s="452"/>
      <c r="H497" s="563"/>
      <c r="I497" s="365">
        <v>1.19</v>
      </c>
      <c r="J497" s="365"/>
      <c r="K497" s="247">
        <f>+E497*I497</f>
        <v>4.4148999999999994</v>
      </c>
      <c r="L497" s="365" t="s">
        <v>205</v>
      </c>
      <c r="M497" s="54"/>
      <c r="N497" s="54"/>
      <c r="O497" s="336"/>
      <c r="P497" s="334"/>
      <c r="Q497" s="335"/>
      <c r="R497" s="336"/>
      <c r="S497" s="337"/>
    </row>
    <row r="498" spans="1:19" ht="30" customHeight="1" x14ac:dyDescent="0.25">
      <c r="A498" s="365"/>
      <c r="B498" s="1269"/>
      <c r="C498" s="1269"/>
      <c r="D498" s="1269"/>
      <c r="E498" s="247"/>
      <c r="F498" s="365"/>
      <c r="G498" s="365"/>
      <c r="H498" s="365"/>
      <c r="I498" s="365"/>
      <c r="J498" s="365" t="s">
        <v>408</v>
      </c>
      <c r="K498" s="247">
        <f>SUM(K496:K497)</f>
        <v>259.07490000000001</v>
      </c>
      <c r="L498" s="365" t="s">
        <v>205</v>
      </c>
      <c r="M498" s="54"/>
      <c r="N498" s="54"/>
      <c r="O498" s="336"/>
      <c r="P498" s="334"/>
      <c r="Q498" s="335"/>
      <c r="R498" s="336"/>
      <c r="S498" s="337"/>
    </row>
    <row r="499" spans="1:19" ht="30" customHeight="1" x14ac:dyDescent="0.25">
      <c r="A499" s="365"/>
      <c r="B499" s="578"/>
      <c r="C499" s="578"/>
      <c r="D499" s="578"/>
      <c r="E499" s="247"/>
      <c r="F499" s="1272" t="s">
        <v>303</v>
      </c>
      <c r="G499" s="1283" t="s">
        <v>409</v>
      </c>
      <c r="H499" s="1283"/>
      <c r="I499" s="1283"/>
      <c r="J499" s="1283"/>
      <c r="K499" s="251">
        <v>1.08</v>
      </c>
      <c r="L499" s="365"/>
      <c r="M499" s="54"/>
      <c r="N499" s="54"/>
      <c r="O499" s="336"/>
      <c r="P499" s="334"/>
      <c r="Q499" s="335"/>
      <c r="R499" s="336"/>
      <c r="S499" s="337"/>
    </row>
    <row r="500" spans="1:19" ht="30" customHeight="1" x14ac:dyDescent="0.25">
      <c r="A500" s="365"/>
      <c r="B500" s="578"/>
      <c r="C500" s="578"/>
      <c r="D500" s="578"/>
      <c r="E500" s="247"/>
      <c r="F500" s="1273"/>
      <c r="G500" s="1284" t="s">
        <v>305</v>
      </c>
      <c r="H500" s="1284"/>
      <c r="I500" s="1284"/>
      <c r="J500" s="1284"/>
      <c r="K500" s="250">
        <v>1.06</v>
      </c>
      <c r="L500" s="365"/>
      <c r="M500" s="54"/>
      <c r="N500" s="54"/>
      <c r="O500" s="336"/>
      <c r="P500" s="334"/>
      <c r="Q500" s="335"/>
      <c r="R500" s="336"/>
      <c r="S500" s="337"/>
    </row>
    <row r="501" spans="1:19" ht="30" customHeight="1" x14ac:dyDescent="0.25">
      <c r="A501" s="365"/>
      <c r="B501" s="365"/>
      <c r="C501" s="366"/>
      <c r="D501" s="366"/>
      <c r="E501" s="366"/>
      <c r="F501" s="366"/>
      <c r="G501" s="366"/>
      <c r="H501" s="366"/>
      <c r="I501" s="366"/>
      <c r="J501" s="365" t="s">
        <v>72</v>
      </c>
      <c r="K501" s="246">
        <f>+K498*K499/K500</f>
        <v>263.96310566037738</v>
      </c>
      <c r="L501" s="365" t="s">
        <v>205</v>
      </c>
      <c r="N501" s="54"/>
      <c r="O501" s="336"/>
      <c r="P501" s="334"/>
      <c r="Q501" s="335"/>
      <c r="R501" s="336"/>
      <c r="S501" s="337"/>
    </row>
    <row r="502" spans="1:19" ht="30" customHeight="1" thickBot="1" x14ac:dyDescent="0.3">
      <c r="A502" s="365"/>
      <c r="B502" s="365"/>
      <c r="C502" s="366"/>
      <c r="D502" s="366"/>
      <c r="E502" s="366"/>
      <c r="F502" s="366"/>
      <c r="G502" s="580" t="s">
        <v>306</v>
      </c>
      <c r="H502" s="366"/>
      <c r="I502" s="366"/>
      <c r="J502" s="521">
        <f>VLOOKUP(B494,'Mil Cost Premiums for PUCs'!$A$4:$R$277,18,FALSE)</f>
        <v>1.3319480854780448</v>
      </c>
      <c r="K502" s="246">
        <f>+K501*J502</f>
        <v>351.58515322117847</v>
      </c>
      <c r="L502" s="365" t="s">
        <v>205</v>
      </c>
      <c r="M502" s="54"/>
      <c r="N502" s="54"/>
      <c r="O502" s="336"/>
      <c r="P502" s="334"/>
      <c r="Q502" s="335"/>
      <c r="R502" s="336"/>
      <c r="S502" s="337"/>
    </row>
    <row r="503" spans="1:19" ht="30" customHeight="1" thickBot="1" x14ac:dyDescent="0.3">
      <c r="A503" s="1180"/>
      <c r="B503" s="1181"/>
      <c r="C503" s="1181"/>
      <c r="D503" s="1181"/>
      <c r="E503" s="1181"/>
      <c r="F503" s="1181"/>
      <c r="G503" s="1181"/>
      <c r="H503" s="1181"/>
      <c r="I503" s="1181"/>
      <c r="J503" s="1181"/>
      <c r="K503" s="1181"/>
      <c r="L503" s="1182"/>
      <c r="M503" s="54"/>
      <c r="N503" s="54"/>
      <c r="O503" s="336"/>
      <c r="P503" s="334"/>
      <c r="Q503" s="335"/>
      <c r="R503" s="336"/>
      <c r="S503" s="337"/>
    </row>
    <row r="504" spans="1:19" ht="30" customHeight="1" x14ac:dyDescent="0.25">
      <c r="A504" s="327" t="s">
        <v>5</v>
      </c>
      <c r="B504" s="328">
        <v>1442</v>
      </c>
      <c r="C504" s="1294" t="s">
        <v>410</v>
      </c>
      <c r="D504" s="1295"/>
      <c r="E504" s="331" t="s">
        <v>8</v>
      </c>
      <c r="F504" s="332" t="s">
        <v>205</v>
      </c>
      <c r="G504" s="342" t="s">
        <v>74</v>
      </c>
      <c r="H504" s="653">
        <v>8236</v>
      </c>
      <c r="I504" s="331" t="s">
        <v>10</v>
      </c>
      <c r="J504" s="1220" t="s">
        <v>376</v>
      </c>
      <c r="K504" s="1220"/>
      <c r="L504" s="1221"/>
      <c r="M504" s="54"/>
      <c r="N504" s="54"/>
      <c r="O504" s="336"/>
      <c r="P504" s="334"/>
      <c r="Q504" s="335"/>
      <c r="R504" s="336"/>
      <c r="S504" s="337"/>
    </row>
    <row r="505" spans="1:19" ht="30" customHeight="1" x14ac:dyDescent="0.25">
      <c r="A505" s="359" t="s">
        <v>295</v>
      </c>
      <c r="B505" s="1222" t="s">
        <v>326</v>
      </c>
      <c r="C505" s="1235"/>
      <c r="D505" s="1223"/>
      <c r="E505" s="577" t="s">
        <v>116</v>
      </c>
      <c r="F505" s="577" t="s">
        <v>117</v>
      </c>
      <c r="G505" s="1194" t="s">
        <v>118</v>
      </c>
      <c r="H505" s="1195"/>
      <c r="I505" s="633" t="s">
        <v>296</v>
      </c>
      <c r="J505" s="633"/>
      <c r="K505" s="1236" t="s">
        <v>285</v>
      </c>
      <c r="L505" s="1237"/>
      <c r="M505" s="54"/>
      <c r="N505" s="54"/>
      <c r="O505" s="336"/>
      <c r="P505" s="334"/>
      <c r="Q505" s="335"/>
      <c r="R505" s="336"/>
      <c r="S505" s="337"/>
    </row>
    <row r="506" spans="1:19" ht="30" customHeight="1" x14ac:dyDescent="0.25">
      <c r="A506" s="365" t="s">
        <v>411</v>
      </c>
      <c r="B506" s="1214" t="s">
        <v>412</v>
      </c>
      <c r="C506" s="1215"/>
      <c r="D506" s="1216"/>
      <c r="E506" s="247">
        <v>242</v>
      </c>
      <c r="F506" s="365" t="s">
        <v>205</v>
      </c>
      <c r="G506" s="452"/>
      <c r="H506" s="563"/>
      <c r="I506" s="365">
        <v>1.19</v>
      </c>
      <c r="J506" s="365"/>
      <c r="K506" s="247">
        <f>+E506*I506</f>
        <v>287.97999999999996</v>
      </c>
      <c r="L506" s="365" t="s">
        <v>205</v>
      </c>
      <c r="M506" s="54"/>
      <c r="N506" s="54"/>
      <c r="O506" s="336"/>
      <c r="P506" s="334"/>
      <c r="Q506" s="335"/>
      <c r="R506" s="336"/>
      <c r="S506" s="337"/>
    </row>
    <row r="507" spans="1:19" ht="30" customHeight="1" x14ac:dyDescent="0.25">
      <c r="A507" s="365" t="s">
        <v>406</v>
      </c>
      <c r="B507" s="1214" t="s">
        <v>413</v>
      </c>
      <c r="C507" s="1215"/>
      <c r="D507" s="1216"/>
      <c r="E507" s="247">
        <v>4.38</v>
      </c>
      <c r="F507" s="365" t="s">
        <v>205</v>
      </c>
      <c r="G507" s="452"/>
      <c r="H507" s="563"/>
      <c r="I507" s="365">
        <v>1.19</v>
      </c>
      <c r="J507" s="365"/>
      <c r="K507" s="247">
        <f>+E507*I507</f>
        <v>5.2121999999999993</v>
      </c>
      <c r="L507" s="365" t="s">
        <v>205</v>
      </c>
      <c r="M507" s="54"/>
      <c r="N507" s="54"/>
      <c r="O507" s="336"/>
      <c r="P507" s="334"/>
      <c r="Q507" s="335"/>
      <c r="R507" s="336"/>
      <c r="S507" s="337"/>
    </row>
    <row r="508" spans="1:19" ht="30" customHeight="1" x14ac:dyDescent="0.25">
      <c r="A508" s="365"/>
      <c r="B508" s="1269"/>
      <c r="C508" s="1269"/>
      <c r="D508" s="1269"/>
      <c r="E508" s="247"/>
      <c r="F508" s="365"/>
      <c r="G508" s="365"/>
      <c r="H508" s="365"/>
      <c r="I508" s="365"/>
      <c r="J508" s="365" t="s">
        <v>343</v>
      </c>
      <c r="K508" s="247">
        <f>SUM(K506:K507)</f>
        <v>293.19219999999996</v>
      </c>
      <c r="L508" s="365" t="s">
        <v>205</v>
      </c>
      <c r="M508" s="54"/>
      <c r="N508" s="54"/>
      <c r="O508" s="336"/>
      <c r="P508" s="334"/>
      <c r="Q508" s="335"/>
      <c r="R508" s="336"/>
      <c r="S508" s="337"/>
    </row>
    <row r="509" spans="1:19" ht="30" customHeight="1" x14ac:dyDescent="0.25">
      <c r="A509" s="365"/>
      <c r="B509" s="578"/>
      <c r="C509" s="578"/>
      <c r="D509" s="578"/>
      <c r="E509" s="247"/>
      <c r="F509" s="1272" t="s">
        <v>303</v>
      </c>
      <c r="G509" s="1283" t="s">
        <v>304</v>
      </c>
      <c r="H509" s="1283"/>
      <c r="I509" s="1283"/>
      <c r="J509" s="1283"/>
      <c r="K509" s="251">
        <v>1.08</v>
      </c>
      <c r="L509" s="365"/>
      <c r="M509" s="54"/>
      <c r="N509" s="54"/>
      <c r="O509" s="336"/>
      <c r="P509" s="334"/>
      <c r="Q509" s="335"/>
      <c r="R509" s="336"/>
      <c r="S509" s="337"/>
    </row>
    <row r="510" spans="1:19" ht="30" customHeight="1" x14ac:dyDescent="0.25">
      <c r="A510" s="365"/>
      <c r="B510" s="578"/>
      <c r="C510" s="578"/>
      <c r="D510" s="578"/>
      <c r="E510" s="247"/>
      <c r="F510" s="1273"/>
      <c r="G510" s="1284" t="s">
        <v>305</v>
      </c>
      <c r="H510" s="1284"/>
      <c r="I510" s="1284"/>
      <c r="J510" s="1284"/>
      <c r="K510" s="251">
        <v>1.06</v>
      </c>
      <c r="L510" s="365"/>
      <c r="M510" s="54"/>
      <c r="N510" s="54"/>
      <c r="O510" s="336"/>
      <c r="P510" s="334"/>
      <c r="Q510" s="335"/>
      <c r="R510" s="336"/>
      <c r="S510" s="337"/>
    </row>
    <row r="511" spans="1:19" ht="30" customHeight="1" x14ac:dyDescent="0.25">
      <c r="A511" s="365"/>
      <c r="B511" s="365"/>
      <c r="C511" s="366"/>
      <c r="D511" s="366"/>
      <c r="E511" s="366"/>
      <c r="F511" s="366"/>
      <c r="G511" s="366"/>
      <c r="H511" s="366"/>
      <c r="I511" s="366"/>
      <c r="J511" s="365" t="s">
        <v>72</v>
      </c>
      <c r="K511" s="246">
        <f>+K508*K509/K510</f>
        <v>298.72412830188676</v>
      </c>
      <c r="L511" s="365" t="s">
        <v>205</v>
      </c>
      <c r="M511" s="54"/>
      <c r="N511" s="54"/>
      <c r="O511" s="336"/>
      <c r="P511" s="334"/>
      <c r="Q511" s="335"/>
      <c r="R511" s="336"/>
      <c r="S511" s="337"/>
    </row>
    <row r="512" spans="1:19" ht="30" customHeight="1" x14ac:dyDescent="0.25">
      <c r="A512" s="569"/>
      <c r="B512" s="592"/>
      <c r="C512" s="573"/>
      <c r="D512" s="573"/>
      <c r="E512" s="573"/>
      <c r="F512" s="573"/>
      <c r="I512" s="654" t="s">
        <v>414</v>
      </c>
      <c r="J512" s="521">
        <f>VLOOKUP(B504,'Mil Cost Premiums for PUCs'!$A$4:$R$277,18,FALSE)</f>
        <v>1.3319480854780448</v>
      </c>
      <c r="K512" s="228">
        <f>+K511*J512</f>
        <v>397.88503077779586</v>
      </c>
      <c r="L512" s="365" t="s">
        <v>205</v>
      </c>
      <c r="M512" s="54"/>
      <c r="N512" s="54"/>
      <c r="O512" s="336"/>
      <c r="P512" s="334"/>
      <c r="Q512" s="335"/>
      <c r="R512" s="336"/>
      <c r="S512" s="337"/>
    </row>
    <row r="513" spans="1:19" ht="60" customHeight="1" x14ac:dyDescent="0.25">
      <c r="A513" s="1523" t="s">
        <v>307</v>
      </c>
      <c r="B513" s="1523"/>
      <c r="C513" s="1523"/>
      <c r="D513" s="1523"/>
      <c r="E513" s="1523"/>
      <c r="F513" s="1523"/>
      <c r="G513" s="1523"/>
      <c r="H513" s="1523"/>
      <c r="I513" s="1523"/>
      <c r="J513" s="1523"/>
      <c r="K513" s="1523"/>
      <c r="L513" s="1523"/>
      <c r="M513" s="54"/>
      <c r="N513" s="54"/>
      <c r="O513" s="336"/>
      <c r="P513" s="334"/>
      <c r="Q513" s="335"/>
      <c r="R513" s="336"/>
      <c r="S513" s="337"/>
    </row>
    <row r="514" spans="1:19" ht="30" customHeight="1" x14ac:dyDescent="0.25">
      <c r="A514" s="1227" t="s">
        <v>308</v>
      </c>
      <c r="B514" s="1228"/>
      <c r="C514" s="1228"/>
      <c r="D514" s="1230" t="s">
        <v>415</v>
      </c>
      <c r="E514" s="1257"/>
      <c r="F514" s="1257"/>
      <c r="G514" s="1257"/>
      <c r="H514" s="1257"/>
      <c r="I514" s="1257"/>
      <c r="J514" s="1257"/>
      <c r="K514" s="1257"/>
      <c r="L514" s="1258"/>
      <c r="M514" s="54"/>
      <c r="O514" s="336"/>
      <c r="P514" s="334"/>
      <c r="Q514" s="335"/>
      <c r="R514" s="336"/>
      <c r="S514" s="337"/>
    </row>
    <row r="515" spans="1:19" ht="30" customHeight="1" x14ac:dyDescent="0.25">
      <c r="A515" s="1227" t="s">
        <v>310</v>
      </c>
      <c r="B515" s="1228"/>
      <c r="C515" s="1228"/>
      <c r="D515" s="1523" t="s">
        <v>416</v>
      </c>
      <c r="E515" s="1523"/>
      <c r="F515" s="1523"/>
      <c r="G515" s="1523"/>
      <c r="H515" s="1523"/>
      <c r="I515" s="1523"/>
      <c r="J515" s="1523"/>
      <c r="K515" s="1523"/>
      <c r="L515" s="1523"/>
      <c r="M515" s="54"/>
      <c r="N515" s="54"/>
      <c r="O515" s="336"/>
      <c r="P515" s="334"/>
      <c r="Q515" s="335"/>
      <c r="R515" s="336"/>
      <c r="S515" s="337"/>
    </row>
    <row r="516" spans="1:19" ht="30" customHeight="1" x14ac:dyDescent="0.25">
      <c r="A516" s="1227" t="s">
        <v>312</v>
      </c>
      <c r="B516" s="1228"/>
      <c r="C516" s="1228"/>
      <c r="D516" s="1230" t="s">
        <v>417</v>
      </c>
      <c r="E516" s="1257"/>
      <c r="F516" s="1257"/>
      <c r="G516" s="1257"/>
      <c r="H516" s="1257"/>
      <c r="I516" s="1257"/>
      <c r="J516" s="1257"/>
      <c r="K516" s="1257"/>
      <c r="L516" s="1258"/>
      <c r="M516" s="54"/>
      <c r="N516" s="54"/>
      <c r="O516" s="336"/>
      <c r="P516" s="334"/>
      <c r="Q516" s="335"/>
      <c r="R516" s="336"/>
      <c r="S516" s="337"/>
    </row>
    <row r="517" spans="1:19" ht="30" customHeight="1" x14ac:dyDescent="0.25">
      <c r="A517" s="1227" t="s">
        <v>314</v>
      </c>
      <c r="B517" s="1228"/>
      <c r="C517" s="1228"/>
      <c r="D517" s="1230" t="s">
        <v>418</v>
      </c>
      <c r="E517" s="1257"/>
      <c r="F517" s="1257"/>
      <c r="G517" s="1257"/>
      <c r="H517" s="1257"/>
      <c r="I517" s="1257"/>
      <c r="J517" s="1257"/>
      <c r="K517" s="1257"/>
      <c r="L517" s="1258"/>
      <c r="M517" s="54"/>
      <c r="N517" s="54"/>
      <c r="O517" s="336"/>
      <c r="P517" s="334"/>
      <c r="Q517" s="335"/>
      <c r="R517" s="336"/>
      <c r="S517" s="337"/>
    </row>
    <row r="518" spans="1:19" ht="30" customHeight="1" x14ac:dyDescent="0.25">
      <c r="A518" s="1227" t="s">
        <v>316</v>
      </c>
      <c r="B518" s="1228"/>
      <c r="C518" s="1228"/>
      <c r="D518" s="1230" t="s">
        <v>419</v>
      </c>
      <c r="E518" s="1257"/>
      <c r="F518" s="1257"/>
      <c r="G518" s="1257"/>
      <c r="H518" s="1257"/>
      <c r="I518" s="1257"/>
      <c r="J518" s="1257"/>
      <c r="K518" s="1257"/>
      <c r="L518" s="1258"/>
      <c r="M518" s="54"/>
      <c r="N518" s="111"/>
      <c r="O518" s="655"/>
      <c r="P518" s="334"/>
      <c r="Q518" s="335"/>
      <c r="R518" s="336"/>
      <c r="S518" s="337"/>
    </row>
    <row r="519" spans="1:19" ht="30" customHeight="1" x14ac:dyDescent="0.25">
      <c r="A519" s="1227" t="s">
        <v>318</v>
      </c>
      <c r="B519" s="1228"/>
      <c r="C519" s="1228"/>
      <c r="D519" s="1256" t="s">
        <v>420</v>
      </c>
      <c r="E519" s="1257"/>
      <c r="F519" s="1257"/>
      <c r="G519" s="1257"/>
      <c r="H519" s="1257"/>
      <c r="I519" s="1257"/>
      <c r="J519" s="1257"/>
      <c r="K519" s="1257"/>
      <c r="L519" s="1258"/>
      <c r="M519" s="54"/>
      <c r="O519" s="336"/>
      <c r="P519" s="334"/>
      <c r="Q519" s="335"/>
      <c r="R519" s="336"/>
      <c r="S519" s="337"/>
    </row>
    <row r="520" spans="1:19" ht="30" customHeight="1" x14ac:dyDescent="0.25">
      <c r="A520" s="1227" t="s">
        <v>320</v>
      </c>
      <c r="B520" s="1228"/>
      <c r="C520" s="1228"/>
      <c r="D520" s="1256" t="s">
        <v>421</v>
      </c>
      <c r="E520" s="1257"/>
      <c r="F520" s="1257"/>
      <c r="G520" s="1257"/>
      <c r="H520" s="1257"/>
      <c r="I520" s="1257"/>
      <c r="J520" s="1257"/>
      <c r="K520" s="1257"/>
      <c r="L520" s="1258"/>
      <c r="M520" s="54"/>
      <c r="N520" s="54"/>
      <c r="O520" s="336"/>
      <c r="P520" s="334"/>
      <c r="Q520" s="335"/>
      <c r="R520" s="336"/>
      <c r="S520" s="337"/>
    </row>
    <row r="521" spans="1:19" ht="75" customHeight="1" thickBot="1" x14ac:dyDescent="0.3">
      <c r="A521" s="1227" t="s">
        <v>322</v>
      </c>
      <c r="B521" s="1228"/>
      <c r="C521" s="1228"/>
      <c r="D521" s="1238" t="s">
        <v>422</v>
      </c>
      <c r="E521" s="1239"/>
      <c r="F521" s="1239"/>
      <c r="G521" s="1239"/>
      <c r="H521" s="1239"/>
      <c r="I521" s="1239"/>
      <c r="J521" s="1239"/>
      <c r="K521" s="1239"/>
      <c r="L521" s="1239"/>
      <c r="M521" s="54"/>
      <c r="N521" s="54"/>
      <c r="O521" s="336"/>
      <c r="P521" s="334"/>
      <c r="Q521" s="335"/>
      <c r="R521" s="336"/>
      <c r="S521" s="337"/>
    </row>
    <row r="522" spans="1:19" ht="30" customHeight="1" thickBot="1" x14ac:dyDescent="0.3">
      <c r="A522" s="1180"/>
      <c r="B522" s="1181"/>
      <c r="C522" s="1181"/>
      <c r="D522" s="1181"/>
      <c r="E522" s="1181"/>
      <c r="F522" s="1181"/>
      <c r="G522" s="1181"/>
      <c r="H522" s="1181"/>
      <c r="I522" s="1181"/>
      <c r="J522" s="1181"/>
      <c r="K522" s="1181"/>
      <c r="L522" s="1182"/>
      <c r="M522" s="54"/>
      <c r="N522" s="54"/>
      <c r="O522" s="336"/>
      <c r="P522" s="334"/>
      <c r="Q522" s="335"/>
      <c r="R522" s="336"/>
      <c r="S522" s="337"/>
    </row>
    <row r="523" spans="1:19" ht="30" customHeight="1" x14ac:dyDescent="0.25">
      <c r="A523" s="327" t="s">
        <v>5</v>
      </c>
      <c r="B523" s="328">
        <v>1443</v>
      </c>
      <c r="C523" s="1294" t="s">
        <v>423</v>
      </c>
      <c r="D523" s="1295"/>
      <c r="E523" s="331" t="s">
        <v>8</v>
      </c>
      <c r="F523" s="332" t="s">
        <v>205</v>
      </c>
      <c r="G523" s="342" t="s">
        <v>74</v>
      </c>
      <c r="H523" s="656">
        <v>8019</v>
      </c>
      <c r="I523" s="331" t="s">
        <v>10</v>
      </c>
      <c r="J523" s="1220" t="s">
        <v>3396</v>
      </c>
      <c r="K523" s="1220"/>
      <c r="L523" s="1221"/>
      <c r="M523" s="54"/>
      <c r="N523" s="54"/>
      <c r="O523" s="336"/>
      <c r="P523" s="334"/>
      <c r="Q523" s="335"/>
      <c r="R523" s="336"/>
      <c r="S523" s="337"/>
    </row>
    <row r="524" spans="1:19" ht="30" customHeight="1" x14ac:dyDescent="0.25">
      <c r="A524" s="359" t="s">
        <v>295</v>
      </c>
      <c r="B524" s="657" t="s">
        <v>326</v>
      </c>
      <c r="C524" s="658"/>
      <c r="D524" s="659"/>
      <c r="E524" s="577" t="s">
        <v>116</v>
      </c>
      <c r="F524" s="577" t="s">
        <v>117</v>
      </c>
      <c r="G524" s="1236" t="s">
        <v>118</v>
      </c>
      <c r="H524" s="1240"/>
      <c r="I524" s="633" t="s">
        <v>296</v>
      </c>
      <c r="J524" s="633"/>
      <c r="K524" s="1236" t="s">
        <v>285</v>
      </c>
      <c r="L524" s="1237"/>
      <c r="M524" s="54"/>
      <c r="O524" s="336"/>
      <c r="P524" s="334"/>
      <c r="Q524" s="335"/>
      <c r="R524" s="336"/>
      <c r="S524" s="337"/>
    </row>
    <row r="525" spans="1:19" ht="30" customHeight="1" x14ac:dyDescent="0.25">
      <c r="A525" s="365" t="s">
        <v>424</v>
      </c>
      <c r="B525" s="1214" t="s">
        <v>425</v>
      </c>
      <c r="C525" s="1215"/>
      <c r="D525" s="1216"/>
      <c r="E525" s="247">
        <v>80.5</v>
      </c>
      <c r="F525" s="365" t="s">
        <v>205</v>
      </c>
      <c r="G525" s="452"/>
      <c r="H525" s="563"/>
      <c r="I525" s="365">
        <v>1.05</v>
      </c>
      <c r="J525" s="365"/>
      <c r="K525" s="247">
        <f>+E525*I525</f>
        <v>84.525000000000006</v>
      </c>
      <c r="L525" s="365" t="s">
        <v>205</v>
      </c>
      <c r="M525" s="54"/>
      <c r="N525" s="54"/>
      <c r="O525" s="336"/>
      <c r="P525" s="334"/>
      <c r="Q525" s="335"/>
      <c r="R525" s="336"/>
      <c r="S525" s="337"/>
    </row>
    <row r="526" spans="1:19" ht="30" customHeight="1" x14ac:dyDescent="0.25">
      <c r="A526" s="365" t="s">
        <v>426</v>
      </c>
      <c r="B526" s="1214" t="s">
        <v>427</v>
      </c>
      <c r="C526" s="1215"/>
      <c r="D526" s="1216"/>
      <c r="E526" s="247">
        <f>(20.3+31.5)/2</f>
        <v>25.9</v>
      </c>
      <c r="F526" s="365" t="s">
        <v>428</v>
      </c>
      <c r="G526" s="452">
        <v>160</v>
      </c>
      <c r="H526" s="563" t="s">
        <v>205</v>
      </c>
      <c r="I526" s="365">
        <v>1.03</v>
      </c>
      <c r="J526" s="365"/>
      <c r="K526" s="247">
        <f>+E526*G526/H523*I526</f>
        <v>0.53227584486843749</v>
      </c>
      <c r="L526" s="365" t="s">
        <v>205</v>
      </c>
      <c r="M526" s="54"/>
      <c r="N526" s="54"/>
      <c r="O526" s="336"/>
      <c r="P526" s="334"/>
      <c r="Q526" s="335"/>
      <c r="R526" s="336"/>
      <c r="S526" s="337"/>
    </row>
    <row r="527" spans="1:19" ht="30" customHeight="1" x14ac:dyDescent="0.25">
      <c r="A527" s="365" t="s">
        <v>426</v>
      </c>
      <c r="B527" s="561" t="s">
        <v>429</v>
      </c>
      <c r="C527" s="562"/>
      <c r="D527" s="563"/>
      <c r="E527" s="247">
        <f>(1710+2420)/2</f>
        <v>2065</v>
      </c>
      <c r="F527" s="365" t="s">
        <v>76</v>
      </c>
      <c r="G527" s="452">
        <v>2</v>
      </c>
      <c r="H527" s="563" t="s">
        <v>76</v>
      </c>
      <c r="I527" s="365">
        <v>1.03</v>
      </c>
      <c r="J527" s="365"/>
      <c r="K527" s="247">
        <f>+((E527*G527)/H523)*I527</f>
        <v>0.53047761566280083</v>
      </c>
      <c r="L527" s="365" t="s">
        <v>205</v>
      </c>
      <c r="M527" s="54"/>
      <c r="N527" s="54"/>
      <c r="O527" s="336"/>
      <c r="P527" s="334"/>
      <c r="Q527" s="335"/>
      <c r="R527" s="336"/>
      <c r="S527" s="337"/>
    </row>
    <row r="528" spans="1:19" ht="30" customHeight="1" x14ac:dyDescent="0.25">
      <c r="A528" s="365" t="s">
        <v>430</v>
      </c>
      <c r="B528" s="1214" t="s">
        <v>431</v>
      </c>
      <c r="C528" s="1215"/>
      <c r="D528" s="1216"/>
      <c r="E528" s="247">
        <f>+(34.5+82)/2</f>
        <v>58.25</v>
      </c>
      <c r="F528" s="365" t="s">
        <v>76</v>
      </c>
      <c r="G528" s="660">
        <f>(E528)/$H$523</f>
        <v>7.2639980047387457E-3</v>
      </c>
      <c r="H528" s="563" t="s">
        <v>432</v>
      </c>
      <c r="I528" s="365">
        <v>1.03</v>
      </c>
      <c r="J528" s="365"/>
      <c r="K528" s="247">
        <f>+G528*I528</f>
        <v>7.4819179448809081E-3</v>
      </c>
      <c r="L528" s="365" t="s">
        <v>205</v>
      </c>
      <c r="M528" s="54"/>
      <c r="N528" s="54"/>
      <c r="O528" s="336"/>
      <c r="P528" s="334"/>
      <c r="Q528" s="335"/>
      <c r="R528" s="336"/>
      <c r="S528" s="337"/>
    </row>
    <row r="529" spans="1:21" ht="30" customHeight="1" x14ac:dyDescent="0.25">
      <c r="A529" s="365" t="s">
        <v>430</v>
      </c>
      <c r="B529" s="561" t="s">
        <v>433</v>
      </c>
      <c r="C529" s="562"/>
      <c r="D529" s="563"/>
      <c r="E529" s="247">
        <f>+(6450+12300)/2</f>
        <v>9375</v>
      </c>
      <c r="F529" s="365" t="s">
        <v>76</v>
      </c>
      <c r="G529" s="660">
        <f>(+E529)/$H$523</f>
        <v>1.1690983913206134</v>
      </c>
      <c r="H529" s="563" t="s">
        <v>432</v>
      </c>
      <c r="I529" s="365">
        <v>1.03</v>
      </c>
      <c r="J529" s="365"/>
      <c r="K529" s="247">
        <f>+G529*I529</f>
        <v>1.2041713430602319</v>
      </c>
      <c r="L529" s="365" t="s">
        <v>205</v>
      </c>
      <c r="N529" s="54"/>
      <c r="O529" s="336"/>
      <c r="P529" s="334"/>
      <c r="Q529" s="335"/>
      <c r="R529" s="336"/>
      <c r="S529" s="337"/>
    </row>
    <row r="530" spans="1:21" ht="30" customHeight="1" x14ac:dyDescent="0.25">
      <c r="A530" s="365" t="s">
        <v>430</v>
      </c>
      <c r="B530" s="1214" t="s">
        <v>434</v>
      </c>
      <c r="C530" s="1215"/>
      <c r="D530" s="1216"/>
      <c r="E530" s="247">
        <f>+(660+1010)/2</f>
        <v>835</v>
      </c>
      <c r="F530" s="365" t="s">
        <v>76</v>
      </c>
      <c r="G530" s="660">
        <f>+(E530)/$H$523</f>
        <v>0.10412769672028931</v>
      </c>
      <c r="H530" s="563" t="s">
        <v>432</v>
      </c>
      <c r="I530" s="365">
        <v>1.03</v>
      </c>
      <c r="J530" s="365"/>
      <c r="K530" s="247">
        <f>+G530*I530</f>
        <v>0.10725152762189799</v>
      </c>
      <c r="L530" s="365" t="s">
        <v>205</v>
      </c>
      <c r="M530" s="54"/>
      <c r="N530" s="54"/>
      <c r="O530" s="336"/>
      <c r="P530" s="334"/>
      <c r="Q530" s="335"/>
      <c r="R530" s="336"/>
      <c r="S530" s="337"/>
    </row>
    <row r="531" spans="1:21" ht="30" customHeight="1" x14ac:dyDescent="0.25">
      <c r="A531" s="365" t="s">
        <v>430</v>
      </c>
      <c r="B531" s="1214" t="s">
        <v>435</v>
      </c>
      <c r="C531" s="1215"/>
      <c r="D531" s="1216"/>
      <c r="E531" s="247">
        <f>+(1160+3475)/2</f>
        <v>2317.5</v>
      </c>
      <c r="F531" s="365" t="s">
        <v>76</v>
      </c>
      <c r="G531" s="660">
        <f>+(E531)/$H$523</f>
        <v>0.28900112233445568</v>
      </c>
      <c r="H531" s="563" t="s">
        <v>432</v>
      </c>
      <c r="I531" s="365">
        <v>1.03</v>
      </c>
      <c r="J531" s="365"/>
      <c r="K531" s="247">
        <f>+G531*I531</f>
        <v>0.29767115600448935</v>
      </c>
      <c r="L531" s="365" t="s">
        <v>205</v>
      </c>
      <c r="M531" s="54"/>
      <c r="N531" s="54"/>
      <c r="O531" s="336"/>
      <c r="P531" s="334"/>
      <c r="Q531" s="335"/>
      <c r="R531" s="336"/>
      <c r="S531" s="337"/>
    </row>
    <row r="532" spans="1:21" ht="30" customHeight="1" x14ac:dyDescent="0.25">
      <c r="A532" s="365" t="s">
        <v>436</v>
      </c>
      <c r="B532" s="1209" t="s">
        <v>3479</v>
      </c>
      <c r="C532" s="1210"/>
      <c r="D532" s="1211"/>
      <c r="E532" s="211">
        <v>42.25</v>
      </c>
      <c r="F532" s="661" t="s">
        <v>205</v>
      </c>
      <c r="G532" s="366">
        <f>144/H523</f>
        <v>1.7957351290684626E-2</v>
      </c>
      <c r="H532" s="662" t="s">
        <v>437</v>
      </c>
      <c r="I532" s="249">
        <v>1.05</v>
      </c>
      <c r="J532" s="365"/>
      <c r="K532" s="663">
        <f>E532*G532*I532</f>
        <v>0.7966329966329968</v>
      </c>
      <c r="L532" s="664" t="s">
        <v>205</v>
      </c>
      <c r="M532" s="54"/>
      <c r="N532" s="73"/>
      <c r="O532" s="61"/>
      <c r="P532" s="334"/>
      <c r="Q532" s="335"/>
      <c r="R532" s="336"/>
      <c r="S532" s="337"/>
    </row>
    <row r="533" spans="1:21" ht="30" customHeight="1" x14ac:dyDescent="0.25">
      <c r="A533" s="365" t="s">
        <v>406</v>
      </c>
      <c r="B533" s="1214" t="s">
        <v>413</v>
      </c>
      <c r="C533" s="1215"/>
      <c r="D533" s="1216"/>
      <c r="E533" s="247">
        <v>4.38</v>
      </c>
      <c r="F533" s="365" t="s">
        <v>205</v>
      </c>
      <c r="G533" s="452"/>
      <c r="H533" s="563"/>
      <c r="I533" s="365">
        <v>1.05</v>
      </c>
      <c r="J533" s="365"/>
      <c r="K533" s="247">
        <f>+E533*I533</f>
        <v>4.5990000000000002</v>
      </c>
      <c r="L533" s="365" t="s">
        <v>205</v>
      </c>
      <c r="M533" s="111"/>
      <c r="N533" s="111"/>
      <c r="O533" s="336"/>
      <c r="P533" s="334"/>
      <c r="Q533" s="335"/>
      <c r="R533" s="336"/>
      <c r="S533" s="337"/>
    </row>
    <row r="534" spans="1:21" ht="30" customHeight="1" x14ac:dyDescent="0.25">
      <c r="A534" s="365"/>
      <c r="B534" s="578"/>
      <c r="C534" s="578"/>
      <c r="D534" s="578"/>
      <c r="E534" s="247"/>
      <c r="F534" s="365"/>
      <c r="G534" s="365"/>
      <c r="H534" s="365"/>
      <c r="I534" s="365"/>
      <c r="J534" s="365" t="s">
        <v>408</v>
      </c>
      <c r="K534" s="247">
        <f>SUM(K525:K533)</f>
        <v>92.59996240179575</v>
      </c>
      <c r="L534" s="365" t="s">
        <v>205</v>
      </c>
      <c r="N534" s="54"/>
      <c r="T534" s="10"/>
      <c r="U534" s="10"/>
    </row>
    <row r="535" spans="1:21" ht="30" customHeight="1" x14ac:dyDescent="0.25">
      <c r="A535" s="365"/>
      <c r="B535" s="578"/>
      <c r="C535" s="578"/>
      <c r="D535" s="578"/>
      <c r="E535" s="247"/>
      <c r="F535" s="1272" t="s">
        <v>303</v>
      </c>
      <c r="G535" s="1283" t="s">
        <v>304</v>
      </c>
      <c r="H535" s="1283"/>
      <c r="I535" s="1283"/>
      <c r="J535" s="1283"/>
      <c r="K535" s="250">
        <v>1.1000000000000001</v>
      </c>
      <c r="L535" s="365"/>
      <c r="M535" s="54"/>
      <c r="N535" s="54"/>
      <c r="T535" s="60"/>
      <c r="U535" s="60"/>
    </row>
    <row r="536" spans="1:21" s="345" customFormat="1" ht="30" customHeight="1" x14ac:dyDescent="0.25">
      <c r="A536" s="365"/>
      <c r="B536" s="578"/>
      <c r="C536" s="578"/>
      <c r="D536" s="578"/>
      <c r="E536" s="247"/>
      <c r="F536" s="1273"/>
      <c r="G536" s="1284" t="s">
        <v>438</v>
      </c>
      <c r="H536" s="1284"/>
      <c r="I536" s="1284"/>
      <c r="J536" s="1284"/>
      <c r="K536" s="251">
        <v>1.08</v>
      </c>
      <c r="L536" s="365"/>
      <c r="M536" s="54"/>
      <c r="N536" s="54"/>
      <c r="O536" s="543"/>
      <c r="P536" s="344"/>
    </row>
    <row r="537" spans="1:21" ht="30" customHeight="1" x14ac:dyDescent="0.25">
      <c r="A537" s="365"/>
      <c r="B537" s="365"/>
      <c r="C537" s="366"/>
      <c r="D537" s="366"/>
      <c r="E537" s="366"/>
      <c r="F537" s="366"/>
      <c r="G537" s="366"/>
      <c r="H537" s="366"/>
      <c r="I537" s="366"/>
      <c r="J537" s="365" t="s">
        <v>72</v>
      </c>
      <c r="K537" s="246">
        <f>+K534*K535/K536</f>
        <v>94.314776520347536</v>
      </c>
      <c r="L537" s="365" t="s">
        <v>205</v>
      </c>
      <c r="M537" s="54"/>
      <c r="N537" s="54"/>
    </row>
    <row r="538" spans="1:21" ht="30" customHeight="1" x14ac:dyDescent="0.25">
      <c r="A538" s="365"/>
      <c r="B538" s="365"/>
      <c r="C538" s="366"/>
      <c r="D538" s="366"/>
      <c r="E538" s="366"/>
      <c r="F538" s="366"/>
      <c r="G538" s="398" t="s">
        <v>414</v>
      </c>
      <c r="H538" s="366"/>
      <c r="I538" s="366"/>
      <c r="J538" s="521">
        <f>VLOOKUP(B523,'Mil Cost Premiums for PUCs'!$A$4:$R$277,18,FALSE)</f>
        <v>1.2551763558420395</v>
      </c>
      <c r="K538" s="246">
        <f>+K537*J538</f>
        <v>118.38167749486617</v>
      </c>
      <c r="L538" s="365" t="s">
        <v>205</v>
      </c>
      <c r="M538" s="54"/>
      <c r="N538" s="54"/>
    </row>
    <row r="539" spans="1:21" ht="30" customHeight="1" x14ac:dyDescent="0.25">
      <c r="A539" s="365"/>
      <c r="B539" s="365"/>
      <c r="C539" s="366"/>
      <c r="D539" s="366"/>
      <c r="E539" s="366"/>
      <c r="F539" s="366"/>
      <c r="G539" s="1222" t="s">
        <v>439</v>
      </c>
      <c r="H539" s="1223"/>
      <c r="I539" s="366"/>
      <c r="J539" s="521">
        <v>1.0833999999999999</v>
      </c>
      <c r="K539" s="246">
        <f>K538*J539</f>
        <v>128.254709397938</v>
      </c>
      <c r="L539" s="365" t="s">
        <v>205</v>
      </c>
      <c r="N539" s="54"/>
      <c r="T539" s="10"/>
      <c r="U539" s="10"/>
    </row>
    <row r="540" spans="1:21" ht="75" customHeight="1" x14ac:dyDescent="0.25">
      <c r="A540" s="1281" t="s">
        <v>307</v>
      </c>
      <c r="B540" s="1281"/>
      <c r="C540" s="1281"/>
      <c r="D540" s="1281"/>
      <c r="E540" s="1281"/>
      <c r="F540" s="1281"/>
      <c r="G540" s="1281"/>
      <c r="H540" s="1281"/>
      <c r="I540" s="1281"/>
      <c r="J540" s="1281"/>
      <c r="K540" s="1281"/>
      <c r="L540" s="1281"/>
      <c r="M540" s="54"/>
      <c r="N540" s="54"/>
      <c r="T540" s="60"/>
      <c r="U540" s="60"/>
    </row>
    <row r="541" spans="1:21" s="345" customFormat="1" ht="30" customHeight="1" x14ac:dyDescent="0.25">
      <c r="A541" s="1227" t="s">
        <v>308</v>
      </c>
      <c r="B541" s="1228"/>
      <c r="C541" s="1229"/>
      <c r="D541" s="1523" t="s">
        <v>440</v>
      </c>
      <c r="E541" s="1523"/>
      <c r="F541" s="1523"/>
      <c r="G541" s="1523"/>
      <c r="H541" s="1523"/>
      <c r="I541" s="1523"/>
      <c r="J541" s="1523"/>
      <c r="K541" s="1523"/>
      <c r="L541" s="1523"/>
      <c r="M541" s="54"/>
      <c r="N541" s="54"/>
      <c r="O541" s="543"/>
      <c r="P541" s="344"/>
    </row>
    <row r="542" spans="1:21" ht="30" customHeight="1" x14ac:dyDescent="0.25">
      <c r="A542" s="1227" t="s">
        <v>310</v>
      </c>
      <c r="B542" s="1228"/>
      <c r="C542" s="1229"/>
      <c r="D542" s="1523" t="s">
        <v>441</v>
      </c>
      <c r="E542" s="1523"/>
      <c r="F542" s="1523"/>
      <c r="G542" s="1523"/>
      <c r="H542" s="1523"/>
      <c r="I542" s="1523"/>
      <c r="J542" s="1523"/>
      <c r="K542" s="1523"/>
      <c r="L542" s="1523"/>
      <c r="M542" s="54"/>
      <c r="N542" s="54"/>
    </row>
    <row r="543" spans="1:21" ht="30" customHeight="1" x14ac:dyDescent="0.25">
      <c r="A543" s="1227" t="s">
        <v>312</v>
      </c>
      <c r="B543" s="1228"/>
      <c r="C543" s="1229"/>
      <c r="D543" s="1230" t="s">
        <v>442</v>
      </c>
      <c r="E543" s="1231"/>
      <c r="F543" s="1231"/>
      <c r="G543" s="1231"/>
      <c r="H543" s="1231"/>
      <c r="I543" s="1231"/>
      <c r="J543" s="1231"/>
      <c r="K543" s="1231"/>
      <c r="L543" s="1232"/>
      <c r="M543" s="54"/>
      <c r="N543" s="54"/>
    </row>
    <row r="544" spans="1:21" ht="60" customHeight="1" x14ac:dyDescent="0.25">
      <c r="A544" s="1227" t="s">
        <v>314</v>
      </c>
      <c r="B544" s="1228"/>
      <c r="C544" s="1229"/>
      <c r="D544" s="1230" t="s">
        <v>443</v>
      </c>
      <c r="E544" s="1231"/>
      <c r="F544" s="1231"/>
      <c r="G544" s="1231"/>
      <c r="H544" s="1231"/>
      <c r="I544" s="1231"/>
      <c r="J544" s="1231"/>
      <c r="K544" s="1231"/>
      <c r="L544" s="1232"/>
      <c r="M544" s="54"/>
      <c r="N544" s="112"/>
      <c r="O544" s="336"/>
      <c r="P544" s="334"/>
      <c r="Q544" s="335"/>
      <c r="R544" s="336"/>
      <c r="S544" s="337"/>
    </row>
    <row r="545" spans="1:19" ht="60" customHeight="1" x14ac:dyDescent="0.25">
      <c r="A545" s="1227" t="s">
        <v>316</v>
      </c>
      <c r="B545" s="1228"/>
      <c r="C545" s="1229"/>
      <c r="D545" s="1230" t="s">
        <v>444</v>
      </c>
      <c r="E545" s="1231"/>
      <c r="F545" s="1231"/>
      <c r="G545" s="1231"/>
      <c r="H545" s="1231"/>
      <c r="I545" s="1231"/>
      <c r="J545" s="1231"/>
      <c r="K545" s="1231"/>
      <c r="L545" s="1232"/>
      <c r="M545" s="54"/>
      <c r="N545" s="54"/>
      <c r="O545" s="336"/>
      <c r="P545" s="334"/>
      <c r="Q545" s="335"/>
      <c r="R545" s="336"/>
      <c r="S545" s="337"/>
    </row>
    <row r="546" spans="1:19" ht="30" customHeight="1" x14ac:dyDescent="0.25">
      <c r="A546" s="1227" t="s">
        <v>318</v>
      </c>
      <c r="B546" s="1228"/>
      <c r="C546" s="1229"/>
      <c r="D546" s="1230" t="s">
        <v>445</v>
      </c>
      <c r="E546" s="1231"/>
      <c r="F546" s="1231"/>
      <c r="G546" s="1231"/>
      <c r="H546" s="1231"/>
      <c r="I546" s="1231"/>
      <c r="J546" s="1231"/>
      <c r="K546" s="1231"/>
      <c r="L546" s="1232"/>
      <c r="M546" s="54"/>
      <c r="N546" s="54"/>
      <c r="O546" s="336"/>
      <c r="P546" s="334"/>
      <c r="Q546" s="335"/>
      <c r="R546" s="336"/>
      <c r="S546" s="337"/>
    </row>
    <row r="547" spans="1:19" ht="30" customHeight="1" x14ac:dyDescent="0.25">
      <c r="A547" s="1227" t="s">
        <v>320</v>
      </c>
      <c r="B547" s="1228"/>
      <c r="C547" s="1229"/>
      <c r="D547" s="1230" t="s">
        <v>446</v>
      </c>
      <c r="E547" s="1231"/>
      <c r="F547" s="1231"/>
      <c r="G547" s="1231"/>
      <c r="H547" s="1231"/>
      <c r="I547" s="1231"/>
      <c r="J547" s="1231"/>
      <c r="K547" s="1231"/>
      <c r="L547" s="1232"/>
      <c r="M547" s="210"/>
      <c r="N547" s="54"/>
      <c r="O547" s="336"/>
      <c r="P547" s="334"/>
      <c r="Q547" s="335"/>
      <c r="R547" s="336"/>
      <c r="S547" s="337"/>
    </row>
    <row r="548" spans="1:19" ht="75" customHeight="1" x14ac:dyDescent="0.25">
      <c r="A548" s="1227" t="s">
        <v>322</v>
      </c>
      <c r="B548" s="1228"/>
      <c r="C548" s="1228"/>
      <c r="D548" s="1238" t="s">
        <v>422</v>
      </c>
      <c r="E548" s="1239"/>
      <c r="F548" s="1239"/>
      <c r="G548" s="1239"/>
      <c r="H548" s="1239"/>
      <c r="I548" s="1239"/>
      <c r="J548" s="1239"/>
      <c r="K548" s="1239"/>
      <c r="L548" s="1239"/>
      <c r="M548" s="111"/>
      <c r="N548" s="112"/>
      <c r="O548" s="336"/>
      <c r="P548" s="334"/>
      <c r="Q548" s="335"/>
      <c r="R548" s="336"/>
      <c r="S548" s="337"/>
    </row>
    <row r="549" spans="1:19" ht="75" customHeight="1" thickBot="1" x14ac:dyDescent="0.3">
      <c r="A549" s="1494" t="s">
        <v>350</v>
      </c>
      <c r="B549" s="1495"/>
      <c r="C549" s="1496"/>
      <c r="D549" s="1230" t="s">
        <v>3397</v>
      </c>
      <c r="E549" s="1231"/>
      <c r="F549" s="1231"/>
      <c r="G549" s="1231"/>
      <c r="H549" s="1231"/>
      <c r="I549" s="1231"/>
      <c r="J549" s="1231"/>
      <c r="K549" s="1231"/>
      <c r="L549" s="1232"/>
      <c r="M549" s="54"/>
      <c r="N549" s="54"/>
      <c r="O549" s="336"/>
      <c r="P549" s="334"/>
      <c r="Q549" s="335"/>
      <c r="R549" s="336"/>
      <c r="S549" s="337"/>
    </row>
    <row r="550" spans="1:19" ht="30" customHeight="1" thickBot="1" x14ac:dyDescent="0.3">
      <c r="A550" s="1180"/>
      <c r="B550" s="1181"/>
      <c r="C550" s="1181"/>
      <c r="D550" s="1181"/>
      <c r="E550" s="1181"/>
      <c r="F550" s="1181"/>
      <c r="G550" s="1181"/>
      <c r="H550" s="1181"/>
      <c r="I550" s="1181"/>
      <c r="J550" s="1181"/>
      <c r="K550" s="1181"/>
      <c r="L550" s="1182"/>
      <c r="M550" s="54"/>
      <c r="N550" s="54"/>
      <c r="O550" s="336"/>
      <c r="P550" s="334"/>
      <c r="Q550" s="335"/>
      <c r="R550" s="336"/>
      <c r="S550" s="337"/>
    </row>
    <row r="551" spans="1:19" ht="30" customHeight="1" x14ac:dyDescent="0.25">
      <c r="A551" s="327" t="s">
        <v>5</v>
      </c>
      <c r="B551" s="328">
        <v>1444</v>
      </c>
      <c r="C551" s="1218" t="s">
        <v>447</v>
      </c>
      <c r="D551" s="1219"/>
      <c r="E551" s="331" t="s">
        <v>8</v>
      </c>
      <c r="F551" s="332" t="s">
        <v>205</v>
      </c>
      <c r="G551" s="342" t="s">
        <v>74</v>
      </c>
      <c r="H551" s="160">
        <v>5667</v>
      </c>
      <c r="I551" s="331" t="s">
        <v>10</v>
      </c>
      <c r="J551" s="1253" t="s">
        <v>281</v>
      </c>
      <c r="K551" s="1254"/>
      <c r="L551" s="1255"/>
      <c r="M551" s="54"/>
      <c r="N551" s="54"/>
      <c r="O551" s="336"/>
      <c r="P551" s="334"/>
      <c r="Q551" s="335"/>
      <c r="R551" s="336"/>
      <c r="S551" s="337"/>
    </row>
    <row r="552" spans="1:19" ht="30" customHeight="1" x14ac:dyDescent="0.25">
      <c r="A552" s="356" t="s">
        <v>282</v>
      </c>
      <c r="B552" s="1163" t="s">
        <v>13</v>
      </c>
      <c r="C552" s="1163"/>
      <c r="D552" s="1163"/>
      <c r="E552" s="357" t="s">
        <v>283</v>
      </c>
      <c r="F552" s="546" t="s">
        <v>116</v>
      </c>
      <c r="G552" s="356"/>
      <c r="H552" s="356"/>
      <c r="I552" s="1276" t="s">
        <v>284</v>
      </c>
      <c r="J552" s="1277"/>
      <c r="K552" s="1236" t="s">
        <v>285</v>
      </c>
      <c r="L552" s="1237"/>
      <c r="M552" s="54"/>
      <c r="N552" s="112"/>
      <c r="O552" s="336"/>
      <c r="P552" s="334"/>
      <c r="Q552" s="335"/>
      <c r="R552" s="336"/>
      <c r="S552" s="337"/>
    </row>
    <row r="553" spans="1:19" ht="30" customHeight="1" x14ac:dyDescent="0.25">
      <c r="A553" s="367" t="s">
        <v>286</v>
      </c>
      <c r="B553" s="1209" t="s">
        <v>402</v>
      </c>
      <c r="C553" s="1210"/>
      <c r="D553" s="1211"/>
      <c r="E553" s="665">
        <v>17000</v>
      </c>
      <c r="F553" s="651">
        <v>367</v>
      </c>
      <c r="G553" s="548"/>
      <c r="H553" s="549"/>
      <c r="I553" s="1302" t="str">
        <f>$I$449</f>
        <v>NA;  GUCs are as of October 2021</v>
      </c>
      <c r="J553" s="1303"/>
      <c r="K553" s="252">
        <f>+F553</f>
        <v>367</v>
      </c>
      <c r="L553" s="367" t="s">
        <v>205</v>
      </c>
      <c r="M553" s="54"/>
      <c r="N553" s="54"/>
      <c r="O553" s="336"/>
      <c r="P553" s="334"/>
      <c r="Q553" s="335"/>
      <c r="R553" s="336"/>
      <c r="S553" s="337"/>
    </row>
    <row r="554" spans="1:19" ht="30" customHeight="1" thickBot="1" x14ac:dyDescent="0.3">
      <c r="A554" s="365"/>
      <c r="B554" s="1281"/>
      <c r="C554" s="1281"/>
      <c r="D554" s="1281"/>
      <c r="F554" s="551"/>
      <c r="G554" s="551"/>
      <c r="H554" s="552"/>
      <c r="I554" s="366"/>
      <c r="J554" s="398" t="s">
        <v>72</v>
      </c>
      <c r="K554" s="246">
        <f>+K553</f>
        <v>367</v>
      </c>
      <c r="L554" s="365" t="s">
        <v>205</v>
      </c>
      <c r="M554" s="54"/>
      <c r="N554" s="54"/>
      <c r="O554" s="345"/>
      <c r="P554" s="345"/>
      <c r="Q554" s="335"/>
      <c r="R554" s="336"/>
      <c r="S554" s="337"/>
    </row>
    <row r="555" spans="1:19" ht="30" customHeight="1" thickBot="1" x14ac:dyDescent="0.3">
      <c r="A555" s="1180"/>
      <c r="B555" s="1181"/>
      <c r="C555" s="1181"/>
      <c r="D555" s="1181"/>
      <c r="E555" s="1181"/>
      <c r="F555" s="1181"/>
      <c r="G555" s="1181"/>
      <c r="H555" s="1181"/>
      <c r="I555" s="1181"/>
      <c r="J555" s="1181"/>
      <c r="K555" s="1181"/>
      <c r="L555" s="1182"/>
      <c r="M555" s="54"/>
      <c r="N555" s="54"/>
      <c r="O555" s="345"/>
      <c r="P555" s="345"/>
      <c r="Q555" s="335"/>
      <c r="R555" s="336"/>
      <c r="S555" s="337"/>
    </row>
    <row r="556" spans="1:19" ht="30" customHeight="1" x14ac:dyDescent="0.25">
      <c r="A556" s="327" t="s">
        <v>5</v>
      </c>
      <c r="B556" s="328">
        <v>1445</v>
      </c>
      <c r="C556" s="1218" t="s">
        <v>448</v>
      </c>
      <c r="D556" s="1219"/>
      <c r="E556" s="331" t="s">
        <v>8</v>
      </c>
      <c r="F556" s="332" t="s">
        <v>205</v>
      </c>
      <c r="G556" s="342" t="s">
        <v>74</v>
      </c>
      <c r="H556" s="160">
        <v>3152</v>
      </c>
      <c r="I556" s="331" t="s">
        <v>10</v>
      </c>
      <c r="J556" s="1253" t="s">
        <v>449</v>
      </c>
      <c r="K556" s="1254"/>
      <c r="L556" s="1255"/>
      <c r="M556" s="111"/>
      <c r="N556" s="112"/>
      <c r="O556" s="345"/>
      <c r="P556" s="345"/>
      <c r="Q556" s="335"/>
      <c r="R556" s="336"/>
      <c r="S556" s="337"/>
    </row>
    <row r="557" spans="1:19" ht="30" customHeight="1" x14ac:dyDescent="0.25">
      <c r="A557" s="359" t="s">
        <v>295</v>
      </c>
      <c r="B557" s="657" t="s">
        <v>326</v>
      </c>
      <c r="C557" s="658"/>
      <c r="D557" s="659"/>
      <c r="E557" s="577" t="s">
        <v>116</v>
      </c>
      <c r="F557" s="577" t="s">
        <v>117</v>
      </c>
      <c r="G557" s="1236" t="s">
        <v>118</v>
      </c>
      <c r="H557" s="1240"/>
      <c r="I557" s="633" t="s">
        <v>296</v>
      </c>
      <c r="J557" s="633"/>
      <c r="K557" s="1236" t="s">
        <v>285</v>
      </c>
      <c r="L557" s="1237"/>
      <c r="M557" s="54"/>
      <c r="N557" s="54"/>
      <c r="O557" s="345"/>
      <c r="P557" s="345"/>
      <c r="Q557" s="335"/>
      <c r="R557" s="336"/>
      <c r="S557" s="337"/>
    </row>
    <row r="558" spans="1:19" ht="30" customHeight="1" x14ac:dyDescent="0.25">
      <c r="A558" s="365">
        <v>14126</v>
      </c>
      <c r="B558" s="1214" t="s">
        <v>450</v>
      </c>
      <c r="C558" s="1215"/>
      <c r="D558" s="1216"/>
      <c r="E558" s="547">
        <v>2770</v>
      </c>
      <c r="F558" s="240">
        <v>482</v>
      </c>
      <c r="G558" s="548"/>
      <c r="H558" s="549"/>
      <c r="I558" s="1302">
        <f>+'2022 MILCON Inflation Table'!F18</f>
        <v>1</v>
      </c>
      <c r="J558" s="1303"/>
      <c r="K558" s="242">
        <f>+F558*I558</f>
        <v>482</v>
      </c>
      <c r="L558" s="367" t="s">
        <v>205</v>
      </c>
      <c r="M558" s="54"/>
      <c r="N558" s="54"/>
      <c r="O558" s="345"/>
      <c r="P558" s="345"/>
      <c r="Q558" s="335"/>
      <c r="R558" s="336"/>
      <c r="S558" s="337"/>
    </row>
    <row r="559" spans="1:19" ht="30" customHeight="1" thickBot="1" x14ac:dyDescent="0.3">
      <c r="A559" s="365"/>
      <c r="B559" s="1281"/>
      <c r="C559" s="1281"/>
      <c r="D559" s="1281"/>
      <c r="E559" s="646"/>
      <c r="F559" s="647"/>
      <c r="G559" s="647"/>
      <c r="H559" s="648"/>
      <c r="I559" s="366"/>
      <c r="J559" s="398" t="s">
        <v>72</v>
      </c>
      <c r="K559" s="243">
        <f>+K558</f>
        <v>482</v>
      </c>
      <c r="L559" s="365" t="s">
        <v>205</v>
      </c>
      <c r="M559" s="112"/>
      <c r="N559" s="54"/>
      <c r="O559" s="345"/>
      <c r="P559" s="345"/>
      <c r="Q559" s="335"/>
      <c r="R559" s="336"/>
      <c r="S559" s="337"/>
    </row>
    <row r="560" spans="1:19" ht="30" customHeight="1" thickBot="1" x14ac:dyDescent="0.3">
      <c r="A560" s="1180"/>
      <c r="B560" s="1181"/>
      <c r="C560" s="1181"/>
      <c r="D560" s="1181"/>
      <c r="E560" s="1181"/>
      <c r="F560" s="1181"/>
      <c r="G560" s="1181"/>
      <c r="H560" s="1181"/>
      <c r="I560" s="1181"/>
      <c r="J560" s="1181"/>
      <c r="K560" s="1181"/>
      <c r="L560" s="1182"/>
      <c r="M560" s="54"/>
      <c r="N560" s="112"/>
      <c r="O560" s="345"/>
      <c r="P560" s="345"/>
      <c r="Q560" s="335"/>
      <c r="R560" s="336"/>
      <c r="S560" s="337"/>
    </row>
    <row r="561" spans="1:19" ht="30" customHeight="1" x14ac:dyDescent="0.25">
      <c r="A561" s="327" t="s">
        <v>5</v>
      </c>
      <c r="B561" s="328">
        <v>1446</v>
      </c>
      <c r="C561" s="1294" t="s">
        <v>451</v>
      </c>
      <c r="D561" s="1295"/>
      <c r="E561" s="331" t="s">
        <v>8</v>
      </c>
      <c r="F561" s="332" t="s">
        <v>205</v>
      </c>
      <c r="G561" s="342" t="s">
        <v>74</v>
      </c>
      <c r="H561" s="653">
        <v>11713</v>
      </c>
      <c r="I561" s="331" t="s">
        <v>10</v>
      </c>
      <c r="J561" s="1220" t="s">
        <v>376</v>
      </c>
      <c r="K561" s="1220"/>
      <c r="L561" s="1221"/>
      <c r="M561" s="54"/>
      <c r="N561" s="54"/>
      <c r="O561" s="345"/>
      <c r="P561" s="345"/>
      <c r="Q561" s="335"/>
      <c r="R561" s="336"/>
      <c r="S561" s="337"/>
    </row>
    <row r="562" spans="1:19" ht="30" customHeight="1" x14ac:dyDescent="0.25">
      <c r="A562" s="359" t="s">
        <v>295</v>
      </c>
      <c r="B562" s="1222" t="s">
        <v>326</v>
      </c>
      <c r="C562" s="1235"/>
      <c r="D562" s="1223"/>
      <c r="E562" s="577" t="s">
        <v>116</v>
      </c>
      <c r="F562" s="577" t="s">
        <v>117</v>
      </c>
      <c r="G562" s="1194" t="s">
        <v>118</v>
      </c>
      <c r="H562" s="1195"/>
      <c r="I562" s="633" t="s">
        <v>296</v>
      </c>
      <c r="J562" s="633"/>
      <c r="K562" s="1236" t="s">
        <v>285</v>
      </c>
      <c r="L562" s="1237"/>
      <c r="M562" s="54"/>
      <c r="N562" s="54"/>
      <c r="O562" s="345"/>
      <c r="P562" s="345"/>
      <c r="Q562" s="335"/>
      <c r="R562" s="336"/>
      <c r="S562" s="337"/>
    </row>
    <row r="563" spans="1:19" ht="30" customHeight="1" x14ac:dyDescent="0.25">
      <c r="A563" s="365" t="s">
        <v>452</v>
      </c>
      <c r="B563" s="1214" t="s">
        <v>453</v>
      </c>
      <c r="C563" s="1215"/>
      <c r="D563" s="1216"/>
      <c r="E563" s="247">
        <v>175</v>
      </c>
      <c r="F563" s="365" t="s">
        <v>205</v>
      </c>
      <c r="G563" s="452"/>
      <c r="H563" s="563"/>
      <c r="I563" s="365">
        <v>1.17</v>
      </c>
      <c r="J563" s="365"/>
      <c r="K563" s="247">
        <f>+E563*I563</f>
        <v>204.75</v>
      </c>
      <c r="L563" s="365" t="s">
        <v>205</v>
      </c>
      <c r="M563" s="112"/>
      <c r="N563" s="54"/>
      <c r="O563" s="345"/>
      <c r="P563" s="345"/>
      <c r="Q563" s="335"/>
      <c r="R563" s="336"/>
      <c r="S563" s="337"/>
    </row>
    <row r="564" spans="1:19" ht="30" customHeight="1" x14ac:dyDescent="0.25">
      <c r="A564" s="365" t="s">
        <v>454</v>
      </c>
      <c r="B564" s="1214" t="s">
        <v>455</v>
      </c>
      <c r="C564" s="1215"/>
      <c r="D564" s="1216"/>
      <c r="E564" s="247">
        <v>58000</v>
      </c>
      <c r="F564" s="365" t="s">
        <v>76</v>
      </c>
      <c r="G564" s="666">
        <f>E564/H561</f>
        <v>4.9517629983778706</v>
      </c>
      <c r="H564" s="563" t="s">
        <v>205</v>
      </c>
      <c r="I564" s="365">
        <v>1.17</v>
      </c>
      <c r="J564" s="365"/>
      <c r="K564" s="247">
        <f>G564*I564</f>
        <v>5.7935627081021082</v>
      </c>
      <c r="L564" s="365" t="s">
        <v>205</v>
      </c>
      <c r="M564" s="54"/>
      <c r="N564" s="112"/>
      <c r="O564" s="345"/>
      <c r="P564" s="345"/>
      <c r="Q564" s="335"/>
      <c r="R564" s="336"/>
      <c r="S564" s="337"/>
    </row>
    <row r="565" spans="1:19" ht="30" customHeight="1" x14ac:dyDescent="0.25">
      <c r="A565" s="365" t="s">
        <v>456</v>
      </c>
      <c r="B565" s="1214" t="s">
        <v>457</v>
      </c>
      <c r="C565" s="1215"/>
      <c r="D565" s="1216"/>
      <c r="E565" s="247">
        <v>3.73</v>
      </c>
      <c r="F565" s="365" t="s">
        <v>205</v>
      </c>
      <c r="G565" s="452"/>
      <c r="H565" s="563"/>
      <c r="I565" s="365">
        <v>1.17</v>
      </c>
      <c r="J565" s="365"/>
      <c r="K565" s="247">
        <f>+E565*I565</f>
        <v>4.3640999999999996</v>
      </c>
      <c r="L565" s="365" t="s">
        <v>205</v>
      </c>
      <c r="M565" s="54"/>
      <c r="N565" s="54"/>
      <c r="O565" s="345"/>
      <c r="P565" s="345"/>
      <c r="Q565" s="335"/>
      <c r="R565" s="336"/>
      <c r="S565" s="337"/>
    </row>
    <row r="566" spans="1:19" ht="30" customHeight="1" x14ac:dyDescent="0.25">
      <c r="A566" s="365"/>
      <c r="B566" s="1269"/>
      <c r="C566" s="1269"/>
      <c r="D566" s="1269"/>
      <c r="E566" s="247"/>
      <c r="F566" s="365"/>
      <c r="G566" s="365"/>
      <c r="H566" s="365"/>
      <c r="I566" s="365"/>
      <c r="J566" s="365" t="s">
        <v>408</v>
      </c>
      <c r="K566" s="247">
        <f>SUM(K563:K565)</f>
        <v>214.90766270810212</v>
      </c>
      <c r="L566" s="365" t="s">
        <v>205</v>
      </c>
      <c r="M566" s="54"/>
      <c r="N566" s="54"/>
      <c r="O566" s="345"/>
      <c r="P566" s="345"/>
      <c r="Q566" s="335"/>
      <c r="R566" s="336"/>
      <c r="S566" s="337"/>
    </row>
    <row r="567" spans="1:19" ht="30" customHeight="1" x14ac:dyDescent="0.25">
      <c r="A567" s="365"/>
      <c r="B567" s="578"/>
      <c r="C567" s="578"/>
      <c r="D567" s="578"/>
      <c r="E567" s="247"/>
      <c r="F567" s="1272" t="s">
        <v>303</v>
      </c>
      <c r="G567" s="1283" t="s">
        <v>304</v>
      </c>
      <c r="H567" s="1283"/>
      <c r="I567" s="1283"/>
      <c r="J567" s="1283"/>
      <c r="K567" s="251">
        <v>1.08</v>
      </c>
      <c r="L567" s="365"/>
      <c r="M567" s="112"/>
      <c r="N567" s="54"/>
      <c r="O567" s="345"/>
      <c r="P567" s="345"/>
      <c r="Q567" s="335"/>
      <c r="R567" s="336"/>
      <c r="S567" s="337"/>
    </row>
    <row r="568" spans="1:19" ht="30" customHeight="1" x14ac:dyDescent="0.25">
      <c r="A568" s="365"/>
      <c r="B568" s="578"/>
      <c r="C568" s="578"/>
      <c r="D568" s="578"/>
      <c r="E568" s="247"/>
      <c r="F568" s="1273"/>
      <c r="G568" s="1284" t="s">
        <v>305</v>
      </c>
      <c r="H568" s="1284"/>
      <c r="I568" s="1284"/>
      <c r="J568" s="1284"/>
      <c r="K568" s="250">
        <v>1.06</v>
      </c>
      <c r="L568" s="365"/>
      <c r="M568" s="54"/>
      <c r="N568" s="111"/>
      <c r="O568" s="345"/>
      <c r="P568" s="345"/>
      <c r="Q568" s="335"/>
      <c r="R568" s="336"/>
      <c r="S568" s="337"/>
    </row>
    <row r="569" spans="1:19" ht="30" customHeight="1" x14ac:dyDescent="0.25">
      <c r="A569" s="365"/>
      <c r="B569" s="365"/>
      <c r="C569" s="366"/>
      <c r="D569" s="366"/>
      <c r="E569" s="366"/>
      <c r="F569" s="366"/>
      <c r="G569" s="366"/>
      <c r="H569" s="366"/>
      <c r="I569" s="366"/>
      <c r="J569" s="365" t="s">
        <v>72</v>
      </c>
      <c r="K569" s="246">
        <f>+K566*K567/K568</f>
        <v>218.96252426863236</v>
      </c>
      <c r="L569" s="365" t="s">
        <v>205</v>
      </c>
      <c r="M569" s="54"/>
      <c r="N569" s="54"/>
      <c r="O569" s="345"/>
      <c r="P569" s="345"/>
      <c r="Q569" s="335"/>
      <c r="R569" s="336"/>
      <c r="S569" s="337"/>
    </row>
    <row r="570" spans="1:19" ht="30" customHeight="1" x14ac:dyDescent="0.25">
      <c r="A570" s="365"/>
      <c r="B570" s="365"/>
      <c r="C570" s="366"/>
      <c r="D570" s="366"/>
      <c r="E570" s="366"/>
      <c r="F570" s="366"/>
      <c r="G570" s="398" t="s">
        <v>414</v>
      </c>
      <c r="H570" s="366"/>
      <c r="I570" s="366"/>
      <c r="J570" s="521">
        <f>VLOOKUP(B561,'Mil Cost Premiums for PUCs'!$A$4:$R$277,18,FALSE)</f>
        <v>1.3279641928993471</v>
      </c>
      <c r="K570" s="246">
        <f>+K569*J570</f>
        <v>290.77439181559805</v>
      </c>
      <c r="L570" s="365" t="s">
        <v>205</v>
      </c>
      <c r="M570" s="54"/>
      <c r="N570" s="54"/>
      <c r="O570" s="345"/>
      <c r="P570" s="345"/>
      <c r="Q570" s="335"/>
      <c r="R570" s="336"/>
      <c r="S570" s="337"/>
    </row>
    <row r="571" spans="1:19" ht="60" customHeight="1" x14ac:dyDescent="0.25">
      <c r="A571" s="1230" t="s">
        <v>307</v>
      </c>
      <c r="B571" s="1231"/>
      <c r="C571" s="1231"/>
      <c r="D571" s="1231"/>
      <c r="E571" s="1231"/>
      <c r="F571" s="1231"/>
      <c r="G571" s="1231"/>
      <c r="H571" s="1231"/>
      <c r="I571" s="1231"/>
      <c r="J571" s="1231"/>
      <c r="K571" s="1231"/>
      <c r="L571" s="1232"/>
      <c r="M571" s="112"/>
      <c r="N571" s="54"/>
      <c r="O571" s="345"/>
      <c r="P571" s="345"/>
      <c r="Q571" s="335"/>
      <c r="R571" s="336"/>
      <c r="S571" s="337"/>
    </row>
    <row r="572" spans="1:19" ht="30" customHeight="1" x14ac:dyDescent="0.25">
      <c r="A572" s="1227" t="s">
        <v>308</v>
      </c>
      <c r="B572" s="1228"/>
      <c r="C572" s="1228"/>
      <c r="D572" s="1256" t="s">
        <v>458</v>
      </c>
      <c r="E572" s="1257"/>
      <c r="F572" s="1257"/>
      <c r="G572" s="1257"/>
      <c r="H572" s="1257"/>
      <c r="I572" s="1257"/>
      <c r="J572" s="1257"/>
      <c r="K572" s="1257"/>
      <c r="L572" s="1258"/>
      <c r="M572" s="54"/>
      <c r="N572" s="54"/>
      <c r="O572" s="345"/>
      <c r="P572" s="345"/>
      <c r="Q572" s="335"/>
      <c r="R572" s="336"/>
      <c r="S572" s="337"/>
    </row>
    <row r="573" spans="1:19" ht="30" customHeight="1" x14ac:dyDescent="0.25">
      <c r="A573" s="1227" t="s">
        <v>310</v>
      </c>
      <c r="B573" s="1228"/>
      <c r="C573" s="1228"/>
      <c r="D573" s="1230" t="s">
        <v>459</v>
      </c>
      <c r="E573" s="1257"/>
      <c r="F573" s="1257"/>
      <c r="G573" s="1257"/>
      <c r="H573" s="1257"/>
      <c r="I573" s="1257"/>
      <c r="J573" s="1257"/>
      <c r="K573" s="1257"/>
      <c r="L573" s="1258"/>
      <c r="M573" s="54"/>
      <c r="N573" s="54"/>
      <c r="O573" s="345"/>
      <c r="P573" s="345"/>
      <c r="Q573" s="335"/>
      <c r="R573" s="336"/>
      <c r="S573" s="337"/>
    </row>
    <row r="574" spans="1:19" ht="30" customHeight="1" x14ac:dyDescent="0.25">
      <c r="A574" s="1227" t="s">
        <v>312</v>
      </c>
      <c r="B574" s="1228"/>
      <c r="C574" s="1228"/>
      <c r="D574" s="1230" t="s">
        <v>460</v>
      </c>
      <c r="E574" s="1257"/>
      <c r="F574" s="1257"/>
      <c r="G574" s="1257"/>
      <c r="H574" s="1257"/>
      <c r="I574" s="1257"/>
      <c r="J574" s="1257"/>
      <c r="K574" s="1257"/>
      <c r="L574" s="1258"/>
      <c r="M574" s="54"/>
      <c r="N574" s="54"/>
      <c r="O574" s="336"/>
      <c r="P574" s="334"/>
      <c r="Q574" s="335"/>
      <c r="R574" s="336"/>
      <c r="S574" s="337"/>
    </row>
    <row r="575" spans="1:19" ht="30" customHeight="1" x14ac:dyDescent="0.25">
      <c r="A575" s="1227" t="s">
        <v>314</v>
      </c>
      <c r="B575" s="1228"/>
      <c r="C575" s="1228"/>
      <c r="D575" s="1230" t="s">
        <v>461</v>
      </c>
      <c r="E575" s="1257"/>
      <c r="F575" s="1257"/>
      <c r="G575" s="1257"/>
      <c r="H575" s="1257"/>
      <c r="I575" s="1257"/>
      <c r="J575" s="1257"/>
      <c r="K575" s="1257"/>
      <c r="L575" s="1258"/>
      <c r="M575" s="112"/>
      <c r="N575" s="54"/>
      <c r="O575" s="336"/>
      <c r="P575" s="334"/>
      <c r="Q575" s="335"/>
      <c r="R575" s="336"/>
      <c r="S575" s="337"/>
    </row>
    <row r="576" spans="1:19" ht="30" customHeight="1" x14ac:dyDescent="0.25">
      <c r="A576" s="1227" t="s">
        <v>316</v>
      </c>
      <c r="B576" s="1228"/>
      <c r="C576" s="1228"/>
      <c r="D576" s="1230" t="s">
        <v>462</v>
      </c>
      <c r="E576" s="1257"/>
      <c r="F576" s="1257"/>
      <c r="G576" s="1257"/>
      <c r="H576" s="1257"/>
      <c r="I576" s="1257"/>
      <c r="J576" s="1257"/>
      <c r="K576" s="1257"/>
      <c r="L576" s="1258"/>
      <c r="M576" s="54"/>
      <c r="N576" s="54"/>
      <c r="O576" s="336"/>
      <c r="P576" s="334"/>
      <c r="Q576" s="335"/>
      <c r="R576" s="336"/>
      <c r="S576" s="337"/>
    </row>
    <row r="577" spans="1:21" ht="30" customHeight="1" x14ac:dyDescent="0.25">
      <c r="A577" s="1227" t="s">
        <v>318</v>
      </c>
      <c r="B577" s="1228"/>
      <c r="C577" s="1228"/>
      <c r="D577" s="1256" t="s">
        <v>463</v>
      </c>
      <c r="E577" s="1257"/>
      <c r="F577" s="1257"/>
      <c r="G577" s="1257"/>
      <c r="H577" s="1257"/>
      <c r="I577" s="1257"/>
      <c r="J577" s="1257"/>
      <c r="K577" s="1257"/>
      <c r="L577" s="1258"/>
      <c r="M577" s="54"/>
      <c r="N577" s="54"/>
      <c r="T577" s="10"/>
      <c r="U577" s="10"/>
    </row>
    <row r="578" spans="1:21" ht="30" customHeight="1" x14ac:dyDescent="0.25">
      <c r="A578" s="1227" t="s">
        <v>320</v>
      </c>
      <c r="B578" s="1228"/>
      <c r="C578" s="1228"/>
      <c r="D578" s="1256" t="s">
        <v>464</v>
      </c>
      <c r="E578" s="1257"/>
      <c r="F578" s="1257"/>
      <c r="G578" s="1257"/>
      <c r="H578" s="1257"/>
      <c r="I578" s="1257"/>
      <c r="J578" s="1257"/>
      <c r="K578" s="1257"/>
      <c r="L578" s="1258"/>
      <c r="M578" s="54"/>
      <c r="N578" s="54"/>
      <c r="T578" s="60"/>
      <c r="U578" s="60"/>
    </row>
    <row r="579" spans="1:21" s="345" customFormat="1" ht="75" customHeight="1" thickBot="1" x14ac:dyDescent="0.3">
      <c r="A579" s="1490" t="s">
        <v>322</v>
      </c>
      <c r="B579" s="1491"/>
      <c r="C579" s="1491"/>
      <c r="D579" s="1492" t="s">
        <v>422</v>
      </c>
      <c r="E579" s="1493"/>
      <c r="F579" s="1493"/>
      <c r="G579" s="1493"/>
      <c r="H579" s="1493"/>
      <c r="I579" s="1493"/>
      <c r="J579" s="1493"/>
      <c r="K579" s="1493"/>
      <c r="L579" s="1493"/>
      <c r="M579" s="112"/>
      <c r="N579" s="54"/>
      <c r="O579" s="543"/>
      <c r="P579" s="344"/>
    </row>
    <row r="580" spans="1:21" s="345" customFormat="1" ht="30" customHeight="1" thickBot="1" x14ac:dyDescent="0.3">
      <c r="A580" s="1343"/>
      <c r="B580" s="1344"/>
      <c r="C580" s="1344"/>
      <c r="D580" s="1344"/>
      <c r="E580" s="1344"/>
      <c r="F580" s="1344"/>
      <c r="G580" s="1344"/>
      <c r="H580" s="1344"/>
      <c r="I580" s="1344"/>
      <c r="J580" s="1344"/>
      <c r="K580" s="1344"/>
      <c r="L580" s="1345"/>
      <c r="M580" s="54"/>
      <c r="N580" s="111"/>
      <c r="O580" s="543"/>
      <c r="P580" s="344"/>
    </row>
    <row r="581" spans="1:21" s="345" customFormat="1" ht="30" customHeight="1" x14ac:dyDescent="0.25">
      <c r="A581" s="537" t="s">
        <v>5</v>
      </c>
      <c r="B581" s="667">
        <v>1451</v>
      </c>
      <c r="C581" s="1246" t="s">
        <v>465</v>
      </c>
      <c r="D581" s="1246"/>
      <c r="E581" s="668" t="s">
        <v>466</v>
      </c>
      <c r="F581" s="669" t="s">
        <v>76</v>
      </c>
      <c r="G581" s="532" t="s">
        <v>74</v>
      </c>
      <c r="H581" s="670">
        <v>1</v>
      </c>
      <c r="I581" s="381" t="s">
        <v>10</v>
      </c>
      <c r="J581" s="1349" t="s">
        <v>467</v>
      </c>
      <c r="K581" s="1349"/>
      <c r="L581" s="1349"/>
      <c r="M581" s="112"/>
      <c r="N581" s="54"/>
      <c r="O581" s="543"/>
      <c r="P581" s="344"/>
    </row>
    <row r="582" spans="1:21" s="345" customFormat="1" ht="30" customHeight="1" x14ac:dyDescent="0.25">
      <c r="A582" s="356"/>
      <c r="B582" s="1249" t="s">
        <v>468</v>
      </c>
      <c r="C582" s="1249"/>
      <c r="D582" s="1249"/>
      <c r="E582" s="356" t="s">
        <v>116</v>
      </c>
      <c r="F582" s="356" t="s">
        <v>117</v>
      </c>
      <c r="G582" s="1250" t="s">
        <v>118</v>
      </c>
      <c r="H582" s="1250"/>
      <c r="I582" s="356" t="s">
        <v>119</v>
      </c>
      <c r="J582" s="356" t="s">
        <v>120</v>
      </c>
      <c r="K582" s="1250" t="s">
        <v>72</v>
      </c>
      <c r="L582" s="1250"/>
      <c r="M582" s="54"/>
      <c r="N582" s="54"/>
      <c r="O582" s="543"/>
      <c r="P582" s="344"/>
    </row>
    <row r="583" spans="1:21" s="345" customFormat="1" ht="30" customHeight="1" thickBot="1" x14ac:dyDescent="0.3">
      <c r="A583" s="450"/>
      <c r="B583" s="1429">
        <v>6814397.3899999997</v>
      </c>
      <c r="C583" s="1429"/>
      <c r="D583" s="1429"/>
      <c r="E583" s="472"/>
      <c r="F583" s="473"/>
      <c r="G583" s="1430"/>
      <c r="H583" s="1430"/>
      <c r="I583" s="473"/>
      <c r="J583" s="671">
        <f>+'2022 MILCON Inflation Table'!F17</f>
        <v>1.0833841548808889</v>
      </c>
      <c r="K583" s="520">
        <f>B583*J583</f>
        <v>7382610.157387685</v>
      </c>
      <c r="L583" s="473" t="s">
        <v>76</v>
      </c>
      <c r="M583" s="111"/>
      <c r="N583" s="111"/>
      <c r="O583" s="543"/>
      <c r="P583" s="344"/>
    </row>
    <row r="584" spans="1:21" s="345" customFormat="1" ht="30" customHeight="1" thickBot="1" x14ac:dyDescent="0.3">
      <c r="A584" s="1346"/>
      <c r="B584" s="1347"/>
      <c r="C584" s="1347"/>
      <c r="D584" s="1347"/>
      <c r="E584" s="1347"/>
      <c r="F584" s="1347"/>
      <c r="G584" s="1347"/>
      <c r="H584" s="1347"/>
      <c r="I584" s="1347"/>
      <c r="J584" s="1347"/>
      <c r="K584" s="1347"/>
      <c r="L584" s="1348"/>
      <c r="M584" s="54"/>
      <c r="N584" s="54"/>
      <c r="O584" s="543"/>
      <c r="P584" s="344"/>
    </row>
    <row r="585" spans="1:21" s="345" customFormat="1" ht="30" customHeight="1" x14ac:dyDescent="0.25">
      <c r="A585" s="672" t="s">
        <v>5</v>
      </c>
      <c r="B585" s="673">
        <v>1452</v>
      </c>
      <c r="C585" s="1247" t="s">
        <v>469</v>
      </c>
      <c r="D585" s="1247"/>
      <c r="E585" s="674" t="s">
        <v>466</v>
      </c>
      <c r="F585" s="675" t="s">
        <v>205</v>
      </c>
      <c r="G585" s="353" t="s">
        <v>74</v>
      </c>
      <c r="H585" s="676">
        <v>3812</v>
      </c>
      <c r="I585" s="331" t="s">
        <v>10</v>
      </c>
      <c r="J585" s="1350" t="s">
        <v>470</v>
      </c>
      <c r="K585" s="1350"/>
      <c r="L585" s="1351"/>
      <c r="M585" s="112"/>
      <c r="N585" s="112"/>
      <c r="O585" s="543"/>
      <c r="P585" s="344"/>
    </row>
    <row r="586" spans="1:21" s="345" customFormat="1" ht="30" customHeight="1" x14ac:dyDescent="0.25">
      <c r="A586" s="356"/>
      <c r="B586" s="1249" t="s">
        <v>468</v>
      </c>
      <c r="C586" s="1249"/>
      <c r="D586" s="1249"/>
      <c r="E586" s="356" t="s">
        <v>116</v>
      </c>
      <c r="F586" s="356" t="s">
        <v>117</v>
      </c>
      <c r="G586" s="1194" t="s">
        <v>118</v>
      </c>
      <c r="H586" s="1195"/>
      <c r="I586" s="356" t="s">
        <v>119</v>
      </c>
      <c r="J586" s="356" t="s">
        <v>120</v>
      </c>
      <c r="K586" s="1236" t="s">
        <v>72</v>
      </c>
      <c r="L586" s="1237"/>
      <c r="M586" s="54"/>
      <c r="N586" s="54"/>
      <c r="O586" s="543"/>
      <c r="P586" s="344"/>
    </row>
    <row r="587" spans="1:21" s="345" customFormat="1" ht="30" customHeight="1" thickBot="1" x14ac:dyDescent="0.3">
      <c r="A587" s="360"/>
      <c r="B587" s="1248">
        <v>550.33000000000004</v>
      </c>
      <c r="C587" s="1248"/>
      <c r="D587" s="1248"/>
      <c r="E587" s="485"/>
      <c r="F587" s="486"/>
      <c r="G587" s="1183"/>
      <c r="H587" s="1184"/>
      <c r="I587" s="486"/>
      <c r="J587" s="487">
        <f>+'2022 MILCON Inflation Table'!F17</f>
        <v>1.0833841548808889</v>
      </c>
      <c r="K587" s="488">
        <f>B587*J587</f>
        <v>596.21880195559959</v>
      </c>
      <c r="L587" s="486" t="s">
        <v>205</v>
      </c>
      <c r="M587" s="54"/>
      <c r="N587" s="54"/>
      <c r="O587" s="543"/>
      <c r="P587" s="344"/>
    </row>
    <row r="588" spans="1:21" s="345" customFormat="1" ht="30" customHeight="1" thickBot="1" x14ac:dyDescent="0.3">
      <c r="A588" s="1346"/>
      <c r="B588" s="1347"/>
      <c r="C588" s="1347"/>
      <c r="D588" s="1347"/>
      <c r="E588" s="1347"/>
      <c r="F588" s="1347"/>
      <c r="G588" s="1347"/>
      <c r="H588" s="1347"/>
      <c r="I588" s="1347"/>
      <c r="J588" s="1347"/>
      <c r="K588" s="1347"/>
      <c r="L588" s="1348"/>
      <c r="M588" s="54"/>
      <c r="N588" s="54"/>
      <c r="O588" s="543"/>
      <c r="P588" s="344"/>
    </row>
    <row r="589" spans="1:21" s="345" customFormat="1" ht="30" customHeight="1" x14ac:dyDescent="0.25">
      <c r="A589" s="672" t="s">
        <v>5</v>
      </c>
      <c r="B589" s="673">
        <v>1453</v>
      </c>
      <c r="C589" s="1247" t="s">
        <v>471</v>
      </c>
      <c r="D589" s="1247"/>
      <c r="E589" s="674" t="s">
        <v>466</v>
      </c>
      <c r="F589" s="675" t="s">
        <v>76</v>
      </c>
      <c r="G589" s="353" t="s">
        <v>74</v>
      </c>
      <c r="H589" s="676">
        <v>1</v>
      </c>
      <c r="I589" s="331" t="s">
        <v>10</v>
      </c>
      <c r="J589" s="1350" t="s">
        <v>472</v>
      </c>
      <c r="K589" s="1350"/>
      <c r="L589" s="1351"/>
      <c r="M589" s="112"/>
      <c r="N589" s="112"/>
      <c r="O589" s="543"/>
      <c r="P589" s="344"/>
    </row>
    <row r="590" spans="1:21" s="345" customFormat="1" ht="30" customHeight="1" x14ac:dyDescent="0.25">
      <c r="A590" s="356"/>
      <c r="B590" s="1249" t="s">
        <v>468</v>
      </c>
      <c r="C590" s="1249"/>
      <c r="D590" s="1249"/>
      <c r="E590" s="356" t="s">
        <v>116</v>
      </c>
      <c r="F590" s="356" t="s">
        <v>117</v>
      </c>
      <c r="G590" s="1194" t="s">
        <v>118</v>
      </c>
      <c r="H590" s="1195"/>
      <c r="I590" s="356" t="s">
        <v>119</v>
      </c>
      <c r="J590" s="356" t="s">
        <v>120</v>
      </c>
      <c r="K590" s="1236" t="s">
        <v>72</v>
      </c>
      <c r="L590" s="1237"/>
      <c r="M590" s="54"/>
      <c r="N590" s="54"/>
      <c r="O590" s="543"/>
      <c r="P590" s="344"/>
    </row>
    <row r="591" spans="1:21" s="345" customFormat="1" ht="30" customHeight="1" thickBot="1" x14ac:dyDescent="0.3">
      <c r="A591" s="360"/>
      <c r="B591" s="1248">
        <v>123767.93</v>
      </c>
      <c r="C591" s="1248"/>
      <c r="D591" s="1248"/>
      <c r="E591" s="485"/>
      <c r="F591" s="486"/>
      <c r="G591" s="1183"/>
      <c r="H591" s="1184"/>
      <c r="I591" s="486"/>
      <c r="J591" s="487">
        <f>+'2022 MILCON Inflation Table'!F17</f>
        <v>1.0833841548808889</v>
      </c>
      <c r="K591" s="488">
        <f>B591*J591</f>
        <v>134088.21424440702</v>
      </c>
      <c r="L591" s="486" t="s">
        <v>76</v>
      </c>
      <c r="M591" s="54"/>
      <c r="N591" s="54"/>
      <c r="P591" s="344"/>
    </row>
    <row r="592" spans="1:21" s="345" customFormat="1" ht="30" customHeight="1" thickBot="1" x14ac:dyDescent="0.3">
      <c r="A592" s="1346"/>
      <c r="B592" s="1347"/>
      <c r="C592" s="1347"/>
      <c r="D592" s="1347"/>
      <c r="E592" s="1347"/>
      <c r="F592" s="1347"/>
      <c r="G592" s="1347"/>
      <c r="H592" s="1347"/>
      <c r="I592" s="1347"/>
      <c r="J592" s="1347"/>
      <c r="K592" s="1347"/>
      <c r="L592" s="1348"/>
      <c r="M592" s="54"/>
      <c r="N592" s="110"/>
      <c r="P592" s="344"/>
      <c r="Q592" s="677"/>
    </row>
    <row r="593" spans="1:21" s="345" customFormat="1" ht="30" customHeight="1" x14ac:dyDescent="0.25">
      <c r="A593" s="678" t="s">
        <v>5</v>
      </c>
      <c r="B593" s="673">
        <v>1454</v>
      </c>
      <c r="C593" s="1247" t="s">
        <v>473</v>
      </c>
      <c r="D593" s="1247"/>
      <c r="E593" s="674" t="s">
        <v>466</v>
      </c>
      <c r="F593" s="675" t="s">
        <v>40</v>
      </c>
      <c r="G593" s="353" t="s">
        <v>74</v>
      </c>
      <c r="H593" s="679">
        <v>259</v>
      </c>
      <c r="I593" s="331" t="s">
        <v>10</v>
      </c>
      <c r="J593" s="1350" t="s">
        <v>474</v>
      </c>
      <c r="K593" s="1350"/>
      <c r="L593" s="1351"/>
      <c r="M593" s="112"/>
      <c r="N593" s="112"/>
      <c r="O593" s="543"/>
      <c r="P593" s="344"/>
    </row>
    <row r="594" spans="1:21" s="345" customFormat="1" ht="30" customHeight="1" x14ac:dyDescent="0.25">
      <c r="A594" s="356"/>
      <c r="B594" s="1249" t="s">
        <v>468</v>
      </c>
      <c r="C594" s="1249"/>
      <c r="D594" s="1249"/>
      <c r="E594" s="356" t="s">
        <v>116</v>
      </c>
      <c r="F594" s="356" t="s">
        <v>117</v>
      </c>
      <c r="G594" s="1194" t="s">
        <v>118</v>
      </c>
      <c r="H594" s="1195"/>
      <c r="I594" s="356" t="s">
        <v>119</v>
      </c>
      <c r="J594" s="356" t="s">
        <v>120</v>
      </c>
      <c r="K594" s="1236" t="s">
        <v>72</v>
      </c>
      <c r="L594" s="1237"/>
      <c r="M594" s="54"/>
      <c r="N594" s="54"/>
      <c r="O594" s="543"/>
      <c r="P594" s="344"/>
    </row>
    <row r="595" spans="1:21" s="345" customFormat="1" ht="30" customHeight="1" thickBot="1" x14ac:dyDescent="0.3">
      <c r="A595" s="360"/>
      <c r="B595" s="1248">
        <v>1028.49</v>
      </c>
      <c r="C595" s="1248"/>
      <c r="D595" s="1248"/>
      <c r="E595" s="485"/>
      <c r="F595" s="486"/>
      <c r="G595" s="1183"/>
      <c r="H595" s="1184"/>
      <c r="I595" s="486"/>
      <c r="J595" s="487">
        <f>+'2022 MILCON Inflation Table'!F17</f>
        <v>1.0833841548808889</v>
      </c>
      <c r="K595" s="488">
        <f>B595*J595</f>
        <v>1114.2497694534454</v>
      </c>
      <c r="L595" s="486" t="s">
        <v>40</v>
      </c>
      <c r="M595" s="111"/>
      <c r="N595" s="54"/>
      <c r="O595" s="543"/>
      <c r="P595" s="344"/>
    </row>
    <row r="596" spans="1:21" s="345" customFormat="1" ht="30" customHeight="1" thickBot="1" x14ac:dyDescent="0.3">
      <c r="A596" s="1346"/>
      <c r="B596" s="1347"/>
      <c r="C596" s="1347"/>
      <c r="D596" s="1347"/>
      <c r="E596" s="1347"/>
      <c r="F596" s="1347"/>
      <c r="G596" s="1347"/>
      <c r="H596" s="1347"/>
      <c r="I596" s="1347"/>
      <c r="J596" s="1347"/>
      <c r="K596" s="1347"/>
      <c r="L596" s="1348"/>
      <c r="M596" s="54"/>
      <c r="N596" s="54"/>
      <c r="O596" s="543"/>
      <c r="P596" s="344"/>
    </row>
    <row r="597" spans="1:21" ht="30" customHeight="1" x14ac:dyDescent="0.25">
      <c r="A597" s="680" t="s">
        <v>5</v>
      </c>
      <c r="B597" s="681">
        <v>1456</v>
      </c>
      <c r="C597" s="1244" t="s">
        <v>475</v>
      </c>
      <c r="D597" s="1244"/>
      <c r="E597" s="682" t="s">
        <v>466</v>
      </c>
      <c r="F597" s="683" t="s">
        <v>76</v>
      </c>
      <c r="G597" s="684" t="s">
        <v>74</v>
      </c>
      <c r="H597" s="679">
        <v>1</v>
      </c>
      <c r="I597" s="331" t="s">
        <v>10</v>
      </c>
      <c r="J597" s="1274" t="s">
        <v>476</v>
      </c>
      <c r="K597" s="1274"/>
      <c r="L597" s="1275"/>
      <c r="M597" s="111"/>
      <c r="N597" s="112"/>
      <c r="O597" s="11"/>
    </row>
    <row r="598" spans="1:21" ht="30" customHeight="1" x14ac:dyDescent="0.25">
      <c r="A598" s="356"/>
      <c r="B598" s="1249" t="s">
        <v>468</v>
      </c>
      <c r="C598" s="1249"/>
      <c r="D598" s="1249"/>
      <c r="E598" s="356" t="s">
        <v>116</v>
      </c>
      <c r="F598" s="356" t="s">
        <v>117</v>
      </c>
      <c r="G598" s="1194" t="s">
        <v>118</v>
      </c>
      <c r="H598" s="1195"/>
      <c r="I598" s="356" t="s">
        <v>119</v>
      </c>
      <c r="J598" s="356" t="s">
        <v>120</v>
      </c>
      <c r="K598" s="1236" t="s">
        <v>72</v>
      </c>
      <c r="L598" s="1237"/>
      <c r="M598" s="111"/>
      <c r="N598" s="54"/>
    </row>
    <row r="599" spans="1:21" ht="30" customHeight="1" thickBot="1" x14ac:dyDescent="0.3">
      <c r="A599" s="360"/>
      <c r="B599" s="1248">
        <v>901362.74</v>
      </c>
      <c r="C599" s="1248"/>
      <c r="D599" s="1248"/>
      <c r="E599" s="485"/>
      <c r="F599" s="486"/>
      <c r="G599" s="1183"/>
      <c r="H599" s="1184"/>
      <c r="I599" s="486"/>
      <c r="J599" s="487">
        <f>+'2022 MILCON Inflation Table'!F17</f>
        <v>1.0833841548808889</v>
      </c>
      <c r="K599" s="488">
        <f>B599*J599</f>
        <v>976522.11031602242</v>
      </c>
      <c r="L599" s="486" t="s">
        <v>76</v>
      </c>
      <c r="M599" s="54"/>
      <c r="N599" s="54"/>
      <c r="T599" s="10"/>
      <c r="U599" s="10"/>
    </row>
    <row r="600" spans="1:21" ht="30" customHeight="1" thickBot="1" x14ac:dyDescent="0.3">
      <c r="A600" s="1241"/>
      <c r="B600" s="1242"/>
      <c r="C600" s="1242"/>
      <c r="D600" s="1242"/>
      <c r="E600" s="1242"/>
      <c r="F600" s="1242"/>
      <c r="G600" s="1242"/>
      <c r="H600" s="1242"/>
      <c r="I600" s="1242"/>
      <c r="J600" s="1242"/>
      <c r="K600" s="1242"/>
      <c r="L600" s="1243"/>
      <c r="M600" s="112"/>
      <c r="N600" s="54"/>
      <c r="T600" s="60"/>
      <c r="U600" s="60"/>
    </row>
    <row r="601" spans="1:21" ht="30" customHeight="1" x14ac:dyDescent="0.25">
      <c r="A601" s="680" t="s">
        <v>331</v>
      </c>
      <c r="B601" s="681">
        <v>1457</v>
      </c>
      <c r="C601" s="1244" t="s">
        <v>477</v>
      </c>
      <c r="D601" s="1244"/>
      <c r="E601" s="682" t="s">
        <v>466</v>
      </c>
      <c r="F601" s="683" t="s">
        <v>205</v>
      </c>
      <c r="G601" s="684" t="s">
        <v>74</v>
      </c>
      <c r="H601" s="679">
        <v>4857</v>
      </c>
      <c r="I601" s="331" t="s">
        <v>10</v>
      </c>
      <c r="J601" s="1641" t="s">
        <v>3393</v>
      </c>
      <c r="K601" s="1642"/>
      <c r="L601" s="1643"/>
      <c r="M601" s="112"/>
      <c r="N601" s="111"/>
      <c r="O601" s="336"/>
      <c r="P601" s="334"/>
      <c r="Q601" s="335"/>
      <c r="R601" s="336"/>
      <c r="S601" s="337"/>
    </row>
    <row r="602" spans="1:21" ht="30" customHeight="1" x14ac:dyDescent="0.25">
      <c r="A602" s="356"/>
      <c r="B602" s="1249" t="s">
        <v>468</v>
      </c>
      <c r="C602" s="1249"/>
      <c r="D602" s="1249"/>
      <c r="E602" s="356" t="s">
        <v>116</v>
      </c>
      <c r="F602" s="356" t="s">
        <v>117</v>
      </c>
      <c r="G602" s="1194" t="s">
        <v>118</v>
      </c>
      <c r="H602" s="1195"/>
      <c r="I602" s="356" t="s">
        <v>119</v>
      </c>
      <c r="J602" s="356" t="s">
        <v>120</v>
      </c>
      <c r="K602" s="1236" t="s">
        <v>72</v>
      </c>
      <c r="L602" s="1237"/>
      <c r="M602" s="54"/>
      <c r="N602" s="54"/>
      <c r="T602" s="10"/>
      <c r="U602" s="10"/>
    </row>
    <row r="603" spans="1:21" ht="30" customHeight="1" thickBot="1" x14ac:dyDescent="0.3">
      <c r="A603" s="360"/>
      <c r="B603" s="1248">
        <v>550.33000000000004</v>
      </c>
      <c r="C603" s="1248"/>
      <c r="D603" s="1248"/>
      <c r="E603" s="485"/>
      <c r="F603" s="486"/>
      <c r="G603" s="1183"/>
      <c r="H603" s="1184"/>
      <c r="I603" s="486"/>
      <c r="J603" s="487">
        <f>+'2022 MILCON Inflation Table'!F17</f>
        <v>1.0833841548808889</v>
      </c>
      <c r="K603" s="488">
        <f>B603*J603</f>
        <v>596.21880195559959</v>
      </c>
      <c r="L603" s="486" t="s">
        <v>205</v>
      </c>
      <c r="M603" s="54"/>
      <c r="N603" s="54"/>
    </row>
    <row r="604" spans="1:21" ht="30" customHeight="1" thickBot="1" x14ac:dyDescent="0.3">
      <c r="A604" s="1180"/>
      <c r="B604" s="1181"/>
      <c r="C604" s="1181"/>
      <c r="D604" s="1181"/>
      <c r="E604" s="1181"/>
      <c r="F604" s="1181"/>
      <c r="G604" s="1181"/>
      <c r="H604" s="1181"/>
      <c r="I604" s="1181"/>
      <c r="J604" s="1181"/>
      <c r="K604" s="1181"/>
      <c r="L604" s="1182"/>
      <c r="M604" s="112"/>
      <c r="N604" s="111"/>
      <c r="T604" s="10"/>
      <c r="U604" s="10"/>
    </row>
    <row r="605" spans="1:21" ht="30" customHeight="1" x14ac:dyDescent="0.25">
      <c r="A605" s="327" t="s">
        <v>5</v>
      </c>
      <c r="B605" s="328">
        <v>1458</v>
      </c>
      <c r="C605" s="1218" t="s">
        <v>478</v>
      </c>
      <c r="D605" s="1219"/>
      <c r="E605" s="331" t="s">
        <v>8</v>
      </c>
      <c r="F605" s="332" t="s">
        <v>76</v>
      </c>
      <c r="G605" s="338" t="s">
        <v>7</v>
      </c>
      <c r="H605" s="160">
        <v>1</v>
      </c>
      <c r="I605" s="331" t="s">
        <v>10</v>
      </c>
      <c r="J605" s="1220" t="s">
        <v>479</v>
      </c>
      <c r="K605" s="1220"/>
      <c r="L605" s="1221"/>
      <c r="M605" s="111"/>
      <c r="N605" s="54"/>
      <c r="T605" s="60"/>
      <c r="U605" s="60"/>
    </row>
    <row r="606" spans="1:21" ht="30" customHeight="1" x14ac:dyDescent="0.25">
      <c r="A606" s="356" t="s">
        <v>282</v>
      </c>
      <c r="B606" s="1163" t="s">
        <v>13</v>
      </c>
      <c r="C606" s="1163"/>
      <c r="D606" s="1163"/>
      <c r="E606" s="357" t="s">
        <v>283</v>
      </c>
      <c r="F606" s="546" t="s">
        <v>116</v>
      </c>
      <c r="G606" s="356"/>
      <c r="H606" s="356"/>
      <c r="I606" s="1276" t="s">
        <v>284</v>
      </c>
      <c r="J606" s="1277"/>
      <c r="K606" s="1236" t="s">
        <v>285</v>
      </c>
      <c r="L606" s="1237"/>
      <c r="M606" s="54"/>
      <c r="N606" s="154"/>
      <c r="O606" s="61"/>
      <c r="T606" s="10"/>
      <c r="U606" s="10"/>
    </row>
    <row r="607" spans="1:21" ht="30" customHeight="1" x14ac:dyDescent="0.25">
      <c r="A607" s="365">
        <v>88040</v>
      </c>
      <c r="B607" s="1228" t="s">
        <v>480</v>
      </c>
      <c r="C607" s="1228"/>
      <c r="D607" s="1228"/>
      <c r="E607" s="685">
        <v>1</v>
      </c>
      <c r="F607" s="255">
        <v>152190</v>
      </c>
      <c r="G607" s="644"/>
      <c r="H607" s="645"/>
      <c r="I607" s="1183">
        <f>+'2022 MILCON Inflation Table'!F21</f>
        <v>0.94047825952836139</v>
      </c>
      <c r="J607" s="1184"/>
      <c r="K607" s="253">
        <f t="shared" ref="K607:K614" si="1">+F607*I607</f>
        <v>143131.38631762133</v>
      </c>
      <c r="L607" s="365" t="s">
        <v>76</v>
      </c>
      <c r="M607" s="110"/>
      <c r="N607" s="111"/>
      <c r="O607" s="554"/>
      <c r="T607" s="10"/>
      <c r="U607" s="10"/>
    </row>
    <row r="608" spans="1:21" ht="30" customHeight="1" x14ac:dyDescent="0.25">
      <c r="A608" s="365">
        <v>88040</v>
      </c>
      <c r="B608" s="1228" t="s">
        <v>481</v>
      </c>
      <c r="C608" s="1228"/>
      <c r="D608" s="1228"/>
      <c r="E608" s="685">
        <v>1</v>
      </c>
      <c r="F608" s="255">
        <v>278070</v>
      </c>
      <c r="G608" s="644"/>
      <c r="H608" s="645"/>
      <c r="I608" s="1183">
        <f>+I607</f>
        <v>0.94047825952836139</v>
      </c>
      <c r="J608" s="1184"/>
      <c r="K608" s="253">
        <f t="shared" si="1"/>
        <v>261518.78962705145</v>
      </c>
      <c r="L608" s="365" t="s">
        <v>76</v>
      </c>
      <c r="M608" s="112"/>
      <c r="N608" s="54"/>
      <c r="O608" s="554"/>
    </row>
    <row r="609" spans="1:21" ht="30" customHeight="1" x14ac:dyDescent="0.25">
      <c r="A609" s="365">
        <v>88040</v>
      </c>
      <c r="B609" s="1228" t="s">
        <v>482</v>
      </c>
      <c r="C609" s="1228"/>
      <c r="D609" s="1228"/>
      <c r="E609" s="685">
        <v>1</v>
      </c>
      <c r="F609" s="255">
        <v>278070</v>
      </c>
      <c r="G609" s="644"/>
      <c r="H609" s="645"/>
      <c r="I609" s="1183">
        <f t="shared" ref="I609:I614" si="2">+I608</f>
        <v>0.94047825952836139</v>
      </c>
      <c r="J609" s="1184"/>
      <c r="K609" s="253">
        <f t="shared" si="1"/>
        <v>261518.78962705145</v>
      </c>
      <c r="L609" s="365" t="s">
        <v>76</v>
      </c>
      <c r="M609" s="54"/>
      <c r="N609" s="54"/>
      <c r="O609" s="554"/>
    </row>
    <row r="610" spans="1:21" ht="30" customHeight="1" x14ac:dyDescent="0.5">
      <c r="A610" s="365">
        <v>88040</v>
      </c>
      <c r="B610" s="1523" t="s">
        <v>483</v>
      </c>
      <c r="C610" s="1523"/>
      <c r="D610" s="1523"/>
      <c r="E610" s="685">
        <v>1</v>
      </c>
      <c r="F610" s="255">
        <v>54790</v>
      </c>
      <c r="G610" s="644"/>
      <c r="H610" s="645"/>
      <c r="I610" s="1183">
        <f t="shared" si="2"/>
        <v>0.94047825952836139</v>
      </c>
      <c r="J610" s="1184"/>
      <c r="K610" s="253">
        <f t="shared" si="1"/>
        <v>51528.803839558917</v>
      </c>
      <c r="L610" s="365" t="s">
        <v>76</v>
      </c>
      <c r="M610" s="54"/>
      <c r="N610" s="54"/>
      <c r="O610" s="554"/>
      <c r="P610" s="686"/>
      <c r="T610" s="10"/>
      <c r="U610" s="10"/>
    </row>
    <row r="611" spans="1:21" ht="30" customHeight="1" x14ac:dyDescent="0.25">
      <c r="A611" s="365">
        <v>88040</v>
      </c>
      <c r="B611" s="1228" t="s">
        <v>484</v>
      </c>
      <c r="C611" s="1228"/>
      <c r="D611" s="1228"/>
      <c r="E611" s="685">
        <v>1</v>
      </c>
      <c r="F611" s="255">
        <v>62640</v>
      </c>
      <c r="G611" s="644"/>
      <c r="H611" s="645"/>
      <c r="I611" s="1183">
        <f t="shared" si="2"/>
        <v>0.94047825952836139</v>
      </c>
      <c r="J611" s="1184"/>
      <c r="K611" s="253">
        <f t="shared" si="1"/>
        <v>58911.558176856561</v>
      </c>
      <c r="L611" s="365" t="s">
        <v>76</v>
      </c>
      <c r="M611" s="54"/>
      <c r="N611" s="54"/>
      <c r="T611" s="60"/>
      <c r="U611" s="60"/>
    </row>
    <row r="612" spans="1:21" ht="30" customHeight="1" x14ac:dyDescent="0.25">
      <c r="A612" s="365">
        <v>88040</v>
      </c>
      <c r="B612" s="1228" t="s">
        <v>485</v>
      </c>
      <c r="C612" s="1228"/>
      <c r="D612" s="1228"/>
      <c r="E612" s="685">
        <v>1</v>
      </c>
      <c r="F612" s="255">
        <v>66730</v>
      </c>
      <c r="G612" s="644"/>
      <c r="H612" s="645"/>
      <c r="I612" s="1183">
        <f t="shared" si="2"/>
        <v>0.94047825952836139</v>
      </c>
      <c r="J612" s="1184"/>
      <c r="K612" s="253">
        <f t="shared" si="1"/>
        <v>62758.114258327558</v>
      </c>
      <c r="L612" s="365" t="s">
        <v>76</v>
      </c>
      <c r="M612" s="112"/>
      <c r="N612" s="54"/>
      <c r="T612" s="60"/>
      <c r="U612" s="60"/>
    </row>
    <row r="613" spans="1:21" ht="30" customHeight="1" x14ac:dyDescent="0.25">
      <c r="A613" s="365">
        <v>88040</v>
      </c>
      <c r="B613" s="1228" t="s">
        <v>486</v>
      </c>
      <c r="C613" s="1228"/>
      <c r="D613" s="1228"/>
      <c r="E613" s="685">
        <v>1</v>
      </c>
      <c r="F613" s="255">
        <v>74330</v>
      </c>
      <c r="G613" s="644"/>
      <c r="H613" s="645"/>
      <c r="I613" s="1183">
        <f t="shared" si="2"/>
        <v>0.94047825952836139</v>
      </c>
      <c r="J613" s="1184"/>
      <c r="K613" s="253">
        <f t="shared" si="1"/>
        <v>69905.7490307431</v>
      </c>
      <c r="L613" s="365" t="s">
        <v>76</v>
      </c>
      <c r="M613" s="54"/>
      <c r="N613" s="54"/>
      <c r="O613" s="336"/>
      <c r="P613" s="334"/>
      <c r="Q613" s="335"/>
      <c r="R613" s="336"/>
      <c r="S613" s="337"/>
    </row>
    <row r="614" spans="1:21" ht="30" customHeight="1" x14ac:dyDescent="0.25">
      <c r="A614" s="365">
        <v>88040</v>
      </c>
      <c r="B614" s="1281" t="s">
        <v>487</v>
      </c>
      <c r="C614" s="1281"/>
      <c r="D614" s="1281"/>
      <c r="E614" s="685">
        <v>1</v>
      </c>
      <c r="F614" s="255">
        <v>58430</v>
      </c>
      <c r="G614" s="644"/>
      <c r="H614" s="645"/>
      <c r="I614" s="1183">
        <f t="shared" si="2"/>
        <v>0.94047825952836139</v>
      </c>
      <c r="J614" s="1184"/>
      <c r="K614" s="253">
        <f t="shared" si="1"/>
        <v>54952.144704242157</v>
      </c>
      <c r="L614" s="365" t="s">
        <v>76</v>
      </c>
      <c r="M614" s="54"/>
      <c r="N614" s="54"/>
      <c r="O614" s="336"/>
      <c r="P614" s="334"/>
      <c r="Q614" s="335"/>
      <c r="R614" s="336"/>
      <c r="S614" s="337"/>
    </row>
    <row r="615" spans="1:21" ht="30" customHeight="1" thickBot="1" x14ac:dyDescent="0.3">
      <c r="A615" s="365"/>
      <c r="B615" s="1281"/>
      <c r="C615" s="1281"/>
      <c r="D615" s="1281"/>
      <c r="E615" s="646"/>
      <c r="F615" s="647"/>
      <c r="G615" s="647"/>
      <c r="H615" s="648" t="s">
        <v>300</v>
      </c>
      <c r="I615" s="366"/>
      <c r="J615" s="398" t="s">
        <v>72</v>
      </c>
      <c r="K615" s="253">
        <f>AVERAGE(K607:K614)</f>
        <v>120528.16694768157</v>
      </c>
      <c r="L615" s="365" t="s">
        <v>76</v>
      </c>
      <c r="M615" s="54"/>
      <c r="N615" s="54"/>
      <c r="O615" s="336"/>
      <c r="P615" s="334"/>
      <c r="Q615" s="335"/>
      <c r="R615" s="336"/>
      <c r="S615" s="337"/>
    </row>
    <row r="616" spans="1:21" ht="30" customHeight="1" thickBot="1" x14ac:dyDescent="0.3">
      <c r="A616" s="1180"/>
      <c r="B616" s="1181"/>
      <c r="C616" s="1181"/>
      <c r="D616" s="1181"/>
      <c r="E616" s="1181"/>
      <c r="F616" s="1181"/>
      <c r="G616" s="1181"/>
      <c r="H616" s="1181"/>
      <c r="I616" s="1181"/>
      <c r="J616" s="1181"/>
      <c r="K616" s="1181"/>
      <c r="L616" s="1182"/>
      <c r="M616" s="111"/>
      <c r="N616" s="54"/>
      <c r="O616" s="336"/>
      <c r="P616" s="334"/>
      <c r="Q616" s="335"/>
      <c r="R616" s="336"/>
      <c r="S616" s="337"/>
    </row>
    <row r="617" spans="1:21" ht="30" customHeight="1" x14ac:dyDescent="0.25">
      <c r="A617" s="327" t="s">
        <v>5</v>
      </c>
      <c r="B617" s="328">
        <v>1459</v>
      </c>
      <c r="C617" s="1218" t="s">
        <v>488</v>
      </c>
      <c r="D617" s="1219"/>
      <c r="E617" s="331" t="s">
        <v>8</v>
      </c>
      <c r="F617" s="332" t="s">
        <v>205</v>
      </c>
      <c r="G617" s="342" t="s">
        <v>74</v>
      </c>
      <c r="H617" s="156">
        <v>2186</v>
      </c>
      <c r="I617" s="331" t="s">
        <v>10</v>
      </c>
      <c r="J617" s="1220" t="s">
        <v>382</v>
      </c>
      <c r="K617" s="1220"/>
      <c r="L617" s="1221"/>
      <c r="M617" s="111"/>
      <c r="N617" s="54"/>
      <c r="O617" s="336"/>
      <c r="P617" s="334"/>
      <c r="Q617" s="335"/>
      <c r="R617" s="336"/>
      <c r="S617" s="337"/>
    </row>
    <row r="618" spans="1:21" ht="30" customHeight="1" x14ac:dyDescent="0.25">
      <c r="A618" s="356" t="s">
        <v>282</v>
      </c>
      <c r="B618" s="1163" t="s">
        <v>13</v>
      </c>
      <c r="C618" s="1163"/>
      <c r="D618" s="1163"/>
      <c r="E618" s="357" t="s">
        <v>283</v>
      </c>
      <c r="F618" s="546" t="s">
        <v>116</v>
      </c>
      <c r="G618" s="356"/>
      <c r="H618" s="356"/>
      <c r="I618" s="1276" t="s">
        <v>284</v>
      </c>
      <c r="J618" s="1277"/>
      <c r="K618" s="1236" t="s">
        <v>285</v>
      </c>
      <c r="L618" s="1237"/>
      <c r="M618" s="54"/>
      <c r="N618" s="54"/>
      <c r="O618" s="336"/>
      <c r="P618" s="334"/>
      <c r="Q618" s="335"/>
      <c r="R618" s="336"/>
      <c r="S618" s="337"/>
    </row>
    <row r="619" spans="1:21" ht="30" customHeight="1" x14ac:dyDescent="0.25">
      <c r="A619" s="365">
        <v>14179</v>
      </c>
      <c r="B619" s="1214" t="s">
        <v>489</v>
      </c>
      <c r="C619" s="1215"/>
      <c r="D619" s="1216"/>
      <c r="E619" s="641">
        <v>1100</v>
      </c>
      <c r="F619" s="252">
        <v>357</v>
      </c>
      <c r="G619" s="687"/>
      <c r="H619" s="688"/>
      <c r="I619" s="1183">
        <f>+'2022 MILCON Inflation Table'!F21</f>
        <v>0.94047825952836139</v>
      </c>
      <c r="J619" s="1184"/>
      <c r="K619" s="253">
        <f>+F619*I619</f>
        <v>335.750738651625</v>
      </c>
      <c r="L619" s="365" t="s">
        <v>205</v>
      </c>
      <c r="M619" s="111"/>
      <c r="N619" s="54"/>
      <c r="O619" s="336"/>
      <c r="P619" s="334"/>
      <c r="Q619" s="335"/>
      <c r="R619" s="336"/>
      <c r="S619" s="337"/>
    </row>
    <row r="620" spans="1:21" ht="30" customHeight="1" thickBot="1" x14ac:dyDescent="0.3">
      <c r="A620" s="365"/>
      <c r="B620" s="1281"/>
      <c r="C620" s="1281"/>
      <c r="D620" s="1281"/>
      <c r="E620" s="646"/>
      <c r="F620" s="647"/>
      <c r="G620" s="647"/>
      <c r="H620" s="648"/>
      <c r="I620" s="366"/>
      <c r="J620" s="359" t="s">
        <v>72</v>
      </c>
      <c r="K620" s="243">
        <f>+K619</f>
        <v>335.750738651625</v>
      </c>
      <c r="L620" s="365" t="s">
        <v>205</v>
      </c>
      <c r="M620" s="54"/>
      <c r="N620" s="54"/>
      <c r="O620" s="336"/>
      <c r="P620" s="334"/>
      <c r="Q620" s="335"/>
      <c r="R620" s="336"/>
      <c r="S620" s="337"/>
    </row>
    <row r="621" spans="1:21" ht="30" customHeight="1" thickBot="1" x14ac:dyDescent="0.3">
      <c r="A621" s="1180"/>
      <c r="B621" s="1181"/>
      <c r="C621" s="1181"/>
      <c r="D621" s="1181"/>
      <c r="E621" s="1181"/>
      <c r="F621" s="1181"/>
      <c r="G621" s="1181"/>
      <c r="H621" s="1181"/>
      <c r="I621" s="1181"/>
      <c r="J621" s="1181"/>
      <c r="K621" s="1181"/>
      <c r="L621" s="1182"/>
      <c r="M621" s="54"/>
      <c r="N621" s="54"/>
      <c r="P621" s="334"/>
    </row>
    <row r="622" spans="1:21" ht="30" customHeight="1" x14ac:dyDescent="0.25">
      <c r="A622" s="327" t="s">
        <v>5</v>
      </c>
      <c r="B622" s="328">
        <v>1461</v>
      </c>
      <c r="C622" s="1251" t="s">
        <v>490</v>
      </c>
      <c r="D622" s="1252"/>
      <c r="E622" s="331" t="s">
        <v>8</v>
      </c>
      <c r="F622" s="332" t="s">
        <v>76</v>
      </c>
      <c r="G622" s="333" t="s">
        <v>7</v>
      </c>
      <c r="H622" s="156">
        <v>4</v>
      </c>
      <c r="I622" s="331" t="s">
        <v>10</v>
      </c>
      <c r="J622" s="1220" t="s">
        <v>1567</v>
      </c>
      <c r="K622" s="1220"/>
      <c r="L622" s="1221"/>
      <c r="M622" s="111"/>
      <c r="N622" s="54"/>
      <c r="P622" s="334"/>
    </row>
    <row r="623" spans="1:21" ht="30" customHeight="1" x14ac:dyDescent="0.25">
      <c r="A623" s="495" t="s">
        <v>12</v>
      </c>
      <c r="B623" s="1196" t="s">
        <v>13</v>
      </c>
      <c r="C623" s="1197"/>
      <c r="D623" s="1198"/>
      <c r="E623" s="490" t="s">
        <v>14</v>
      </c>
      <c r="F623" s="522" t="s">
        <v>15</v>
      </c>
      <c r="G623" s="492" t="s">
        <v>16</v>
      </c>
      <c r="H623" s="493" t="s">
        <v>17</v>
      </c>
      <c r="I623" s="493" t="s">
        <v>18</v>
      </c>
      <c r="J623" s="494" t="s">
        <v>19</v>
      </c>
      <c r="K623" s="495" t="s">
        <v>20</v>
      </c>
      <c r="L623" s="523" t="s">
        <v>75</v>
      </c>
      <c r="M623" s="54"/>
      <c r="N623" s="111"/>
      <c r="O623" s="344"/>
      <c r="P623" s="334"/>
      <c r="Q623" s="335"/>
      <c r="R623" s="336"/>
      <c r="S623" s="337"/>
    </row>
    <row r="624" spans="1:21" ht="30" customHeight="1" x14ac:dyDescent="0.25">
      <c r="A624" s="524" t="s">
        <v>3371</v>
      </c>
      <c r="B624" s="1689" t="s">
        <v>3373</v>
      </c>
      <c r="C624" s="1189"/>
      <c r="D624" s="1190"/>
      <c r="E624" s="525">
        <v>2</v>
      </c>
      <c r="F624" s="526" t="s">
        <v>76</v>
      </c>
      <c r="G624" s="526">
        <v>2321439.17</v>
      </c>
      <c r="H624" s="526">
        <v>35029.949999999997</v>
      </c>
      <c r="I624" s="526">
        <v>11597.46</v>
      </c>
      <c r="J624" s="526">
        <v>1444724.73</v>
      </c>
      <c r="K624" s="1096">
        <v>2368066</v>
      </c>
      <c r="L624" s="526" t="s">
        <v>76</v>
      </c>
      <c r="M624" s="54"/>
      <c r="N624" s="111"/>
      <c r="O624" s="344"/>
      <c r="P624" s="334"/>
      <c r="Q624" s="335"/>
      <c r="R624" s="336"/>
      <c r="S624" s="337"/>
    </row>
    <row r="625" spans="1:19" ht="30" customHeight="1" x14ac:dyDescent="0.25">
      <c r="A625" s="524" t="s">
        <v>3372</v>
      </c>
      <c r="B625" s="1689" t="s">
        <v>3374</v>
      </c>
      <c r="C625" s="1189"/>
      <c r="D625" s="1190"/>
      <c r="E625" s="525">
        <v>2</v>
      </c>
      <c r="F625" s="526" t="s">
        <v>76</v>
      </c>
      <c r="G625" s="526">
        <v>2099056.2799999998</v>
      </c>
      <c r="H625" s="526">
        <v>35029.949999999997</v>
      </c>
      <c r="I625" s="526">
        <v>11597.46</v>
      </c>
      <c r="J625" s="526">
        <v>1308592.99</v>
      </c>
      <c r="K625" s="1096">
        <v>2145683</v>
      </c>
      <c r="L625" s="526" t="s">
        <v>76</v>
      </c>
      <c r="M625" s="54"/>
      <c r="N625" s="111"/>
      <c r="O625" s="344"/>
      <c r="P625" s="334"/>
      <c r="Q625" s="335"/>
      <c r="R625" s="336"/>
      <c r="S625" s="337"/>
    </row>
    <row r="626" spans="1:19" ht="30" customHeight="1" x14ac:dyDescent="0.25">
      <c r="A626" s="528"/>
      <c r="B626" s="1199"/>
      <c r="C626" s="1199"/>
      <c r="D626" s="1199"/>
      <c r="E626" s="529"/>
      <c r="F626" s="529"/>
      <c r="G626" s="529"/>
      <c r="H626" s="529"/>
      <c r="I626" s="529"/>
      <c r="J626" s="530">
        <f>SUM(J624:J625)</f>
        <v>2753317.7199999997</v>
      </c>
      <c r="K626" s="1097">
        <f>SUM(K624:K625)</f>
        <v>4513749</v>
      </c>
      <c r="L626" s="526"/>
      <c r="M626" s="111"/>
      <c r="N626" s="54"/>
      <c r="O626" s="344"/>
      <c r="P626" s="334"/>
      <c r="Q626" s="335"/>
      <c r="R626" s="336"/>
      <c r="S626" s="337"/>
    </row>
    <row r="627" spans="1:19" ht="30" customHeight="1" thickBot="1" x14ac:dyDescent="0.3">
      <c r="A627" s="532"/>
      <c r="B627" s="1200"/>
      <c r="C627" s="1200"/>
      <c r="D627" s="1200"/>
      <c r="E627" s="533"/>
      <c r="F627" s="534"/>
      <c r="G627" s="1201"/>
      <c r="H627" s="1202"/>
      <c r="I627" s="534"/>
      <c r="J627" s="535" t="s">
        <v>72</v>
      </c>
      <c r="K627" s="536">
        <f>K626/H622</f>
        <v>1128437.25</v>
      </c>
      <c r="L627" s="526" t="s">
        <v>76</v>
      </c>
      <c r="M627" s="54"/>
      <c r="N627" s="54"/>
      <c r="P627" s="334"/>
      <c r="Q627" s="335"/>
      <c r="R627" s="336"/>
      <c r="S627" s="337"/>
    </row>
    <row r="628" spans="1:19" ht="30" customHeight="1" thickBot="1" x14ac:dyDescent="0.3">
      <c r="A628" s="1180"/>
      <c r="B628" s="1181"/>
      <c r="C628" s="1181"/>
      <c r="D628" s="1181"/>
      <c r="E628" s="1181"/>
      <c r="F628" s="1181"/>
      <c r="G628" s="1181"/>
      <c r="H628" s="1181"/>
      <c r="I628" s="1181"/>
      <c r="J628" s="1181"/>
      <c r="K628" s="1181"/>
      <c r="L628" s="1182"/>
      <c r="M628" s="54"/>
      <c r="N628" s="54"/>
      <c r="O628" s="469"/>
      <c r="P628" s="334"/>
    </row>
    <row r="629" spans="1:19" ht="30" customHeight="1" x14ac:dyDescent="0.25">
      <c r="A629" s="327" t="s">
        <v>5</v>
      </c>
      <c r="B629" s="328">
        <v>1464</v>
      </c>
      <c r="C629" s="1251" t="s">
        <v>3375</v>
      </c>
      <c r="D629" s="1252"/>
      <c r="E629" s="331" t="s">
        <v>8</v>
      </c>
      <c r="F629" s="332" t="s">
        <v>76</v>
      </c>
      <c r="G629" s="333" t="s">
        <v>7</v>
      </c>
      <c r="H629" s="156">
        <v>1</v>
      </c>
      <c r="I629" s="331" t="s">
        <v>10</v>
      </c>
      <c r="J629" s="1220" t="s">
        <v>1567</v>
      </c>
      <c r="K629" s="1220"/>
      <c r="L629" s="1221"/>
      <c r="M629" s="111"/>
      <c r="N629" s="54"/>
      <c r="P629" s="334"/>
    </row>
    <row r="630" spans="1:19" ht="30" customHeight="1" x14ac:dyDescent="0.25">
      <c r="A630" s="495" t="s">
        <v>12</v>
      </c>
      <c r="B630" s="1196" t="s">
        <v>13</v>
      </c>
      <c r="C630" s="1197"/>
      <c r="D630" s="1198"/>
      <c r="E630" s="490" t="s">
        <v>14</v>
      </c>
      <c r="F630" s="522" t="s">
        <v>15</v>
      </c>
      <c r="G630" s="492" t="s">
        <v>16</v>
      </c>
      <c r="H630" s="493" t="s">
        <v>17</v>
      </c>
      <c r="I630" s="493" t="s">
        <v>18</v>
      </c>
      <c r="J630" s="494" t="s">
        <v>19</v>
      </c>
      <c r="K630" s="495" t="s">
        <v>20</v>
      </c>
      <c r="L630" s="523" t="s">
        <v>75</v>
      </c>
      <c r="M630" s="54"/>
      <c r="N630" s="111"/>
      <c r="O630" s="344"/>
      <c r="P630" s="334"/>
      <c r="Q630" s="335"/>
      <c r="R630" s="336"/>
      <c r="S630" s="337"/>
    </row>
    <row r="631" spans="1:19" ht="30" customHeight="1" x14ac:dyDescent="0.25">
      <c r="A631" s="524" t="s">
        <v>3376</v>
      </c>
      <c r="B631" s="1689" t="s">
        <v>3377</v>
      </c>
      <c r="C631" s="1189"/>
      <c r="D631" s="1190"/>
      <c r="E631" s="525">
        <v>243.6</v>
      </c>
      <c r="F631" s="526" t="s">
        <v>80</v>
      </c>
      <c r="G631" s="526" t="s">
        <v>3378</v>
      </c>
      <c r="H631" s="526" t="s">
        <v>3379</v>
      </c>
      <c r="I631" s="526" t="s">
        <v>3380</v>
      </c>
      <c r="J631" s="526">
        <v>1480537.05</v>
      </c>
      <c r="K631" s="527">
        <v>2761297</v>
      </c>
      <c r="L631" s="526" t="s">
        <v>76</v>
      </c>
      <c r="M631" s="54"/>
      <c r="N631" s="111"/>
      <c r="O631" s="344"/>
      <c r="P631" s="334"/>
      <c r="Q631" s="335"/>
      <c r="R631" s="336"/>
      <c r="S631" s="337"/>
    </row>
    <row r="632" spans="1:19" ht="30" customHeight="1" x14ac:dyDescent="0.25">
      <c r="A632" s="528"/>
      <c r="B632" s="1199"/>
      <c r="C632" s="1199"/>
      <c r="D632" s="1199"/>
      <c r="E632" s="529"/>
      <c r="F632" s="529"/>
      <c r="G632" s="529"/>
      <c r="H632" s="529"/>
      <c r="I632" s="529"/>
      <c r="J632" s="530">
        <f>SUM(J631:J631)</f>
        <v>1480537.05</v>
      </c>
      <c r="K632" s="531">
        <f>SUM(K631:K631)</f>
        <v>2761297</v>
      </c>
      <c r="L632" s="526"/>
      <c r="M632" s="111"/>
      <c r="N632" s="54"/>
      <c r="O632" s="344"/>
      <c r="P632" s="334"/>
      <c r="Q632" s="335"/>
      <c r="R632" s="336"/>
      <c r="S632" s="337"/>
    </row>
    <row r="633" spans="1:19" ht="30" customHeight="1" thickBot="1" x14ac:dyDescent="0.3">
      <c r="A633" s="532"/>
      <c r="B633" s="1200"/>
      <c r="C633" s="1200"/>
      <c r="D633" s="1200"/>
      <c r="E633" s="533"/>
      <c r="F633" s="534"/>
      <c r="G633" s="1201"/>
      <c r="H633" s="1202"/>
      <c r="I633" s="534"/>
      <c r="J633" s="535" t="s">
        <v>72</v>
      </c>
      <c r="K633" s="536">
        <f>K632/H629</f>
        <v>2761297</v>
      </c>
      <c r="L633" s="698" t="s">
        <v>76</v>
      </c>
      <c r="M633" s="54"/>
      <c r="N633" s="54"/>
      <c r="P633" s="334"/>
      <c r="Q633" s="335"/>
      <c r="R633" s="336"/>
      <c r="S633" s="337"/>
    </row>
    <row r="634" spans="1:19" ht="30" customHeight="1" thickBot="1" x14ac:dyDescent="0.3">
      <c r="A634" s="1180"/>
      <c r="B634" s="1181"/>
      <c r="C634" s="1181"/>
      <c r="D634" s="1181"/>
      <c r="E634" s="1181"/>
      <c r="F634" s="1181"/>
      <c r="G634" s="1181"/>
      <c r="H634" s="1181"/>
      <c r="I634" s="1181"/>
      <c r="J634" s="1181"/>
      <c r="K634" s="1181"/>
      <c r="L634" s="1182"/>
      <c r="M634" s="54"/>
      <c r="N634" s="54"/>
      <c r="O634" s="469"/>
      <c r="P634" s="334"/>
    </row>
    <row r="635" spans="1:19" ht="30" customHeight="1" x14ac:dyDescent="0.25">
      <c r="A635" s="327" t="s">
        <v>5</v>
      </c>
      <c r="B635" s="328">
        <v>1463</v>
      </c>
      <c r="C635" s="1270" t="s">
        <v>492</v>
      </c>
      <c r="D635" s="1271"/>
      <c r="E635" s="331" t="s">
        <v>8</v>
      </c>
      <c r="F635" s="332" t="s">
        <v>76</v>
      </c>
      <c r="G635" s="342" t="s">
        <v>7</v>
      </c>
      <c r="H635" s="653">
        <v>1</v>
      </c>
      <c r="I635" s="331" t="s">
        <v>10</v>
      </c>
      <c r="J635" s="1220" t="s">
        <v>376</v>
      </c>
      <c r="K635" s="1220"/>
      <c r="L635" s="1221"/>
      <c r="M635" s="54"/>
      <c r="N635" s="54"/>
      <c r="P635" s="334"/>
    </row>
    <row r="636" spans="1:19" ht="30" customHeight="1" x14ac:dyDescent="0.25">
      <c r="A636" s="359" t="s">
        <v>295</v>
      </c>
      <c r="B636" s="1222" t="s">
        <v>326</v>
      </c>
      <c r="C636" s="1235"/>
      <c r="D636" s="1223"/>
      <c r="E636" s="577" t="s">
        <v>116</v>
      </c>
      <c r="F636" s="577" t="s">
        <v>117</v>
      </c>
      <c r="G636" s="1194" t="s">
        <v>118</v>
      </c>
      <c r="H636" s="1195"/>
      <c r="I636" s="633" t="s">
        <v>296</v>
      </c>
      <c r="J636" s="633"/>
      <c r="K636" s="1236" t="s">
        <v>285</v>
      </c>
      <c r="L636" s="1237"/>
      <c r="M636" s="54"/>
      <c r="N636" s="54"/>
      <c r="P636" s="334"/>
    </row>
    <row r="637" spans="1:19" ht="30" customHeight="1" x14ac:dyDescent="0.25">
      <c r="A637" s="365" t="s">
        <v>493</v>
      </c>
      <c r="B637" s="1214" t="s">
        <v>494</v>
      </c>
      <c r="C637" s="1215"/>
      <c r="D637" s="1216"/>
      <c r="E637" s="247">
        <v>34800</v>
      </c>
      <c r="F637" s="365" t="s">
        <v>76</v>
      </c>
      <c r="G637" s="452"/>
      <c r="H637" s="563">
        <v>10</v>
      </c>
      <c r="I637" s="365">
        <v>1.23</v>
      </c>
      <c r="J637" s="365"/>
      <c r="K637" s="247">
        <f>+E637*I637*H637</f>
        <v>428040</v>
      </c>
      <c r="L637" s="365" t="s">
        <v>76</v>
      </c>
      <c r="M637" s="54"/>
      <c r="N637" s="54"/>
      <c r="O637" s="336"/>
      <c r="P637" s="334"/>
      <c r="Q637" s="335"/>
      <c r="R637" s="336"/>
      <c r="S637" s="337"/>
    </row>
    <row r="638" spans="1:19" ht="30" customHeight="1" x14ac:dyDescent="0.25">
      <c r="A638" s="365"/>
      <c r="B638" s="578"/>
      <c r="C638" s="578"/>
      <c r="D638" s="578"/>
      <c r="E638" s="247"/>
      <c r="F638" s="1272" t="s">
        <v>303</v>
      </c>
      <c r="G638" s="1283" t="s">
        <v>304</v>
      </c>
      <c r="H638" s="1283"/>
      <c r="I638" s="1283"/>
      <c r="J638" s="1283"/>
      <c r="K638" s="251">
        <v>1.08</v>
      </c>
      <c r="L638" s="365"/>
      <c r="M638" s="54"/>
      <c r="N638" s="54"/>
      <c r="O638" s="336"/>
      <c r="P638" s="334"/>
      <c r="Q638" s="335"/>
      <c r="R638" s="336"/>
      <c r="S638" s="337"/>
    </row>
    <row r="639" spans="1:19" ht="30" customHeight="1" x14ac:dyDescent="0.25">
      <c r="A639" s="365"/>
      <c r="B639" s="578"/>
      <c r="C639" s="578"/>
      <c r="D639" s="578"/>
      <c r="E639" s="247"/>
      <c r="F639" s="1273"/>
      <c r="G639" s="1284" t="s">
        <v>305</v>
      </c>
      <c r="H639" s="1284"/>
      <c r="I639" s="1284"/>
      <c r="J639" s="1284"/>
      <c r="K639" s="251">
        <v>1.06</v>
      </c>
      <c r="L639" s="365"/>
      <c r="M639" s="54"/>
      <c r="N639" s="54"/>
      <c r="O639" s="344"/>
      <c r="P639" s="334"/>
      <c r="Q639" s="335"/>
      <c r="R639" s="336"/>
      <c r="S639" s="337"/>
    </row>
    <row r="640" spans="1:19" ht="30" customHeight="1" x14ac:dyDescent="0.25">
      <c r="A640" s="365"/>
      <c r="B640" s="365"/>
      <c r="C640" s="366"/>
      <c r="D640" s="366"/>
      <c r="E640" s="366"/>
      <c r="F640" s="366"/>
      <c r="G640" s="366"/>
      <c r="H640" s="366"/>
      <c r="I640" s="366"/>
      <c r="J640" s="365" t="s">
        <v>72</v>
      </c>
      <c r="K640" s="246">
        <f>+K637*K638/K639</f>
        <v>436116.22641509434</v>
      </c>
      <c r="L640" s="365" t="s">
        <v>76</v>
      </c>
      <c r="M640" s="54"/>
      <c r="N640" s="54"/>
      <c r="O640" s="554"/>
      <c r="P640" s="334"/>
      <c r="Q640" s="335"/>
      <c r="R640" s="336"/>
      <c r="S640" s="337"/>
    </row>
    <row r="641" spans="1:21" ht="30" customHeight="1" thickBot="1" x14ac:dyDescent="0.3">
      <c r="A641" s="569"/>
      <c r="B641" s="592"/>
      <c r="C641" s="573"/>
      <c r="D641" s="573"/>
      <c r="E641" s="573"/>
      <c r="F641" s="573"/>
      <c r="I641" s="654" t="s">
        <v>414</v>
      </c>
      <c r="J641" s="521">
        <f>VLOOKUP(B635,'Mil Cost Premiums for PUCs'!$A$4:$R$277,18,FALSE)</f>
        <v>1.1199953840399997</v>
      </c>
      <c r="K641" s="228">
        <f>+K640*J641</f>
        <v>488448.16048984905</v>
      </c>
      <c r="L641" s="365" t="s">
        <v>76</v>
      </c>
      <c r="M641" s="54"/>
      <c r="N641" s="54"/>
      <c r="O641" s="554"/>
      <c r="P641" s="334"/>
      <c r="Q641" s="335"/>
      <c r="R641" s="336"/>
      <c r="S641" s="337"/>
    </row>
    <row r="642" spans="1:21" ht="30" customHeight="1" thickBot="1" x14ac:dyDescent="0.3">
      <c r="A642" s="1180"/>
      <c r="B642" s="1181"/>
      <c r="C642" s="1181"/>
      <c r="D642" s="1181"/>
      <c r="E642" s="1181"/>
      <c r="F642" s="1181"/>
      <c r="G642" s="1181"/>
      <c r="H642" s="1181"/>
      <c r="I642" s="1181"/>
      <c r="J642" s="1181"/>
      <c r="K642" s="1181"/>
      <c r="L642" s="1182"/>
      <c r="M642" s="54"/>
      <c r="N642" s="54"/>
      <c r="O642" s="554"/>
      <c r="P642" s="334"/>
      <c r="Q642" s="335"/>
      <c r="R642" s="336"/>
      <c r="S642" s="337"/>
    </row>
    <row r="643" spans="1:21" ht="30" customHeight="1" x14ac:dyDescent="0.25">
      <c r="A643" s="327" t="s">
        <v>5</v>
      </c>
      <c r="B643" s="327">
        <v>1465</v>
      </c>
      <c r="C643" s="1251" t="s">
        <v>495</v>
      </c>
      <c r="D643" s="1252"/>
      <c r="E643" s="331" t="s">
        <v>8</v>
      </c>
      <c r="F643" s="332" t="s">
        <v>205</v>
      </c>
      <c r="G643" s="342" t="s">
        <v>74</v>
      </c>
      <c r="H643" s="156">
        <v>7747</v>
      </c>
      <c r="I643" s="331" t="s">
        <v>10</v>
      </c>
      <c r="J643" s="1253" t="s">
        <v>496</v>
      </c>
      <c r="K643" s="1253"/>
      <c r="L643" s="1367"/>
      <c r="M643" s="112"/>
      <c r="N643" s="54"/>
      <c r="O643" s="554"/>
      <c r="P643" s="334"/>
      <c r="Q643" s="335"/>
      <c r="R643" s="336"/>
      <c r="S643" s="337"/>
    </row>
    <row r="644" spans="1:21" ht="30" customHeight="1" x14ac:dyDescent="0.25">
      <c r="A644" s="356" t="s">
        <v>282</v>
      </c>
      <c r="B644" s="1249" t="s">
        <v>491</v>
      </c>
      <c r="C644" s="1249"/>
      <c r="D644" s="1249"/>
      <c r="E644" s="356" t="s">
        <v>116</v>
      </c>
      <c r="F644" s="356" t="s">
        <v>117</v>
      </c>
      <c r="G644" s="1194" t="s">
        <v>118</v>
      </c>
      <c r="H644" s="1195"/>
      <c r="I644" s="356" t="s">
        <v>119</v>
      </c>
      <c r="J644" s="356" t="s">
        <v>120</v>
      </c>
      <c r="K644" s="1236" t="s">
        <v>72</v>
      </c>
      <c r="L644" s="1237"/>
      <c r="M644" s="54"/>
      <c r="N644" s="54"/>
      <c r="O644" s="554"/>
      <c r="P644" s="334"/>
      <c r="Q644" s="335"/>
      <c r="R644" s="336"/>
      <c r="S644" s="337"/>
    </row>
    <row r="645" spans="1:21" ht="30" customHeight="1" x14ac:dyDescent="0.25">
      <c r="A645" s="360" t="s">
        <v>497</v>
      </c>
      <c r="B645" s="1214" t="s">
        <v>498</v>
      </c>
      <c r="C645" s="1215"/>
      <c r="D645" s="1216"/>
      <c r="E645" s="247">
        <v>4306.5</v>
      </c>
      <c r="F645" s="486" t="s">
        <v>499</v>
      </c>
      <c r="G645" s="689">
        <v>10.7639</v>
      </c>
      <c r="H645" s="690" t="s">
        <v>500</v>
      </c>
      <c r="I645" s="486">
        <v>1.17</v>
      </c>
      <c r="J645" s="691">
        <v>1.2561</v>
      </c>
      <c r="K645" s="152">
        <f>+E645/G645/I645*J645</f>
        <v>429.52965289246754</v>
      </c>
      <c r="L645" s="486" t="s">
        <v>205</v>
      </c>
      <c r="M645" s="112"/>
      <c r="N645" s="54"/>
      <c r="O645" s="554"/>
      <c r="P645" s="334"/>
      <c r="Q645" s="335"/>
      <c r="R645" s="336"/>
      <c r="S645" s="337"/>
    </row>
    <row r="646" spans="1:21" ht="30" customHeight="1" thickBot="1" x14ac:dyDescent="0.3">
      <c r="A646" s="360"/>
      <c r="B646" s="1179" t="s">
        <v>501</v>
      </c>
      <c r="C646" s="1179"/>
      <c r="D646" s="1179"/>
      <c r="E646" s="485"/>
      <c r="F646" s="486"/>
      <c r="G646" s="1183"/>
      <c r="H646" s="1184"/>
      <c r="I646" s="486"/>
      <c r="J646" s="692" t="s">
        <v>72</v>
      </c>
      <c r="K646" s="488">
        <f>+K645</f>
        <v>429.52965289246754</v>
      </c>
      <c r="L646" s="486" t="s">
        <v>205</v>
      </c>
      <c r="M646" s="54"/>
      <c r="N646" s="54"/>
      <c r="O646" s="554"/>
      <c r="P646" s="334"/>
      <c r="Q646" s="335"/>
      <c r="R646" s="336"/>
      <c r="S646" s="337"/>
    </row>
    <row r="647" spans="1:21" ht="30" customHeight="1" thickBot="1" x14ac:dyDescent="0.3">
      <c r="A647" s="1180"/>
      <c r="B647" s="1181"/>
      <c r="C647" s="1181"/>
      <c r="D647" s="1181"/>
      <c r="E647" s="1181"/>
      <c r="F647" s="1181"/>
      <c r="G647" s="1181"/>
      <c r="H647" s="1181"/>
      <c r="I647" s="1181"/>
      <c r="J647" s="1181"/>
      <c r="K647" s="1181"/>
      <c r="L647" s="1182"/>
      <c r="M647" s="54"/>
      <c r="N647" s="54"/>
      <c r="O647" s="554"/>
      <c r="P647" s="334"/>
      <c r="Q647" s="335"/>
      <c r="R647" s="336"/>
      <c r="S647" s="337"/>
    </row>
    <row r="648" spans="1:21" ht="30" customHeight="1" x14ac:dyDescent="0.25">
      <c r="A648" s="327" t="s">
        <v>5</v>
      </c>
      <c r="B648" s="328">
        <v>1466</v>
      </c>
      <c r="C648" s="1251" t="s">
        <v>502</v>
      </c>
      <c r="D648" s="1252"/>
      <c r="E648" s="331" t="s">
        <v>8</v>
      </c>
      <c r="F648" s="332" t="s">
        <v>205</v>
      </c>
      <c r="G648" s="342" t="s">
        <v>74</v>
      </c>
      <c r="H648" s="156">
        <v>14215</v>
      </c>
      <c r="I648" s="331" t="s">
        <v>10</v>
      </c>
      <c r="J648" s="1253" t="s">
        <v>496</v>
      </c>
      <c r="K648" s="1253"/>
      <c r="L648" s="1367"/>
      <c r="M648" s="111"/>
      <c r="N648" s="54"/>
      <c r="T648" s="10"/>
      <c r="U648" s="10"/>
    </row>
    <row r="649" spans="1:21" s="345" customFormat="1" ht="30" customHeight="1" x14ac:dyDescent="0.25">
      <c r="A649" s="356"/>
      <c r="B649" s="1163" t="s">
        <v>13</v>
      </c>
      <c r="C649" s="1163"/>
      <c r="D649" s="1163"/>
      <c r="E649" s="356" t="s">
        <v>116</v>
      </c>
      <c r="F649" s="356" t="s">
        <v>117</v>
      </c>
      <c r="G649" s="1194" t="s">
        <v>118</v>
      </c>
      <c r="H649" s="1195"/>
      <c r="I649" s="356" t="s">
        <v>119</v>
      </c>
      <c r="J649" s="356" t="s">
        <v>120</v>
      </c>
      <c r="K649" s="1236" t="s">
        <v>285</v>
      </c>
      <c r="L649" s="1237"/>
      <c r="M649" s="54"/>
      <c r="N649" s="111"/>
      <c r="P649" s="344"/>
    </row>
    <row r="650" spans="1:21" ht="30" customHeight="1" x14ac:dyDescent="0.25">
      <c r="A650" s="360" t="s">
        <v>497</v>
      </c>
      <c r="B650" s="1281" t="s">
        <v>503</v>
      </c>
      <c r="C650" s="1281"/>
      <c r="D650" s="1281"/>
      <c r="E650" s="485">
        <v>6943</v>
      </c>
      <c r="F650" s="486" t="s">
        <v>499</v>
      </c>
      <c r="G650" s="1183">
        <f>1/10.76391</f>
        <v>9.2903043596611279E-2</v>
      </c>
      <c r="H650" s="1184"/>
      <c r="I650" s="486">
        <v>2.35</v>
      </c>
      <c r="J650" s="487">
        <f>+'2022 MILCON Inflation Table'!F13</f>
        <v>1.2561273320332946</v>
      </c>
      <c r="K650" s="488">
        <f>E650*G650/I650*J650</f>
        <v>344.78067108719762</v>
      </c>
      <c r="L650" s="486" t="s">
        <v>205</v>
      </c>
      <c r="M650" s="54"/>
      <c r="N650" s="54"/>
      <c r="T650" s="60"/>
      <c r="U650" s="60"/>
    </row>
    <row r="651" spans="1:21" s="345" customFormat="1" ht="30" customHeight="1" x14ac:dyDescent="0.25">
      <c r="A651" s="365"/>
      <c r="B651" s="1209" t="s">
        <v>504</v>
      </c>
      <c r="C651" s="1210"/>
      <c r="D651" s="1210"/>
      <c r="E651" s="587"/>
      <c r="F651" s="587"/>
      <c r="G651" s="587"/>
      <c r="H651" s="587"/>
      <c r="I651" s="391"/>
      <c r="J651" s="359" t="s">
        <v>72</v>
      </c>
      <c r="K651" s="253">
        <f>+K650</f>
        <v>344.78067108719762</v>
      </c>
      <c r="L651" s="365" t="s">
        <v>205</v>
      </c>
      <c r="M651" s="54"/>
      <c r="N651" s="54"/>
      <c r="P651" s="344"/>
    </row>
    <row r="652" spans="1:21" s="345" customFormat="1" ht="30" customHeight="1" thickBot="1" x14ac:dyDescent="0.3">
      <c r="A652" s="1291" t="s">
        <v>505</v>
      </c>
      <c r="B652" s="1292"/>
      <c r="C652" s="1292"/>
      <c r="D652" s="1292"/>
      <c r="E652" s="1292"/>
      <c r="F652" s="1292"/>
      <c r="G652" s="1292"/>
      <c r="H652" s="1292"/>
      <c r="I652" s="1293"/>
      <c r="J652" s="693"/>
      <c r="K652" s="693"/>
      <c r="L652" s="693"/>
      <c r="M652" s="54"/>
      <c r="N652" s="54"/>
      <c r="P652" s="344"/>
    </row>
    <row r="653" spans="1:21" ht="30" customHeight="1" thickBot="1" x14ac:dyDescent="0.3">
      <c r="A653" s="1180"/>
      <c r="B653" s="1181"/>
      <c r="C653" s="1181"/>
      <c r="D653" s="1181"/>
      <c r="E653" s="1181"/>
      <c r="F653" s="1181"/>
      <c r="G653" s="1181"/>
      <c r="H653" s="1181"/>
      <c r="I653" s="1181"/>
      <c r="J653" s="1181"/>
      <c r="K653" s="1181"/>
      <c r="L653" s="1182"/>
      <c r="M653" s="54"/>
      <c r="N653" s="54"/>
    </row>
    <row r="654" spans="1:21" ht="30" customHeight="1" x14ac:dyDescent="0.25">
      <c r="A654" s="327" t="s">
        <v>5</v>
      </c>
      <c r="B654" s="327">
        <v>1467</v>
      </c>
      <c r="C654" s="1218" t="s">
        <v>506</v>
      </c>
      <c r="D654" s="1219"/>
      <c r="E654" s="331" t="s">
        <v>8</v>
      </c>
      <c r="F654" s="332" t="s">
        <v>76</v>
      </c>
      <c r="G654" s="342" t="s">
        <v>74</v>
      </c>
      <c r="H654" s="156">
        <v>2</v>
      </c>
      <c r="I654" s="331" t="s">
        <v>10</v>
      </c>
      <c r="J654" s="1220" t="s">
        <v>382</v>
      </c>
      <c r="K654" s="1220"/>
      <c r="L654" s="1221"/>
      <c r="M654" s="111"/>
      <c r="N654" s="54"/>
    </row>
    <row r="655" spans="1:21" ht="30" customHeight="1" x14ac:dyDescent="0.25">
      <c r="A655" s="356" t="s">
        <v>282</v>
      </c>
      <c r="B655" s="1163" t="s">
        <v>13</v>
      </c>
      <c r="C655" s="1163"/>
      <c r="D655" s="1163"/>
      <c r="E655" s="356" t="s">
        <v>116</v>
      </c>
      <c r="F655" s="356" t="s">
        <v>117</v>
      </c>
      <c r="G655" s="1194" t="s">
        <v>118</v>
      </c>
      <c r="H655" s="1195"/>
      <c r="I655" s="1276" t="s">
        <v>284</v>
      </c>
      <c r="J655" s="1277"/>
      <c r="K655" s="581" t="s">
        <v>507</v>
      </c>
      <c r="L655" s="356"/>
      <c r="M655" s="54"/>
      <c r="N655" s="54"/>
      <c r="O655" s="336"/>
      <c r="P655" s="334"/>
      <c r="Q655" s="335"/>
      <c r="R655" s="336"/>
      <c r="S655" s="337"/>
    </row>
    <row r="656" spans="1:21" ht="30" customHeight="1" x14ac:dyDescent="0.25">
      <c r="A656" s="486">
        <v>81242</v>
      </c>
      <c r="B656" s="1281" t="s">
        <v>508</v>
      </c>
      <c r="C656" s="1281"/>
      <c r="D656" s="1281"/>
      <c r="E656" s="694">
        <v>61</v>
      </c>
      <c r="F656" s="486" t="s">
        <v>40</v>
      </c>
      <c r="G656" s="691">
        <v>78</v>
      </c>
      <c r="H656" s="695" t="s">
        <v>40</v>
      </c>
      <c r="I656" s="1183">
        <f>+'2022 MILCON Inflation Table'!$F$21</f>
        <v>0.94047825952836139</v>
      </c>
      <c r="J656" s="1184"/>
      <c r="K656" s="485">
        <f>+E656*G656*I656</f>
        <v>4474.7955588359437</v>
      </c>
      <c r="L656" s="365" t="s">
        <v>76</v>
      </c>
      <c r="M656" s="111"/>
      <c r="N656" s="54"/>
      <c r="O656" s="336"/>
      <c r="P656" s="334"/>
      <c r="Q656" s="335"/>
      <c r="R656" s="336"/>
      <c r="S656" s="337"/>
    </row>
    <row r="657" spans="1:21" ht="30" customHeight="1" x14ac:dyDescent="0.25">
      <c r="A657" s="486">
        <v>81242</v>
      </c>
      <c r="B657" s="1281" t="s">
        <v>509</v>
      </c>
      <c r="C657" s="1281"/>
      <c r="D657" s="1281"/>
      <c r="E657" s="694">
        <v>602</v>
      </c>
      <c r="F657" s="486" t="s">
        <v>40</v>
      </c>
      <c r="G657" s="691">
        <v>78</v>
      </c>
      <c r="H657" s="695" t="s">
        <v>40</v>
      </c>
      <c r="I657" s="1183">
        <f>+'2022 MILCON Inflation Table'!$F$21</f>
        <v>0.94047825952836139</v>
      </c>
      <c r="J657" s="1184"/>
      <c r="K657" s="485">
        <f>+E657*G657*I657</f>
        <v>44161.097154413736</v>
      </c>
      <c r="L657" s="365" t="s">
        <v>76</v>
      </c>
      <c r="M657" s="54"/>
      <c r="N657" s="111"/>
      <c r="P657" s="334"/>
      <c r="Q657" s="335"/>
      <c r="R657" s="336"/>
      <c r="S657" s="337"/>
    </row>
    <row r="658" spans="1:21" ht="30" customHeight="1" x14ac:dyDescent="0.25">
      <c r="A658" s="365">
        <v>81242</v>
      </c>
      <c r="B658" s="1281" t="s">
        <v>510</v>
      </c>
      <c r="C658" s="1281"/>
      <c r="D658" s="1281"/>
      <c r="E658" s="252">
        <v>404</v>
      </c>
      <c r="F658" s="365" t="s">
        <v>76</v>
      </c>
      <c r="G658" s="661">
        <v>7</v>
      </c>
      <c r="H658" s="163" t="s">
        <v>76</v>
      </c>
      <c r="I658" s="1183">
        <f>+'2022 MILCON Inflation Table'!$F$21</f>
        <v>0.94047825952836139</v>
      </c>
      <c r="J658" s="1184"/>
      <c r="K658" s="485">
        <f>+E658*G658*I658</f>
        <v>2659.672517946206</v>
      </c>
      <c r="L658" s="365" t="s">
        <v>76</v>
      </c>
      <c r="M658" s="54"/>
      <c r="N658" s="112"/>
      <c r="P658" s="334"/>
      <c r="Q658" s="335"/>
      <c r="R658" s="336"/>
      <c r="S658" s="337"/>
    </row>
    <row r="659" spans="1:21" ht="30" customHeight="1" x14ac:dyDescent="0.25">
      <c r="A659" s="365">
        <v>81242</v>
      </c>
      <c r="B659" s="1209" t="s">
        <v>511</v>
      </c>
      <c r="C659" s="1210"/>
      <c r="D659" s="1211"/>
      <c r="E659" s="252">
        <v>3219</v>
      </c>
      <c r="F659" s="365" t="s">
        <v>76</v>
      </c>
      <c r="G659" s="661">
        <v>7</v>
      </c>
      <c r="H659" s="153" t="s">
        <v>76</v>
      </c>
      <c r="I659" s="1183">
        <f>+'2022 MILCON Inflation Table'!$F$21</f>
        <v>0.94047825952836139</v>
      </c>
      <c r="J659" s="1184"/>
      <c r="K659" s="485">
        <f>+E659*G659*I659</f>
        <v>21191.796621952566</v>
      </c>
      <c r="L659" s="365" t="s">
        <v>76</v>
      </c>
      <c r="M659" s="54"/>
      <c r="N659" s="54"/>
      <c r="P659" s="334"/>
      <c r="Q659" s="335"/>
      <c r="R659" s="336"/>
      <c r="S659" s="337"/>
    </row>
    <row r="660" spans="1:21" ht="30" customHeight="1" x14ac:dyDescent="0.25">
      <c r="A660" s="365">
        <v>11110</v>
      </c>
      <c r="B660" s="1209" t="s">
        <v>512</v>
      </c>
      <c r="C660" s="1210"/>
      <c r="D660" s="1211"/>
      <c r="E660" s="252">
        <v>78.45</v>
      </c>
      <c r="F660" s="365" t="s">
        <v>9</v>
      </c>
      <c r="G660" s="696">
        <f>+G656/3</f>
        <v>26</v>
      </c>
      <c r="H660" s="153" t="s">
        <v>9</v>
      </c>
      <c r="I660" s="1183">
        <f>+'2022 MILCON Inflation Table'!$F$21</f>
        <v>0.94047825952836139</v>
      </c>
      <c r="J660" s="1184"/>
      <c r="K660" s="485">
        <f>+E660*G660*I660</f>
        <v>1918.2935059599988</v>
      </c>
      <c r="L660" s="365" t="s">
        <v>76</v>
      </c>
      <c r="M660" s="54"/>
      <c r="N660" s="54"/>
      <c r="P660" s="334"/>
      <c r="Q660" s="335"/>
      <c r="R660" s="336"/>
      <c r="S660" s="337"/>
    </row>
    <row r="661" spans="1:21" ht="30" customHeight="1" x14ac:dyDescent="0.25">
      <c r="A661" s="367"/>
      <c r="B661" s="662"/>
      <c r="C661" s="662"/>
      <c r="D661" s="662"/>
      <c r="E661" s="246"/>
      <c r="F661" s="367"/>
      <c r="G661" s="331"/>
      <c r="H661" s="164"/>
      <c r="I661" s="697"/>
      <c r="J661" s="698" t="s">
        <v>343</v>
      </c>
      <c r="K661" s="243">
        <f>SUM(K656:K660)</f>
        <v>74405.655359108452</v>
      </c>
      <c r="L661" s="365" t="s">
        <v>76</v>
      </c>
      <c r="M661" s="54"/>
      <c r="N661" s="54"/>
      <c r="P661" s="334"/>
      <c r="Q661" s="335"/>
      <c r="R661" s="336"/>
      <c r="S661" s="337"/>
    </row>
    <row r="662" spans="1:21" ht="30" customHeight="1" x14ac:dyDescent="0.25">
      <c r="A662" s="367"/>
      <c r="B662" s="662"/>
      <c r="C662" s="662"/>
      <c r="D662" s="662"/>
      <c r="E662" s="366"/>
      <c r="F662" s="367"/>
      <c r="G662" s="1524"/>
      <c r="H662" s="1525"/>
      <c r="I662" s="1525"/>
      <c r="J662" s="699" t="s">
        <v>72</v>
      </c>
      <c r="K662" s="373">
        <f>+K661</f>
        <v>74405.655359108452</v>
      </c>
      <c r="L662" s="365" t="s">
        <v>76</v>
      </c>
      <c r="M662" s="54"/>
      <c r="N662" s="54"/>
      <c r="P662" s="334"/>
      <c r="Q662" s="335"/>
      <c r="R662" s="336"/>
      <c r="S662" s="337"/>
    </row>
    <row r="663" spans="1:21" ht="44.25" customHeight="1" thickBot="1" x14ac:dyDescent="0.3">
      <c r="A663" s="1352" t="s">
        <v>3480</v>
      </c>
      <c r="B663" s="1353"/>
      <c r="C663" s="1353"/>
      <c r="D663" s="1353"/>
      <c r="E663" s="1353"/>
      <c r="F663" s="1353"/>
      <c r="G663" s="1353"/>
      <c r="H663" s="1353"/>
      <c r="I663" s="1353"/>
      <c r="J663" s="1353"/>
      <c r="K663" s="1353"/>
      <c r="L663" s="1354"/>
      <c r="M663" s="54"/>
      <c r="N663" s="54"/>
      <c r="O663" s="336"/>
      <c r="P663" s="334"/>
      <c r="Q663" s="335"/>
      <c r="R663" s="336"/>
      <c r="S663" s="337"/>
    </row>
    <row r="664" spans="1:21" ht="30" customHeight="1" thickBot="1" x14ac:dyDescent="0.3">
      <c r="A664" s="1361"/>
      <c r="B664" s="1362"/>
      <c r="C664" s="1362"/>
      <c r="D664" s="1362"/>
      <c r="E664" s="1362"/>
      <c r="F664" s="1362"/>
      <c r="G664" s="1362"/>
      <c r="H664" s="1362"/>
      <c r="I664" s="1362"/>
      <c r="J664" s="1362"/>
      <c r="K664" s="1362"/>
      <c r="L664" s="1363"/>
      <c r="M664" s="111"/>
      <c r="N664" s="54"/>
      <c r="O664" s="336"/>
      <c r="P664" s="334"/>
      <c r="Q664" s="335"/>
      <c r="R664" s="336"/>
      <c r="S664" s="337"/>
    </row>
    <row r="665" spans="1:21" ht="30" customHeight="1" x14ac:dyDescent="0.25">
      <c r="A665" s="537" t="s">
        <v>5</v>
      </c>
      <c r="B665" s="537">
        <v>1481</v>
      </c>
      <c r="C665" s="1528" t="s">
        <v>513</v>
      </c>
      <c r="D665" s="1528"/>
      <c r="E665" s="381" t="s">
        <v>8</v>
      </c>
      <c r="F665" s="700" t="s">
        <v>76</v>
      </c>
      <c r="G665" s="701" t="s">
        <v>514</v>
      </c>
      <c r="H665" s="702" t="s">
        <v>515</v>
      </c>
      <c r="I665" s="381" t="s">
        <v>10</v>
      </c>
      <c r="J665" s="1529" t="s">
        <v>516</v>
      </c>
      <c r="K665" s="1529"/>
      <c r="L665" s="1529"/>
      <c r="M665" s="112"/>
      <c r="N665" s="54"/>
      <c r="O665" s="336"/>
      <c r="P665" s="334"/>
      <c r="Q665" s="335"/>
      <c r="R665" s="336"/>
      <c r="S665" s="337"/>
    </row>
    <row r="666" spans="1:21" ht="30" customHeight="1" x14ac:dyDescent="0.25">
      <c r="A666" s="356"/>
      <c r="B666" s="1249" t="s">
        <v>468</v>
      </c>
      <c r="C666" s="1249"/>
      <c r="D666" s="1249"/>
      <c r="E666" s="356" t="s">
        <v>116</v>
      </c>
      <c r="F666" s="356" t="s">
        <v>117</v>
      </c>
      <c r="G666" s="1250" t="s">
        <v>118</v>
      </c>
      <c r="H666" s="1250"/>
      <c r="I666" s="356" t="s">
        <v>119</v>
      </c>
      <c r="J666" s="356" t="s">
        <v>120</v>
      </c>
      <c r="K666" s="1250" t="s">
        <v>72</v>
      </c>
      <c r="L666" s="1250"/>
      <c r="M666" s="54"/>
      <c r="N666" s="112"/>
      <c r="O666" s="62"/>
      <c r="P666" s="334"/>
      <c r="Q666" s="335"/>
      <c r="R666" s="336"/>
      <c r="S666" s="337"/>
    </row>
    <row r="667" spans="1:21" ht="30" customHeight="1" thickBot="1" x14ac:dyDescent="0.3">
      <c r="A667" s="450"/>
      <c r="B667" s="1429">
        <v>186840.53</v>
      </c>
      <c r="C667" s="1429"/>
      <c r="D667" s="1429"/>
      <c r="E667" s="472"/>
      <c r="F667" s="473"/>
      <c r="G667" s="1430"/>
      <c r="H667" s="1430"/>
      <c r="I667" s="473"/>
      <c r="J667" s="671">
        <f>+'2022 MILCON Inflation Table'!F17</f>
        <v>1.0833841548808889</v>
      </c>
      <c r="K667" s="520">
        <f>B667*J667</f>
        <v>202420.06969154737</v>
      </c>
      <c r="L667" s="473" t="s">
        <v>76</v>
      </c>
      <c r="M667" s="54"/>
      <c r="N667" s="54"/>
      <c r="O667" s="336"/>
      <c r="P667" s="334"/>
      <c r="Q667" s="335"/>
      <c r="R667" s="336"/>
      <c r="S667" s="337"/>
    </row>
    <row r="668" spans="1:21" ht="30" customHeight="1" thickBot="1" x14ac:dyDescent="0.3">
      <c r="A668" s="1180"/>
      <c r="B668" s="1181"/>
      <c r="C668" s="1181"/>
      <c r="D668" s="1181"/>
      <c r="E668" s="1181"/>
      <c r="F668" s="1181"/>
      <c r="G668" s="1181"/>
      <c r="H668" s="1181"/>
      <c r="I668" s="1181"/>
      <c r="J668" s="1181"/>
      <c r="K668" s="1181"/>
      <c r="L668" s="1182"/>
      <c r="M668" s="54"/>
      <c r="N668" s="54"/>
      <c r="T668" s="10"/>
      <c r="U668" s="10"/>
    </row>
    <row r="669" spans="1:21" ht="30" customHeight="1" x14ac:dyDescent="0.25">
      <c r="A669" s="327" t="s">
        <v>5</v>
      </c>
      <c r="B669" s="328">
        <v>1491</v>
      </c>
      <c r="C669" s="1526" t="s">
        <v>517</v>
      </c>
      <c r="D669" s="1527"/>
      <c r="E669" s="331" t="s">
        <v>8</v>
      </c>
      <c r="F669" s="332" t="s">
        <v>76</v>
      </c>
      <c r="G669" s="338" t="s">
        <v>514</v>
      </c>
      <c r="H669" s="703" t="s">
        <v>515</v>
      </c>
      <c r="I669" s="331" t="s">
        <v>10</v>
      </c>
      <c r="J669" s="1220" t="s">
        <v>376</v>
      </c>
      <c r="K669" s="1220"/>
      <c r="L669" s="1221"/>
      <c r="M669" s="54"/>
      <c r="N669" s="54"/>
      <c r="T669" s="60"/>
      <c r="U669" s="60"/>
    </row>
    <row r="670" spans="1:21" s="345" customFormat="1" ht="30" customHeight="1" x14ac:dyDescent="0.25">
      <c r="A670" s="359" t="s">
        <v>295</v>
      </c>
      <c r="B670" s="1222" t="s">
        <v>326</v>
      </c>
      <c r="C670" s="1235"/>
      <c r="D670" s="1223"/>
      <c r="E670" s="577" t="s">
        <v>116</v>
      </c>
      <c r="F670" s="577" t="s">
        <v>117</v>
      </c>
      <c r="G670" s="1194" t="s">
        <v>118</v>
      </c>
      <c r="H670" s="1195"/>
      <c r="I670" s="633" t="s">
        <v>296</v>
      </c>
      <c r="J670" s="633"/>
      <c r="K670" s="1236" t="s">
        <v>285</v>
      </c>
      <c r="L670" s="1237"/>
      <c r="M670" s="54"/>
      <c r="N670" s="54"/>
      <c r="O670" s="543"/>
      <c r="P670" s="344"/>
    </row>
    <row r="671" spans="1:21" s="345" customFormat="1" ht="30" customHeight="1" x14ac:dyDescent="0.25">
      <c r="A671" s="365" t="s">
        <v>518</v>
      </c>
      <c r="B671" s="1209" t="s">
        <v>519</v>
      </c>
      <c r="C671" s="1210"/>
      <c r="D671" s="1211"/>
      <c r="E671" s="247">
        <v>164</v>
      </c>
      <c r="F671" s="365" t="s">
        <v>205</v>
      </c>
      <c r="G671" s="704">
        <v>5000</v>
      </c>
      <c r="H671" s="563" t="s">
        <v>329</v>
      </c>
      <c r="I671" s="365">
        <v>1.1599999999999999</v>
      </c>
      <c r="J671" s="365"/>
      <c r="K671" s="247">
        <f>+E671*G671*I671</f>
        <v>951199.99999999988</v>
      </c>
      <c r="L671" s="365" t="s">
        <v>76</v>
      </c>
      <c r="M671" s="54"/>
      <c r="N671" s="54"/>
      <c r="O671" s="543"/>
      <c r="P671" s="344"/>
    </row>
    <row r="672" spans="1:21" s="345" customFormat="1" ht="30" customHeight="1" x14ac:dyDescent="0.25">
      <c r="A672" s="365" t="s">
        <v>520</v>
      </c>
      <c r="B672" s="1214" t="s">
        <v>521</v>
      </c>
      <c r="C672" s="1215"/>
      <c r="D672" s="1216"/>
      <c r="E672" s="247">
        <v>107000</v>
      </c>
      <c r="F672" s="365" t="s">
        <v>76</v>
      </c>
      <c r="G672" s="452"/>
      <c r="H672" s="563"/>
      <c r="I672" s="365">
        <v>1.04</v>
      </c>
      <c r="J672" s="365"/>
      <c r="K672" s="247">
        <f>+E672*I672</f>
        <v>111280</v>
      </c>
      <c r="L672" s="365" t="s">
        <v>76</v>
      </c>
      <c r="M672" s="111"/>
      <c r="N672" s="54"/>
      <c r="O672" s="543"/>
      <c r="P672" s="344"/>
    </row>
    <row r="673" spans="1:19" s="345" customFormat="1" ht="30" customHeight="1" x14ac:dyDescent="0.25">
      <c r="A673" s="365" t="s">
        <v>520</v>
      </c>
      <c r="B673" s="1209" t="s">
        <v>522</v>
      </c>
      <c r="C673" s="1210"/>
      <c r="D673" s="1211"/>
      <c r="E673" s="247">
        <f>(27.25+55)/2</f>
        <v>41.125</v>
      </c>
      <c r="F673" s="365" t="s">
        <v>40</v>
      </c>
      <c r="G673" s="452">
        <v>100</v>
      </c>
      <c r="H673" s="563" t="s">
        <v>523</v>
      </c>
      <c r="I673" s="365">
        <v>1.04</v>
      </c>
      <c r="J673" s="365"/>
      <c r="K673" s="247">
        <f>E673*G673*I673</f>
        <v>4277</v>
      </c>
      <c r="L673" s="365"/>
      <c r="M673" s="112"/>
      <c r="N673" s="54"/>
      <c r="O673" s="543"/>
      <c r="P673" s="344"/>
    </row>
    <row r="674" spans="1:19" s="345" customFormat="1" ht="30" customHeight="1" x14ac:dyDescent="0.25">
      <c r="A674" s="365" t="s">
        <v>406</v>
      </c>
      <c r="B674" s="1214" t="s">
        <v>524</v>
      </c>
      <c r="C674" s="1215"/>
      <c r="D674" s="1216"/>
      <c r="E674" s="247">
        <v>4.9000000000000004</v>
      </c>
      <c r="F674" s="365" t="s">
        <v>205</v>
      </c>
      <c r="G674" s="705">
        <v>5000</v>
      </c>
      <c r="H674" s="563" t="s">
        <v>329</v>
      </c>
      <c r="I674" s="365">
        <v>1.1599999999999999</v>
      </c>
      <c r="J674" s="365"/>
      <c r="K674" s="247">
        <f>+E674*G674*I674</f>
        <v>28419.999999999996</v>
      </c>
      <c r="L674" s="365" t="s">
        <v>76</v>
      </c>
      <c r="M674" s="54"/>
      <c r="N674" s="54"/>
      <c r="O674" s="344"/>
      <c r="P674" s="344"/>
    </row>
    <row r="675" spans="1:19" ht="30" customHeight="1" x14ac:dyDescent="0.25">
      <c r="A675" s="365"/>
      <c r="E675" s="247"/>
      <c r="F675" s="365"/>
      <c r="G675" s="365"/>
      <c r="H675" s="365"/>
      <c r="I675" s="365"/>
      <c r="J675" s="365" t="s">
        <v>408</v>
      </c>
      <c r="K675" s="247">
        <f>SUM(K671:K674)</f>
        <v>1095177</v>
      </c>
      <c r="L675" s="365" t="s">
        <v>76</v>
      </c>
      <c r="M675" s="54"/>
      <c r="N675" s="54"/>
    </row>
    <row r="676" spans="1:19" ht="30" customHeight="1" x14ac:dyDescent="0.25">
      <c r="A676" s="365"/>
      <c r="B676" s="1398"/>
      <c r="C676" s="1399"/>
      <c r="D676" s="1400"/>
      <c r="E676" s="247"/>
      <c r="F676" s="1272" t="s">
        <v>303</v>
      </c>
      <c r="G676" s="1283" t="s">
        <v>304</v>
      </c>
      <c r="H676" s="1283"/>
      <c r="I676" s="1283"/>
      <c r="J676" s="1283"/>
      <c r="K676" s="251">
        <v>1.05</v>
      </c>
      <c r="L676" s="365"/>
      <c r="M676" s="54"/>
      <c r="N676" s="54"/>
    </row>
    <row r="677" spans="1:19" ht="30" customHeight="1" x14ac:dyDescent="0.25">
      <c r="A677" s="365"/>
      <c r="B677" s="1419" t="s">
        <v>525</v>
      </c>
      <c r="C677" s="1419"/>
      <c r="D677" s="1419"/>
      <c r="E677" s="247"/>
      <c r="F677" s="1273"/>
      <c r="G677" s="1284" t="s">
        <v>305</v>
      </c>
      <c r="H677" s="1284"/>
      <c r="I677" s="1284"/>
      <c r="J677" s="1284"/>
      <c r="K677" s="250">
        <v>1.06</v>
      </c>
      <c r="L677" s="365"/>
      <c r="M677" s="54"/>
      <c r="N677" s="54"/>
      <c r="O677" s="544"/>
      <c r="P677" s="544"/>
      <c r="Q677" s="335"/>
      <c r="R677" s="336"/>
      <c r="S677" s="337"/>
    </row>
    <row r="678" spans="1:19" ht="30" customHeight="1" x14ac:dyDescent="0.25">
      <c r="A678" s="365"/>
      <c r="B678" s="365"/>
      <c r="C678" s="366"/>
      <c r="D678" s="366"/>
      <c r="E678" s="366"/>
      <c r="F678" s="366"/>
      <c r="G678" s="366"/>
      <c r="H678" s="366"/>
      <c r="I678" s="366"/>
      <c r="J678" s="366" t="s">
        <v>72</v>
      </c>
      <c r="K678" s="246">
        <f>+K675*K676/K677</f>
        <v>1084845.141509434</v>
      </c>
      <c r="L678" s="365" t="s">
        <v>76</v>
      </c>
      <c r="M678" s="54"/>
      <c r="N678" s="54"/>
      <c r="O678" s="63"/>
      <c r="P678" s="63"/>
      <c r="Q678" s="335"/>
      <c r="R678" s="336"/>
      <c r="S678" s="337"/>
    </row>
    <row r="679" spans="1:19" ht="30" customHeight="1" thickBot="1" x14ac:dyDescent="0.3">
      <c r="A679" s="365"/>
      <c r="B679" s="365"/>
      <c r="C679" s="366"/>
      <c r="D679" s="366"/>
      <c r="E679" s="366"/>
      <c r="F679" s="366"/>
      <c r="G679" s="580" t="s">
        <v>306</v>
      </c>
      <c r="H679" s="366"/>
      <c r="I679" s="366"/>
      <c r="J679" s="521">
        <f>VLOOKUP(B669,'Mil Cost Premiums for PUCs'!$A$4:$R$277,18,FALSE)</f>
        <v>1.2281354183505979</v>
      </c>
      <c r="K679" s="246">
        <f>+K678*J679</f>
        <v>1332336.7417133022</v>
      </c>
      <c r="L679" s="365" t="s">
        <v>76</v>
      </c>
      <c r="M679" s="54"/>
      <c r="N679" s="54"/>
      <c r="O679" s="336"/>
      <c r="P679" s="334"/>
      <c r="Q679" s="335"/>
      <c r="R679" s="336"/>
      <c r="S679" s="337"/>
    </row>
    <row r="680" spans="1:19" ht="30" customHeight="1" thickBot="1" x14ac:dyDescent="0.3">
      <c r="A680" s="1180"/>
      <c r="B680" s="1181"/>
      <c r="C680" s="1181"/>
      <c r="D680" s="1181"/>
      <c r="E680" s="1181"/>
      <c r="F680" s="1181"/>
      <c r="G680" s="1181"/>
      <c r="H680" s="1181"/>
      <c r="I680" s="1181"/>
      <c r="J680" s="1181"/>
      <c r="K680" s="1181"/>
      <c r="L680" s="1182"/>
      <c r="M680" s="54"/>
      <c r="N680" s="54"/>
      <c r="O680" s="336"/>
      <c r="P680" s="334"/>
      <c r="Q680" s="335"/>
      <c r="R680" s="336"/>
      <c r="S680" s="337"/>
    </row>
    <row r="681" spans="1:19" ht="30" customHeight="1" x14ac:dyDescent="0.25">
      <c r="A681" s="327" t="s">
        <v>5</v>
      </c>
      <c r="B681" s="328">
        <v>1493</v>
      </c>
      <c r="C681" s="1251" t="s">
        <v>526</v>
      </c>
      <c r="D681" s="1252"/>
      <c r="E681" s="331" t="s">
        <v>8</v>
      </c>
      <c r="F681" s="332" t="s">
        <v>76</v>
      </c>
      <c r="G681" s="338" t="s">
        <v>7</v>
      </c>
      <c r="H681" s="576">
        <v>1</v>
      </c>
      <c r="I681" s="331" t="s">
        <v>10</v>
      </c>
      <c r="J681" s="1220" t="s">
        <v>376</v>
      </c>
      <c r="K681" s="1220"/>
      <c r="L681" s="1221"/>
      <c r="M681" s="112"/>
      <c r="N681" s="111"/>
      <c r="O681" s="336"/>
      <c r="P681" s="334"/>
      <c r="Q681" s="335"/>
      <c r="R681" s="336"/>
      <c r="S681" s="337"/>
    </row>
    <row r="682" spans="1:19" ht="30" customHeight="1" x14ac:dyDescent="0.25">
      <c r="A682" s="359" t="s">
        <v>295</v>
      </c>
      <c r="B682" s="1222" t="s">
        <v>326</v>
      </c>
      <c r="C682" s="1235"/>
      <c r="D682" s="1223"/>
      <c r="E682" s="577" t="s">
        <v>116</v>
      </c>
      <c r="F682" s="577" t="s">
        <v>117</v>
      </c>
      <c r="G682" s="1194" t="s">
        <v>118</v>
      </c>
      <c r="H682" s="1195"/>
      <c r="I682" s="633" t="s">
        <v>296</v>
      </c>
      <c r="J682" s="633"/>
      <c r="K682" s="1236" t="s">
        <v>285</v>
      </c>
      <c r="L682" s="1237"/>
      <c r="M682" s="54"/>
      <c r="N682" s="54"/>
      <c r="O682" s="635"/>
      <c r="P682" s="334"/>
      <c r="Q682" s="335"/>
      <c r="R682" s="336"/>
      <c r="S682" s="337"/>
    </row>
    <row r="683" spans="1:19" ht="30" customHeight="1" x14ac:dyDescent="0.25">
      <c r="A683" s="365" t="s">
        <v>527</v>
      </c>
      <c r="B683" s="1209" t="s">
        <v>528</v>
      </c>
      <c r="C683" s="1210"/>
      <c r="D683" s="1211"/>
      <c r="E683" s="247">
        <v>23.65</v>
      </c>
      <c r="F683" s="365" t="s">
        <v>205</v>
      </c>
      <c r="G683" s="704">
        <v>1250</v>
      </c>
      <c r="H683" s="563" t="s">
        <v>437</v>
      </c>
      <c r="I683" s="706">
        <v>1.1599999999999999</v>
      </c>
      <c r="J683" s="365"/>
      <c r="K683" s="247">
        <f>+E683*I683*G683*4</f>
        <v>137170</v>
      </c>
      <c r="L683" s="365" t="s">
        <v>76</v>
      </c>
      <c r="M683" s="54"/>
      <c r="N683" s="54"/>
      <c r="O683" s="635"/>
      <c r="P683" s="334"/>
      <c r="Q683" s="335"/>
      <c r="R683" s="336"/>
      <c r="S683" s="337"/>
    </row>
    <row r="684" spans="1:19" ht="30" customHeight="1" x14ac:dyDescent="0.25">
      <c r="A684" s="365" t="s">
        <v>529</v>
      </c>
      <c r="B684" s="1214" t="s">
        <v>530</v>
      </c>
      <c r="C684" s="1215"/>
      <c r="D684" s="1216"/>
      <c r="E684" s="247">
        <f>+(151+180)/2</f>
        <v>165.5</v>
      </c>
      <c r="F684" s="365" t="s">
        <v>40</v>
      </c>
      <c r="G684" s="704">
        <v>1000</v>
      </c>
      <c r="H684" s="563" t="s">
        <v>531</v>
      </c>
      <c r="I684" s="365">
        <v>1.23</v>
      </c>
      <c r="J684" s="365"/>
      <c r="K684" s="247">
        <f>+E684*I684*G684</f>
        <v>203565</v>
      </c>
      <c r="L684" s="365" t="s">
        <v>76</v>
      </c>
      <c r="M684" s="54"/>
      <c r="N684" s="54"/>
      <c r="O684" s="635"/>
      <c r="P684" s="334"/>
      <c r="Q684" s="335"/>
      <c r="R684" s="336"/>
      <c r="S684" s="337"/>
    </row>
    <row r="685" spans="1:19" ht="30" customHeight="1" x14ac:dyDescent="0.25">
      <c r="A685" s="365" t="s">
        <v>529</v>
      </c>
      <c r="B685" s="1214" t="s">
        <v>532</v>
      </c>
      <c r="C685" s="1215"/>
      <c r="D685" s="1216"/>
      <c r="E685" s="247">
        <f>+(47500+58250)/2</f>
        <v>52875</v>
      </c>
      <c r="F685" s="365" t="s">
        <v>76</v>
      </c>
      <c r="G685" s="704">
        <v>2</v>
      </c>
      <c r="H685" s="563" t="s">
        <v>54</v>
      </c>
      <c r="I685" s="365">
        <v>1.23</v>
      </c>
      <c r="J685" s="365"/>
      <c r="K685" s="247">
        <f>+E685*I685*G685</f>
        <v>130072.5</v>
      </c>
      <c r="L685" s="365" t="s">
        <v>76</v>
      </c>
      <c r="M685" s="54"/>
      <c r="N685" s="54"/>
      <c r="O685" s="336"/>
      <c r="P685" s="334"/>
      <c r="Q685" s="335"/>
      <c r="R685" s="336"/>
      <c r="S685" s="337"/>
    </row>
    <row r="686" spans="1:19" ht="30" customHeight="1" x14ac:dyDescent="0.25">
      <c r="A686" s="365" t="s">
        <v>533</v>
      </c>
      <c r="B686" s="1209" t="s">
        <v>534</v>
      </c>
      <c r="C686" s="1210"/>
      <c r="D686" s="1211"/>
      <c r="E686" s="247">
        <v>20.25</v>
      </c>
      <c r="F686" s="365" t="s">
        <v>40</v>
      </c>
      <c r="G686" s="704">
        <v>6000</v>
      </c>
      <c r="H686" s="563" t="s">
        <v>437</v>
      </c>
      <c r="I686" s="365">
        <v>1.1200000000000001</v>
      </c>
      <c r="J686" s="365"/>
      <c r="K686" s="247">
        <f>+E686*I686*G686</f>
        <v>136080.00000000003</v>
      </c>
      <c r="L686" s="365" t="s">
        <v>76</v>
      </c>
      <c r="M686" s="111"/>
      <c r="N686" s="111"/>
      <c r="O686" s="336"/>
      <c r="P686" s="334"/>
      <c r="Q686" s="335"/>
      <c r="R686" s="336"/>
      <c r="S686" s="337"/>
    </row>
    <row r="687" spans="1:19" ht="30" customHeight="1" x14ac:dyDescent="0.25">
      <c r="A687" s="365" t="s">
        <v>535</v>
      </c>
      <c r="B687" s="1230" t="s">
        <v>536</v>
      </c>
      <c r="C687" s="1231"/>
      <c r="D687" s="1232"/>
      <c r="E687" s="247">
        <f>(5.52+7.75)/2</f>
        <v>6.6349999999999998</v>
      </c>
      <c r="F687" s="365" t="s">
        <v>25</v>
      </c>
      <c r="G687" s="704">
        <v>3216</v>
      </c>
      <c r="H687" s="563" t="s">
        <v>537</v>
      </c>
      <c r="I687" s="365">
        <v>1.1200000000000001</v>
      </c>
      <c r="J687" s="365"/>
      <c r="K687" s="247">
        <f>E687*I687*G687/9</f>
        <v>2655.4154666666668</v>
      </c>
      <c r="L687" s="365" t="s">
        <v>76</v>
      </c>
      <c r="M687" s="54"/>
      <c r="N687" s="54"/>
      <c r="O687" s="336"/>
      <c r="P687" s="334"/>
      <c r="Q687" s="335"/>
      <c r="R687" s="336"/>
      <c r="S687" s="337"/>
    </row>
    <row r="688" spans="1:19" ht="30" customHeight="1" x14ac:dyDescent="0.25">
      <c r="A688" s="365"/>
      <c r="B688" s="707"/>
      <c r="C688" s="708"/>
      <c r="D688" s="709"/>
      <c r="E688" s="247"/>
      <c r="F688" s="365"/>
      <c r="G688" s="1209"/>
      <c r="H688" s="1211"/>
      <c r="I688" s="365"/>
      <c r="J688" s="365" t="s">
        <v>408</v>
      </c>
      <c r="K688" s="247">
        <f>SUM(K684:K687)</f>
        <v>472372.91546666669</v>
      </c>
      <c r="L688" s="365" t="s">
        <v>76</v>
      </c>
      <c r="M688" s="54"/>
      <c r="N688" s="54"/>
      <c r="O688" s="62"/>
      <c r="P688" s="334"/>
      <c r="Q688" s="335"/>
      <c r="R688" s="336"/>
      <c r="S688" s="337"/>
    </row>
    <row r="689" spans="1:21" ht="30" customHeight="1" x14ac:dyDescent="0.25">
      <c r="A689" s="365"/>
      <c r="B689" s="1209"/>
      <c r="C689" s="1210"/>
      <c r="D689" s="1211"/>
      <c r="E689" s="247"/>
      <c r="F689" s="1272" t="s">
        <v>303</v>
      </c>
      <c r="G689" s="1283" t="s">
        <v>304</v>
      </c>
      <c r="H689" s="1283"/>
      <c r="I689" s="1283"/>
      <c r="J689" s="1283"/>
      <c r="K689" s="251">
        <v>1.03</v>
      </c>
      <c r="L689" s="365"/>
      <c r="M689" s="54"/>
      <c r="N689" s="54"/>
      <c r="O689" s="336"/>
      <c r="P689" s="334"/>
      <c r="Q689" s="335"/>
      <c r="R689" s="336"/>
      <c r="S689" s="337"/>
    </row>
    <row r="690" spans="1:21" ht="30" customHeight="1" x14ac:dyDescent="0.25">
      <c r="A690" s="365"/>
      <c r="B690" s="578"/>
      <c r="C690" s="578"/>
      <c r="D690" s="578"/>
      <c r="E690" s="247"/>
      <c r="F690" s="1273"/>
      <c r="G690" s="1284" t="s">
        <v>305</v>
      </c>
      <c r="H690" s="1284"/>
      <c r="I690" s="1284"/>
      <c r="J690" s="1284"/>
      <c r="K690" s="250">
        <v>1.06</v>
      </c>
      <c r="L690" s="365"/>
      <c r="M690" s="54"/>
      <c r="N690" s="54"/>
      <c r="O690" s="336"/>
      <c r="P690" s="334"/>
      <c r="Q690" s="335"/>
      <c r="R690" s="336"/>
      <c r="S690" s="337"/>
    </row>
    <row r="691" spans="1:21" ht="30" customHeight="1" x14ac:dyDescent="0.25">
      <c r="A691" s="365"/>
      <c r="B691" s="365"/>
      <c r="C691" s="366"/>
      <c r="D691" s="366"/>
      <c r="E691" s="366"/>
      <c r="F691" s="366"/>
      <c r="G691" s="366"/>
      <c r="H691" s="366"/>
      <c r="I691" s="366"/>
      <c r="J691" s="365" t="s">
        <v>72</v>
      </c>
      <c r="K691" s="246">
        <f>+K688*K689/K690</f>
        <v>459003.87068930821</v>
      </c>
      <c r="L691" s="365" t="s">
        <v>76</v>
      </c>
      <c r="M691" s="54"/>
      <c r="N691" s="54"/>
      <c r="O691" s="344"/>
      <c r="P691" s="373"/>
      <c r="Q691" s="335"/>
      <c r="R691" s="336"/>
      <c r="S691" s="337"/>
    </row>
    <row r="692" spans="1:21" ht="30" customHeight="1" thickBot="1" x14ac:dyDescent="0.3">
      <c r="A692" s="365"/>
      <c r="B692" s="365"/>
      <c r="C692" s="366"/>
      <c r="D692" s="366"/>
      <c r="E692" s="366"/>
      <c r="F692" s="366"/>
      <c r="G692" s="580" t="s">
        <v>306</v>
      </c>
      <c r="H692" s="366"/>
      <c r="I692" s="366"/>
      <c r="J692" s="521">
        <f>VLOOKUP(B681,'Mil Cost Premiums for PUCs'!$A$4:$R$277,18,FALSE)</f>
        <v>1.1199953840399997</v>
      </c>
      <c r="K692" s="246">
        <f>+K691*J692</f>
        <v>514082.21642851812</v>
      </c>
      <c r="L692" s="365" t="s">
        <v>76</v>
      </c>
      <c r="M692" s="54"/>
      <c r="N692" s="54"/>
      <c r="O692" s="344"/>
      <c r="P692" s="334"/>
      <c r="Q692" s="335"/>
      <c r="R692" s="336"/>
      <c r="S692" s="337"/>
    </row>
    <row r="693" spans="1:21" ht="30" customHeight="1" thickBot="1" x14ac:dyDescent="0.3">
      <c r="A693" s="1180"/>
      <c r="B693" s="1181"/>
      <c r="C693" s="1181"/>
      <c r="D693" s="1181"/>
      <c r="E693" s="1181"/>
      <c r="F693" s="1181"/>
      <c r="G693" s="1181"/>
      <c r="H693" s="1181"/>
      <c r="I693" s="1181"/>
      <c r="J693" s="1181"/>
      <c r="K693" s="1181"/>
      <c r="L693" s="1182"/>
      <c r="M693" s="54"/>
      <c r="N693" s="54"/>
      <c r="O693" s="336"/>
      <c r="P693" s="334"/>
      <c r="Q693" s="335"/>
      <c r="R693" s="336"/>
      <c r="S693" s="337"/>
    </row>
    <row r="694" spans="1:21" ht="30" customHeight="1" x14ac:dyDescent="0.25">
      <c r="A694" s="327" t="s">
        <v>5</v>
      </c>
      <c r="B694" s="328">
        <v>1494</v>
      </c>
      <c r="C694" s="1218" t="s">
        <v>538</v>
      </c>
      <c r="D694" s="1219"/>
      <c r="E694" s="331" t="s">
        <v>8</v>
      </c>
      <c r="F694" s="332" t="s">
        <v>76</v>
      </c>
      <c r="G694" s="338" t="s">
        <v>7</v>
      </c>
      <c r="H694" s="576">
        <v>1</v>
      </c>
      <c r="I694" s="331" t="s">
        <v>10</v>
      </c>
      <c r="J694" s="1220" t="s">
        <v>382</v>
      </c>
      <c r="K694" s="1220"/>
      <c r="L694" s="1221"/>
      <c r="M694" s="111"/>
      <c r="N694" s="111"/>
      <c r="O694" s="336"/>
      <c r="P694" s="334"/>
      <c r="Q694" s="335"/>
      <c r="R694" s="336"/>
      <c r="S694" s="337"/>
    </row>
    <row r="695" spans="1:21" ht="30" customHeight="1" x14ac:dyDescent="0.25">
      <c r="A695" s="356" t="s">
        <v>282</v>
      </c>
      <c r="B695" s="1163" t="s">
        <v>13</v>
      </c>
      <c r="C695" s="1163"/>
      <c r="D695" s="1163"/>
      <c r="E695" s="546" t="s">
        <v>116</v>
      </c>
      <c r="F695" s="710" t="s">
        <v>15</v>
      </c>
      <c r="G695" s="1314" t="s">
        <v>118</v>
      </c>
      <c r="H695" s="1315"/>
      <c r="I695" s="1276" t="s">
        <v>539</v>
      </c>
      <c r="J695" s="1277"/>
      <c r="K695" s="1236" t="s">
        <v>285</v>
      </c>
      <c r="L695" s="1237"/>
      <c r="M695" s="112"/>
      <c r="N695" s="54"/>
      <c r="O695" s="344"/>
      <c r="P695" s="334"/>
      <c r="Q695" s="335"/>
      <c r="R695" s="336"/>
      <c r="S695" s="337"/>
    </row>
    <row r="696" spans="1:21" ht="30" customHeight="1" x14ac:dyDescent="0.25">
      <c r="A696" s="365">
        <v>93410</v>
      </c>
      <c r="B696" s="1209" t="s">
        <v>540</v>
      </c>
      <c r="C696" s="1210"/>
      <c r="D696" s="1211"/>
      <c r="E696" s="247">
        <v>8.6999999999999993</v>
      </c>
      <c r="F696" s="365" t="s">
        <v>25</v>
      </c>
      <c r="G696" s="367">
        <v>3</v>
      </c>
      <c r="H696" s="367" t="s">
        <v>541</v>
      </c>
      <c r="I696" s="1183">
        <f>+'2022 MILCON Inflation Table'!F21</f>
        <v>0.94047825952836139</v>
      </c>
      <c r="J696" s="1184"/>
      <c r="K696" s="253">
        <f>+E696/G696*I696</f>
        <v>2.7273869526322478</v>
      </c>
      <c r="L696" s="367" t="s">
        <v>9</v>
      </c>
      <c r="M696" s="111"/>
      <c r="N696" s="54"/>
      <c r="O696" s="344"/>
      <c r="P696" s="334"/>
      <c r="Q696" s="335"/>
      <c r="R696" s="336"/>
      <c r="S696" s="337"/>
    </row>
    <row r="697" spans="1:21" ht="30" customHeight="1" x14ac:dyDescent="0.25">
      <c r="A697" s="365">
        <v>85110</v>
      </c>
      <c r="B697" s="1281" t="s">
        <v>542</v>
      </c>
      <c r="C697" s="1281"/>
      <c r="D697" s="1281"/>
      <c r="E697" s="247">
        <v>13.5</v>
      </c>
      <c r="F697" s="365" t="s">
        <v>9</v>
      </c>
      <c r="G697" s="548"/>
      <c r="H697" s="548"/>
      <c r="I697" s="1183">
        <f>+I696</f>
        <v>0.94047825952836139</v>
      </c>
      <c r="J697" s="1184"/>
      <c r="K697" s="253">
        <f>+E697*I697</f>
        <v>12.696456503632879</v>
      </c>
      <c r="L697" s="367" t="s">
        <v>9</v>
      </c>
      <c r="M697" s="54"/>
      <c r="N697" s="54"/>
      <c r="O697" s="344"/>
      <c r="P697" s="334"/>
      <c r="Q697" s="335"/>
      <c r="R697" s="336"/>
      <c r="S697" s="337"/>
    </row>
    <row r="698" spans="1:21" ht="30" customHeight="1" x14ac:dyDescent="0.25">
      <c r="A698" s="365">
        <v>85110</v>
      </c>
      <c r="B698" s="1209" t="s">
        <v>543</v>
      </c>
      <c r="C698" s="1210"/>
      <c r="D698" s="1211"/>
      <c r="E698" s="247">
        <v>19.600000000000001</v>
      </c>
      <c r="F698" s="365" t="s">
        <v>9</v>
      </c>
      <c r="G698" s="548"/>
      <c r="H698" s="548"/>
      <c r="I698" s="1183">
        <f>+I696</f>
        <v>0.94047825952836139</v>
      </c>
      <c r="J698" s="1184"/>
      <c r="K698" s="253">
        <f>+E698*I698</f>
        <v>18.433373886755884</v>
      </c>
      <c r="L698" s="367" t="s">
        <v>9</v>
      </c>
      <c r="M698" s="54"/>
      <c r="N698" s="54"/>
      <c r="O698" s="336"/>
      <c r="P698" s="334"/>
      <c r="Q698" s="335"/>
      <c r="R698" s="336"/>
      <c r="S698" s="337"/>
    </row>
    <row r="699" spans="1:21" ht="30" customHeight="1" x14ac:dyDescent="0.25">
      <c r="A699" s="365"/>
      <c r="B699" s="345"/>
      <c r="C699" s="562"/>
      <c r="D699" s="562"/>
      <c r="E699" s="153"/>
      <c r="F699" s="711"/>
      <c r="G699" s="644"/>
      <c r="H699" s="712"/>
      <c r="I699" s="713"/>
      <c r="J699" s="713" t="s">
        <v>343</v>
      </c>
      <c r="K699" s="253">
        <f>SUM(K696:K698)</f>
        <v>33.857217343021013</v>
      </c>
      <c r="L699" s="367" t="s">
        <v>9</v>
      </c>
      <c r="M699" s="54"/>
      <c r="N699" s="54"/>
      <c r="O699" s="336"/>
      <c r="P699" s="334"/>
      <c r="Q699" s="335"/>
      <c r="R699" s="336"/>
      <c r="S699" s="337"/>
    </row>
    <row r="700" spans="1:21" ht="30" customHeight="1" x14ac:dyDescent="0.25">
      <c r="A700" s="365"/>
      <c r="B700" s="1281" t="s">
        <v>544</v>
      </c>
      <c r="C700" s="1281"/>
      <c r="D700" s="1281"/>
      <c r="E700" s="714">
        <f>(100*69)/9</f>
        <v>766.66666666666663</v>
      </c>
      <c r="F700" s="365" t="s">
        <v>9</v>
      </c>
      <c r="G700" s="644"/>
      <c r="H700" s="712"/>
      <c r="I700" s="715"/>
      <c r="J700" s="715"/>
      <c r="K700" s="253">
        <f>+K699*E700</f>
        <v>25957.199962982777</v>
      </c>
      <c r="L700" s="367" t="s">
        <v>76</v>
      </c>
      <c r="M700" s="54"/>
      <c r="N700" s="54"/>
      <c r="O700" s="336"/>
      <c r="P700" s="334"/>
      <c r="Q700" s="335"/>
      <c r="R700" s="336"/>
      <c r="S700" s="337"/>
    </row>
    <row r="701" spans="1:21" ht="30" customHeight="1" thickBot="1" x14ac:dyDescent="0.3">
      <c r="A701" s="365"/>
      <c r="B701" s="1279" t="s">
        <v>545</v>
      </c>
      <c r="C701" s="1280"/>
      <c r="D701" s="1280"/>
      <c r="E701" s="1280"/>
      <c r="F701" s="557"/>
      <c r="G701" s="557"/>
      <c r="H701" s="558"/>
      <c r="I701" s="366"/>
      <c r="J701" s="359" t="s">
        <v>72</v>
      </c>
      <c r="K701" s="253">
        <f>+K700</f>
        <v>25957.199962982777</v>
      </c>
      <c r="L701" s="367" t="s">
        <v>76</v>
      </c>
      <c r="M701" s="111"/>
      <c r="N701" s="54"/>
      <c r="T701" s="10"/>
      <c r="U701" s="10"/>
    </row>
    <row r="702" spans="1:21" ht="30" customHeight="1" thickBot="1" x14ac:dyDescent="0.3">
      <c r="A702" s="1180"/>
      <c r="B702" s="1181"/>
      <c r="C702" s="1181"/>
      <c r="D702" s="1181"/>
      <c r="E702" s="1181"/>
      <c r="F702" s="1181"/>
      <c r="G702" s="1181"/>
      <c r="H702" s="1181"/>
      <c r="I702" s="1181"/>
      <c r="J702" s="1181"/>
      <c r="K702" s="1181"/>
      <c r="L702" s="1182"/>
      <c r="M702" s="54"/>
      <c r="N702" s="334"/>
      <c r="T702" s="60"/>
      <c r="U702" s="60"/>
    </row>
    <row r="703" spans="1:21" s="345" customFormat="1" ht="30" customHeight="1" x14ac:dyDescent="0.25">
      <c r="A703" s="327" t="s">
        <v>5</v>
      </c>
      <c r="B703" s="328">
        <v>1495</v>
      </c>
      <c r="C703" s="1251" t="s">
        <v>546</v>
      </c>
      <c r="D703" s="1252"/>
      <c r="E703" s="331" t="s">
        <v>8</v>
      </c>
      <c r="F703" s="332" t="s">
        <v>76</v>
      </c>
      <c r="G703" s="333" t="s">
        <v>7</v>
      </c>
      <c r="H703" s="160">
        <v>1</v>
      </c>
      <c r="I703" s="331" t="s">
        <v>10</v>
      </c>
      <c r="J703" s="1220" t="s">
        <v>376</v>
      </c>
      <c r="K703" s="1220"/>
      <c r="L703" s="1221"/>
      <c r="M703" s="112"/>
      <c r="N703" s="111"/>
      <c r="O703" s="543"/>
      <c r="P703" s="344"/>
    </row>
    <row r="704" spans="1:21" ht="30" customHeight="1" x14ac:dyDescent="0.25">
      <c r="A704" s="359" t="s">
        <v>295</v>
      </c>
      <c r="B704" s="1222" t="s">
        <v>326</v>
      </c>
      <c r="C704" s="1235"/>
      <c r="D704" s="1223"/>
      <c r="E704" s="577" t="s">
        <v>116</v>
      </c>
      <c r="F704" s="577" t="s">
        <v>117</v>
      </c>
      <c r="G704" s="1194" t="s">
        <v>118</v>
      </c>
      <c r="H704" s="1195"/>
      <c r="I704" s="356" t="s">
        <v>296</v>
      </c>
      <c r="J704" s="356"/>
      <c r="K704" s="1236" t="s">
        <v>285</v>
      </c>
      <c r="L704" s="1237"/>
      <c r="M704" s="111"/>
      <c r="N704" s="54"/>
    </row>
    <row r="705" spans="1:35" ht="30" customHeight="1" x14ac:dyDescent="0.25">
      <c r="A705" s="365" t="s">
        <v>535</v>
      </c>
      <c r="B705" s="1209" t="s">
        <v>547</v>
      </c>
      <c r="C705" s="1210"/>
      <c r="D705" s="1211"/>
      <c r="E705" s="716">
        <v>33.5</v>
      </c>
      <c r="F705" s="396" t="s">
        <v>25</v>
      </c>
      <c r="G705" s="689">
        <v>177</v>
      </c>
      <c r="H705" s="690" t="s">
        <v>548</v>
      </c>
      <c r="I705" s="365">
        <v>1.1200000000000001</v>
      </c>
      <c r="J705" s="365"/>
      <c r="K705" s="717">
        <f>+E705*G705*I705</f>
        <v>6641.0400000000009</v>
      </c>
      <c r="L705" s="396" t="s">
        <v>76</v>
      </c>
      <c r="M705" s="54"/>
      <c r="N705" s="54"/>
    </row>
    <row r="706" spans="1:35" s="720" customFormat="1" ht="30" customHeight="1" x14ac:dyDescent="0.25">
      <c r="A706" s="365" t="s">
        <v>535</v>
      </c>
      <c r="B706" s="1214" t="s">
        <v>549</v>
      </c>
      <c r="C706" s="1215"/>
      <c r="D706" s="1216"/>
      <c r="E706" s="716">
        <v>13.1</v>
      </c>
      <c r="F706" s="396" t="s">
        <v>25</v>
      </c>
      <c r="G706" s="689">
        <v>177</v>
      </c>
      <c r="H706" s="690" t="s">
        <v>548</v>
      </c>
      <c r="I706" s="365">
        <v>1.1200000000000001</v>
      </c>
      <c r="J706" s="365"/>
      <c r="K706" s="717">
        <f>+E706*G706*I706</f>
        <v>2596.944</v>
      </c>
      <c r="L706" s="396" t="s">
        <v>76</v>
      </c>
      <c r="M706" s="54"/>
      <c r="N706" s="718"/>
      <c r="O706" s="718"/>
      <c r="P706" s="718"/>
      <c r="Q706" s="718"/>
      <c r="R706" s="718"/>
      <c r="S706" s="718"/>
      <c r="T706" s="718"/>
      <c r="U706" s="718"/>
      <c r="V706" s="718"/>
      <c r="W706" s="719"/>
      <c r="X706" s="719"/>
      <c r="Y706" s="719"/>
      <c r="Z706" s="719"/>
      <c r="AA706" s="719"/>
      <c r="AB706" s="719"/>
      <c r="AC706" s="719"/>
      <c r="AD706" s="719"/>
      <c r="AE706" s="719"/>
      <c r="AF706" s="719"/>
      <c r="AG706" s="719"/>
      <c r="AH706" s="719"/>
      <c r="AI706" s="719"/>
    </row>
    <row r="707" spans="1:35" s="345" customFormat="1" ht="30" customHeight="1" x14ac:dyDescent="0.25">
      <c r="A707" s="365" t="s">
        <v>535</v>
      </c>
      <c r="B707" s="1214" t="s">
        <v>550</v>
      </c>
      <c r="C707" s="1215"/>
      <c r="D707" s="1216"/>
      <c r="E707" s="7">
        <f>+(92+279)/2</f>
        <v>185.5</v>
      </c>
      <c r="F707" s="396" t="s">
        <v>9</v>
      </c>
      <c r="G707" s="689">
        <v>133</v>
      </c>
      <c r="H707" s="690" t="s">
        <v>551</v>
      </c>
      <c r="I707" s="365">
        <v>1.1200000000000001</v>
      </c>
      <c r="J707" s="365"/>
      <c r="K707" s="717">
        <f>+E707*G707*I707</f>
        <v>27632.080000000002</v>
      </c>
      <c r="L707" s="396" t="s">
        <v>76</v>
      </c>
      <c r="M707" s="54"/>
      <c r="N707" s="54"/>
      <c r="O707" s="543"/>
      <c r="P707" s="344"/>
    </row>
    <row r="708" spans="1:35" s="345" customFormat="1" ht="30" customHeight="1" x14ac:dyDescent="0.25">
      <c r="A708" s="365" t="s">
        <v>535</v>
      </c>
      <c r="B708" s="366" t="s">
        <v>552</v>
      </c>
      <c r="C708" s="658"/>
      <c r="D708" s="659"/>
      <c r="E708" s="7">
        <f>+(0.69+5.12)/2</f>
        <v>2.9050000000000002</v>
      </c>
      <c r="F708" s="396" t="s">
        <v>9</v>
      </c>
      <c r="G708" s="689">
        <v>133</v>
      </c>
      <c r="H708" s="690" t="s">
        <v>551</v>
      </c>
      <c r="I708" s="365">
        <v>1.1200000000000001</v>
      </c>
      <c r="J708" s="365"/>
      <c r="K708" s="717">
        <f>+E708*G708*I708</f>
        <v>432.72880000000004</v>
      </c>
      <c r="L708" s="396" t="s">
        <v>76</v>
      </c>
      <c r="M708" s="54"/>
      <c r="N708" s="54"/>
      <c r="O708" s="543"/>
      <c r="P708" s="344"/>
    </row>
    <row r="709" spans="1:35" s="345" customFormat="1" ht="30" customHeight="1" x14ac:dyDescent="0.25">
      <c r="A709" s="365"/>
      <c r="B709" s="1281" t="s">
        <v>553</v>
      </c>
      <c r="C709" s="1281"/>
      <c r="D709" s="1281"/>
      <c r="E709" s="721"/>
      <c r="F709" s="396"/>
      <c r="G709" s="689"/>
      <c r="H709" s="690"/>
      <c r="I709" s="365"/>
      <c r="J709" s="365"/>
      <c r="K709" s="717"/>
      <c r="L709" s="396"/>
      <c r="M709" s="111"/>
      <c r="N709" s="111"/>
      <c r="O709" s="543"/>
      <c r="P709" s="344"/>
    </row>
    <row r="710" spans="1:35" ht="30" customHeight="1" x14ac:dyDescent="0.25">
      <c r="A710" s="366"/>
      <c r="B710" s="722"/>
      <c r="C710" s="723"/>
      <c r="D710" s="723"/>
      <c r="E710" s="254"/>
      <c r="F710" s="365"/>
      <c r="G710" s="365"/>
      <c r="H710" s="365"/>
      <c r="I710" s="365"/>
      <c r="J710" s="365" t="s">
        <v>408</v>
      </c>
      <c r="K710" s="255">
        <f>SUM(K705:K709)</f>
        <v>37302.792799999996</v>
      </c>
      <c r="L710" s="365" t="s">
        <v>76</v>
      </c>
      <c r="M710" s="54"/>
      <c r="N710" s="54"/>
    </row>
    <row r="711" spans="1:35" ht="30" customHeight="1" x14ac:dyDescent="0.25">
      <c r="A711" s="365"/>
      <c r="B711" s="578"/>
      <c r="C711" s="578"/>
      <c r="D711" s="578"/>
      <c r="E711" s="247"/>
      <c r="F711" s="1272" t="s">
        <v>303</v>
      </c>
      <c r="G711" s="1283" t="s">
        <v>304</v>
      </c>
      <c r="H711" s="1283"/>
      <c r="I711" s="1283"/>
      <c r="J711" s="1283"/>
      <c r="K711" s="251">
        <v>1.06</v>
      </c>
      <c r="L711" s="365"/>
      <c r="M711" s="54"/>
      <c r="N711" s="54"/>
      <c r="P711" s="334"/>
    </row>
    <row r="712" spans="1:35" ht="30" customHeight="1" x14ac:dyDescent="0.25">
      <c r="A712" s="365"/>
      <c r="B712" s="578"/>
      <c r="C712" s="578"/>
      <c r="D712" s="578"/>
      <c r="E712" s="247"/>
      <c r="F712" s="1273"/>
      <c r="G712" s="1284" t="s">
        <v>305</v>
      </c>
      <c r="H712" s="1284"/>
      <c r="I712" s="1284"/>
      <c r="J712" s="1284"/>
      <c r="K712" s="250">
        <v>1.06</v>
      </c>
      <c r="L712" s="365"/>
      <c r="M712" s="54"/>
      <c r="N712" s="54"/>
      <c r="P712" s="334"/>
    </row>
    <row r="713" spans="1:35" ht="30" customHeight="1" x14ac:dyDescent="0.25">
      <c r="A713" s="366"/>
      <c r="B713" s="365"/>
      <c r="C713" s="366"/>
      <c r="D713" s="366"/>
      <c r="E713" s="366"/>
      <c r="F713" s="366"/>
      <c r="G713" s="366"/>
      <c r="H713" s="366"/>
      <c r="I713" s="366"/>
      <c r="J713" s="365" t="s">
        <v>72</v>
      </c>
      <c r="K713" s="256">
        <f>+K710*K711/K712</f>
        <v>37302.792799999996</v>
      </c>
      <c r="L713" s="365" t="s">
        <v>76</v>
      </c>
      <c r="M713" s="54"/>
      <c r="N713" s="54"/>
    </row>
    <row r="714" spans="1:35" ht="30" customHeight="1" x14ac:dyDescent="0.25">
      <c r="A714" s="366"/>
      <c r="B714" s="365"/>
      <c r="C714" s="366"/>
      <c r="D714" s="366"/>
      <c r="E714" s="366"/>
      <c r="F714" s="366"/>
      <c r="G714" s="398" t="s">
        <v>414</v>
      </c>
      <c r="H714" s="366"/>
      <c r="I714" s="366"/>
      <c r="J714" s="521">
        <f>VLOOKUP(B703,'Mil Cost Premiums for PUCs'!$A$4:$R$277,18,FALSE)</f>
        <v>1.0209999999999999</v>
      </c>
      <c r="K714" s="256">
        <f>+K713*J714</f>
        <v>38086.151448799996</v>
      </c>
      <c r="L714" s="365" t="s">
        <v>76</v>
      </c>
      <c r="M714" s="54"/>
      <c r="N714" s="54"/>
      <c r="P714" s="334"/>
    </row>
    <row r="715" spans="1:35" ht="60" customHeight="1" x14ac:dyDescent="0.25">
      <c r="A715" s="1209" t="s">
        <v>307</v>
      </c>
      <c r="B715" s="1210"/>
      <c r="C715" s="1210"/>
      <c r="D715" s="1210"/>
      <c r="E715" s="1210"/>
      <c r="F715" s="1210"/>
      <c r="G715" s="1210"/>
      <c r="H715" s="1210"/>
      <c r="I715" s="1210"/>
      <c r="J715" s="1210"/>
      <c r="K715" s="1210"/>
      <c r="L715" s="1211"/>
      <c r="M715" s="54"/>
      <c r="N715" s="54"/>
      <c r="P715" s="334"/>
    </row>
    <row r="716" spans="1:35" ht="45" customHeight="1" x14ac:dyDescent="0.25">
      <c r="A716" s="1227" t="s">
        <v>308</v>
      </c>
      <c r="B716" s="1228"/>
      <c r="C716" s="1228"/>
      <c r="D716" s="1230" t="s">
        <v>554</v>
      </c>
      <c r="E716" s="1231"/>
      <c r="F716" s="1231"/>
      <c r="G716" s="1231"/>
      <c r="H716" s="1231"/>
      <c r="I716" s="1231"/>
      <c r="J716" s="1231"/>
      <c r="K716" s="1231"/>
      <c r="L716" s="1232"/>
      <c r="M716" s="54"/>
      <c r="N716" s="54"/>
      <c r="P716" s="334"/>
    </row>
    <row r="717" spans="1:35" ht="30" customHeight="1" x14ac:dyDescent="0.25">
      <c r="A717" s="1227" t="s">
        <v>310</v>
      </c>
      <c r="B717" s="1228"/>
      <c r="C717" s="1228"/>
      <c r="D717" s="1256" t="s">
        <v>555</v>
      </c>
      <c r="E717" s="1257"/>
      <c r="F717" s="1257"/>
      <c r="G717" s="1257"/>
      <c r="H717" s="1257"/>
      <c r="I717" s="1257"/>
      <c r="J717" s="1257"/>
      <c r="K717" s="1257"/>
      <c r="L717" s="1258"/>
      <c r="M717" s="334"/>
      <c r="N717" s="111"/>
      <c r="P717" s="334"/>
    </row>
    <row r="718" spans="1:35" ht="30" customHeight="1" x14ac:dyDescent="0.25">
      <c r="A718" s="1227" t="s">
        <v>312</v>
      </c>
      <c r="B718" s="1228"/>
      <c r="C718" s="1228"/>
      <c r="D718" s="1256" t="s">
        <v>556</v>
      </c>
      <c r="E718" s="1257"/>
      <c r="F718" s="1257"/>
      <c r="G718" s="1257"/>
      <c r="H718" s="1257"/>
      <c r="I718" s="1257"/>
      <c r="J718" s="1257"/>
      <c r="K718" s="1257"/>
      <c r="L718" s="1258"/>
      <c r="M718" s="111"/>
      <c r="N718" s="54"/>
      <c r="P718" s="334"/>
    </row>
    <row r="719" spans="1:35" ht="30" customHeight="1" x14ac:dyDescent="0.25">
      <c r="A719" s="1227" t="s">
        <v>314</v>
      </c>
      <c r="B719" s="1228"/>
      <c r="C719" s="1228"/>
      <c r="D719" s="1256" t="s">
        <v>557</v>
      </c>
      <c r="E719" s="1257"/>
      <c r="F719" s="1257"/>
      <c r="G719" s="1257"/>
      <c r="H719" s="1257"/>
      <c r="I719" s="1257"/>
      <c r="J719" s="1257"/>
      <c r="K719" s="1257"/>
      <c r="L719" s="1258"/>
      <c r="M719" s="54"/>
      <c r="N719" s="54"/>
      <c r="P719" s="334"/>
    </row>
    <row r="720" spans="1:35" ht="30" customHeight="1" x14ac:dyDescent="0.25">
      <c r="A720" s="1227" t="s">
        <v>316</v>
      </c>
      <c r="B720" s="1228"/>
      <c r="C720" s="1228"/>
      <c r="D720" s="1256" t="s">
        <v>317</v>
      </c>
      <c r="E720" s="1257"/>
      <c r="F720" s="1257"/>
      <c r="G720" s="1257"/>
      <c r="H720" s="1257"/>
      <c r="I720" s="1257"/>
      <c r="J720" s="1257"/>
      <c r="K720" s="1257"/>
      <c r="L720" s="1258"/>
      <c r="M720" s="54"/>
      <c r="N720" s="54"/>
      <c r="P720" s="334"/>
    </row>
    <row r="721" spans="1:19" ht="30" customHeight="1" x14ac:dyDescent="0.25">
      <c r="A721" s="1227" t="s">
        <v>318</v>
      </c>
      <c r="B721" s="1228"/>
      <c r="C721" s="1228"/>
      <c r="D721" s="1256" t="s">
        <v>319</v>
      </c>
      <c r="E721" s="1257"/>
      <c r="F721" s="1257"/>
      <c r="G721" s="1257"/>
      <c r="H721" s="1257"/>
      <c r="I721" s="1257"/>
      <c r="J721" s="1257"/>
      <c r="K721" s="1257"/>
      <c r="L721" s="1258"/>
      <c r="M721" s="718"/>
      <c r="N721" s="54"/>
      <c r="P721" s="334"/>
    </row>
    <row r="722" spans="1:19" ht="30" customHeight="1" x14ac:dyDescent="0.25">
      <c r="A722" s="1227" t="s">
        <v>320</v>
      </c>
      <c r="B722" s="1228"/>
      <c r="C722" s="1228"/>
      <c r="D722" s="1256" t="s">
        <v>558</v>
      </c>
      <c r="E722" s="1257"/>
      <c r="F722" s="1257"/>
      <c r="G722" s="1257"/>
      <c r="H722" s="1257"/>
      <c r="I722" s="1257"/>
      <c r="J722" s="1257"/>
      <c r="K722" s="1257"/>
      <c r="L722" s="1258"/>
      <c r="M722" s="54"/>
      <c r="N722" s="54"/>
      <c r="P722" s="334"/>
    </row>
    <row r="723" spans="1:19" ht="75" customHeight="1" x14ac:dyDescent="0.25">
      <c r="A723" s="1227" t="s">
        <v>559</v>
      </c>
      <c r="B723" s="1228"/>
      <c r="C723" s="1228"/>
      <c r="D723" s="1206" t="s">
        <v>422</v>
      </c>
      <c r="E723" s="1207"/>
      <c r="F723" s="1207"/>
      <c r="G723" s="1207"/>
      <c r="H723" s="1207"/>
      <c r="I723" s="1207"/>
      <c r="J723" s="1207"/>
      <c r="K723" s="1207"/>
      <c r="L723" s="1208"/>
      <c r="M723" s="111"/>
      <c r="N723" s="54"/>
      <c r="P723" s="334"/>
    </row>
    <row r="724" spans="1:19" ht="60" customHeight="1" thickBot="1" x14ac:dyDescent="0.3">
      <c r="A724" s="1256" t="s">
        <v>350</v>
      </c>
      <c r="B724" s="1257"/>
      <c r="C724" s="1258"/>
      <c r="D724" s="1291" t="s">
        <v>3398</v>
      </c>
      <c r="E724" s="1292"/>
      <c r="F724" s="1292"/>
      <c r="G724" s="1292"/>
      <c r="H724" s="1292"/>
      <c r="I724" s="1292"/>
      <c r="J724" s="1292"/>
      <c r="K724" s="1292"/>
      <c r="L724" s="1293"/>
      <c r="M724" s="111"/>
      <c r="N724" s="54"/>
      <c r="P724" s="334"/>
    </row>
    <row r="725" spans="1:19" ht="30" customHeight="1" thickBot="1" x14ac:dyDescent="0.3">
      <c r="A725" s="1180"/>
      <c r="B725" s="1181"/>
      <c r="C725" s="1181"/>
      <c r="D725" s="1181"/>
      <c r="E725" s="1181"/>
      <c r="F725" s="1181"/>
      <c r="G725" s="1181"/>
      <c r="H725" s="1181"/>
      <c r="I725" s="1181"/>
      <c r="J725" s="1181"/>
      <c r="K725" s="1181"/>
      <c r="L725" s="1182"/>
      <c r="M725" s="54"/>
      <c r="N725" s="54"/>
      <c r="P725" s="334"/>
    </row>
    <row r="726" spans="1:19" ht="30" customHeight="1" x14ac:dyDescent="0.25">
      <c r="A726" s="327" t="s">
        <v>5</v>
      </c>
      <c r="B726" s="328">
        <v>1496</v>
      </c>
      <c r="C726" s="1218" t="s">
        <v>560</v>
      </c>
      <c r="D726" s="1219"/>
      <c r="E726" s="331" t="s">
        <v>8</v>
      </c>
      <c r="F726" s="332" t="s">
        <v>205</v>
      </c>
      <c r="G726" s="342" t="s">
        <v>74</v>
      </c>
      <c r="H726" s="653">
        <v>54909</v>
      </c>
      <c r="I726" s="331" t="s">
        <v>10</v>
      </c>
      <c r="J726" s="1220" t="s">
        <v>3392</v>
      </c>
      <c r="K726" s="1220"/>
      <c r="L726" s="1221"/>
      <c r="M726" s="111"/>
      <c r="N726" s="54"/>
      <c r="P726" s="334"/>
    </row>
    <row r="727" spans="1:19" ht="30" customHeight="1" x14ac:dyDescent="0.25">
      <c r="A727" s="356" t="s">
        <v>282</v>
      </c>
      <c r="B727" s="1163" t="s">
        <v>13</v>
      </c>
      <c r="C727" s="1163"/>
      <c r="D727" s="1163"/>
      <c r="E727" s="357" t="s">
        <v>283</v>
      </c>
      <c r="F727" s="546" t="s">
        <v>116</v>
      </c>
      <c r="G727" s="1314" t="s">
        <v>118</v>
      </c>
      <c r="H727" s="1315"/>
      <c r="I727" s="1276" t="s">
        <v>284</v>
      </c>
      <c r="J727" s="1277"/>
      <c r="K727" s="1236" t="s">
        <v>285</v>
      </c>
      <c r="L727" s="1237"/>
      <c r="M727" s="54"/>
      <c r="N727" s="54"/>
      <c r="P727" s="334"/>
    </row>
    <row r="728" spans="1:19" ht="30" customHeight="1" x14ac:dyDescent="0.25">
      <c r="A728" s="365">
        <v>14962</v>
      </c>
      <c r="B728" s="1214" t="s">
        <v>561</v>
      </c>
      <c r="C728" s="1215"/>
      <c r="D728" s="1216"/>
      <c r="E728" s="724" t="s">
        <v>562</v>
      </c>
      <c r="F728" s="724">
        <v>6777000</v>
      </c>
      <c r="G728" s="725">
        <v>54909</v>
      </c>
      <c r="H728" s="726" t="s">
        <v>563</v>
      </c>
      <c r="I728" s="1183">
        <f>+'2022 MILCON Inflation Table'!F15</f>
        <v>1.1446122264727614</v>
      </c>
      <c r="J728" s="1184"/>
      <c r="K728" s="253">
        <f>+F728/G728*I728</f>
        <v>141.27077635371077</v>
      </c>
      <c r="L728" s="365" t="s">
        <v>205</v>
      </c>
      <c r="M728" s="54"/>
      <c r="N728" s="54"/>
      <c r="P728" s="334"/>
    </row>
    <row r="729" spans="1:19" ht="30" customHeight="1" thickBot="1" x14ac:dyDescent="0.3">
      <c r="A729" s="365"/>
      <c r="B729" s="1281"/>
      <c r="C729" s="1281"/>
      <c r="D729" s="1281"/>
      <c r="E729" s="646"/>
      <c r="F729" s="647"/>
      <c r="G729" s="647"/>
      <c r="H729" s="648"/>
      <c r="I729" s="366"/>
      <c r="J729" s="359" t="s">
        <v>72</v>
      </c>
      <c r="K729" s="253">
        <f>+K728</f>
        <v>141.27077635371077</v>
      </c>
      <c r="L729" s="365" t="s">
        <v>205</v>
      </c>
      <c r="M729" s="54"/>
      <c r="N729" s="54"/>
      <c r="P729" s="334"/>
    </row>
    <row r="730" spans="1:19" ht="30" customHeight="1" thickBot="1" x14ac:dyDescent="0.3">
      <c r="A730" s="1180"/>
      <c r="B730" s="1181"/>
      <c r="C730" s="1181"/>
      <c r="D730" s="1181"/>
      <c r="E730" s="1181"/>
      <c r="F730" s="1181"/>
      <c r="G730" s="1181"/>
      <c r="H730" s="1181"/>
      <c r="I730" s="1181"/>
      <c r="J730" s="1181"/>
      <c r="K730" s="1181"/>
      <c r="L730" s="1182"/>
      <c r="M730" s="54"/>
      <c r="N730" s="54"/>
      <c r="P730" s="334"/>
    </row>
    <row r="731" spans="1:19" ht="30" customHeight="1" x14ac:dyDescent="0.25">
      <c r="A731" s="327" t="s">
        <v>5</v>
      </c>
      <c r="B731" s="328">
        <v>1498</v>
      </c>
      <c r="C731" s="1218" t="s">
        <v>564</v>
      </c>
      <c r="D731" s="1219"/>
      <c r="E731" s="331" t="s">
        <v>8</v>
      </c>
      <c r="F731" s="332" t="s">
        <v>205</v>
      </c>
      <c r="G731" s="342" t="s">
        <v>74</v>
      </c>
      <c r="H731" s="160">
        <v>351</v>
      </c>
      <c r="I731" s="331" t="s">
        <v>10</v>
      </c>
      <c r="J731" s="1220" t="s">
        <v>382</v>
      </c>
      <c r="K731" s="1220"/>
      <c r="L731" s="1221"/>
      <c r="M731" s="111"/>
      <c r="N731" s="54"/>
      <c r="P731" s="334"/>
    </row>
    <row r="732" spans="1:19" ht="30" customHeight="1" x14ac:dyDescent="0.25">
      <c r="A732" s="356" t="s">
        <v>282</v>
      </c>
      <c r="B732" s="1163" t="s">
        <v>13</v>
      </c>
      <c r="C732" s="1163"/>
      <c r="D732" s="1163"/>
      <c r="E732" s="546" t="s">
        <v>116</v>
      </c>
      <c r="F732" s="357" t="s">
        <v>283</v>
      </c>
      <c r="G732" s="1314" t="s">
        <v>118</v>
      </c>
      <c r="H732" s="1315"/>
      <c r="I732" s="1276" t="s">
        <v>284</v>
      </c>
      <c r="J732" s="1277"/>
      <c r="K732" s="1236" t="s">
        <v>285</v>
      </c>
      <c r="L732" s="1237"/>
      <c r="M732" s="111"/>
      <c r="N732" s="54"/>
      <c r="P732" s="334"/>
    </row>
    <row r="733" spans="1:19" ht="30" customHeight="1" x14ac:dyDescent="0.25">
      <c r="A733" s="365">
        <v>14113</v>
      </c>
      <c r="B733" s="1214" t="s">
        <v>565</v>
      </c>
      <c r="C733" s="1215"/>
      <c r="D733" s="1216"/>
      <c r="E733" s="247">
        <v>544</v>
      </c>
      <c r="F733" s="365">
        <v>660</v>
      </c>
      <c r="G733" s="365"/>
      <c r="H733" s="365"/>
      <c r="I733" s="1183">
        <f>+'2022 MILCON Inflation Table'!F21</f>
        <v>0.94047825952836139</v>
      </c>
      <c r="J733" s="1184"/>
      <c r="K733" s="253">
        <f>+E733*I733</f>
        <v>511.62017318342862</v>
      </c>
      <c r="L733" s="365" t="s">
        <v>205</v>
      </c>
      <c r="M733" s="54"/>
      <c r="N733" s="54"/>
      <c r="O733" s="336"/>
      <c r="P733" s="334"/>
      <c r="Q733" s="335"/>
      <c r="R733" s="336"/>
      <c r="S733" s="337"/>
    </row>
    <row r="734" spans="1:19" ht="30" customHeight="1" x14ac:dyDescent="0.25">
      <c r="A734" s="365">
        <v>14113</v>
      </c>
      <c r="B734" s="1269" t="s">
        <v>566</v>
      </c>
      <c r="C734" s="1269"/>
      <c r="D734" s="1269"/>
      <c r="E734" s="247">
        <v>766</v>
      </c>
      <c r="F734" s="365">
        <v>933</v>
      </c>
      <c r="G734" s="687"/>
      <c r="H734" s="687"/>
      <c r="I734" s="1183">
        <f>+I733</f>
        <v>0.94047825952836139</v>
      </c>
      <c r="J734" s="1184"/>
      <c r="K734" s="253">
        <f>+E734*I734</f>
        <v>720.40634679872483</v>
      </c>
      <c r="L734" s="365" t="s">
        <v>205</v>
      </c>
      <c r="M734" s="54"/>
      <c r="N734" s="54"/>
      <c r="O734" s="336"/>
      <c r="P734" s="334"/>
      <c r="Q734" s="335"/>
      <c r="R734" s="336"/>
      <c r="S734" s="337"/>
    </row>
    <row r="735" spans="1:19" ht="30" customHeight="1" x14ac:dyDescent="0.25">
      <c r="A735" s="365">
        <v>14113</v>
      </c>
      <c r="B735" s="1214" t="s">
        <v>567</v>
      </c>
      <c r="C735" s="1215"/>
      <c r="D735" s="1216"/>
      <c r="E735" s="247">
        <v>1861</v>
      </c>
      <c r="F735" s="365">
        <v>149</v>
      </c>
      <c r="G735" s="687"/>
      <c r="H735" s="687"/>
      <c r="I735" s="1183">
        <f>+I733</f>
        <v>0.94047825952836139</v>
      </c>
      <c r="J735" s="1184"/>
      <c r="K735" s="253">
        <f>+E735*I735</f>
        <v>1750.2300409822806</v>
      </c>
      <c r="L735" s="365" t="s">
        <v>205</v>
      </c>
      <c r="M735" s="54"/>
      <c r="N735" s="54"/>
      <c r="O735" s="336"/>
      <c r="P735" s="334"/>
      <c r="Q735" s="335"/>
      <c r="R735" s="336"/>
      <c r="S735" s="337"/>
    </row>
    <row r="736" spans="1:19" ht="30" customHeight="1" x14ac:dyDescent="0.25">
      <c r="A736" s="365">
        <v>14113</v>
      </c>
      <c r="B736" s="1214" t="s">
        <v>568</v>
      </c>
      <c r="C736" s="1215"/>
      <c r="D736" s="1215"/>
      <c r="E736" s="247">
        <v>427</v>
      </c>
      <c r="F736" s="727">
        <v>2960</v>
      </c>
      <c r="G736" s="687"/>
      <c r="H736" s="687"/>
      <c r="I736" s="1183">
        <f>+I733</f>
        <v>0.94047825952836139</v>
      </c>
      <c r="J736" s="1184"/>
      <c r="K736" s="253">
        <f>+E736*I736</f>
        <v>401.58421681861029</v>
      </c>
      <c r="L736" s="365" t="s">
        <v>205</v>
      </c>
      <c r="M736" s="54"/>
      <c r="N736" s="54"/>
      <c r="O736" s="336"/>
      <c r="P736" s="334"/>
      <c r="Q736" s="335"/>
      <c r="R736" s="336"/>
      <c r="S736" s="337"/>
    </row>
    <row r="737" spans="1:21" ht="30" customHeight="1" thickBot="1" x14ac:dyDescent="0.3">
      <c r="A737" s="365"/>
      <c r="B737" s="338"/>
      <c r="C737" s="333"/>
      <c r="D737" s="333"/>
      <c r="E737" s="333"/>
      <c r="F737" s="728"/>
      <c r="G737" s="333"/>
      <c r="H737" s="729" t="s">
        <v>300</v>
      </c>
      <c r="I737" s="366"/>
      <c r="J737" s="359" t="s">
        <v>72</v>
      </c>
      <c r="K737" s="243">
        <f>AVERAGE(K733:K736)</f>
        <v>845.96019444576109</v>
      </c>
      <c r="L737" s="365" t="s">
        <v>205</v>
      </c>
      <c r="M737" s="54"/>
      <c r="N737" s="54"/>
      <c r="O737" s="336"/>
      <c r="P737" s="334"/>
      <c r="Q737" s="335"/>
      <c r="R737" s="336"/>
      <c r="S737" s="337"/>
    </row>
    <row r="738" spans="1:21" ht="30" customHeight="1" thickBot="1" x14ac:dyDescent="0.3">
      <c r="A738" s="1180"/>
      <c r="B738" s="1181"/>
      <c r="C738" s="1181"/>
      <c r="D738" s="1181"/>
      <c r="E738" s="1181"/>
      <c r="F738" s="1181"/>
      <c r="G738" s="1181"/>
      <c r="H738" s="1181"/>
      <c r="I738" s="1181"/>
      <c r="J738" s="1181"/>
      <c r="K738" s="1181"/>
      <c r="L738" s="1182"/>
      <c r="M738" s="111"/>
      <c r="N738" s="54"/>
      <c r="O738" s="336"/>
      <c r="P738" s="334"/>
      <c r="Q738" s="335"/>
      <c r="R738" s="336"/>
      <c r="S738" s="337"/>
    </row>
    <row r="739" spans="1:21" ht="30" customHeight="1" x14ac:dyDescent="0.25">
      <c r="A739" s="327" t="s">
        <v>5</v>
      </c>
      <c r="B739" s="328">
        <v>1499</v>
      </c>
      <c r="C739" s="1218" t="s">
        <v>569</v>
      </c>
      <c r="D739" s="1219"/>
      <c r="E739" s="331" t="s">
        <v>8</v>
      </c>
      <c r="F739" s="332" t="s">
        <v>76</v>
      </c>
      <c r="G739" s="333" t="s">
        <v>7</v>
      </c>
      <c r="H739" s="160">
        <v>1</v>
      </c>
      <c r="I739" s="331" t="s">
        <v>10</v>
      </c>
      <c r="J739" s="1220" t="s">
        <v>382</v>
      </c>
      <c r="K739" s="1220"/>
      <c r="L739" s="1221"/>
      <c r="M739" s="111"/>
      <c r="N739" s="54"/>
      <c r="T739" s="10"/>
      <c r="U739" s="10"/>
    </row>
    <row r="740" spans="1:21" ht="30" customHeight="1" x14ac:dyDescent="0.25">
      <c r="A740" s="356" t="s">
        <v>570</v>
      </c>
      <c r="B740" s="1163" t="s">
        <v>13</v>
      </c>
      <c r="C740" s="1163"/>
      <c r="D740" s="1163"/>
      <c r="E740" s="356" t="s">
        <v>116</v>
      </c>
      <c r="F740" s="356" t="s">
        <v>117</v>
      </c>
      <c r="G740" s="1194" t="s">
        <v>118</v>
      </c>
      <c r="H740" s="1195"/>
      <c r="I740" s="1276" t="s">
        <v>284</v>
      </c>
      <c r="J740" s="1277"/>
      <c r="K740" s="1236" t="s">
        <v>285</v>
      </c>
      <c r="L740" s="1237"/>
      <c r="M740" s="54"/>
      <c r="N740" s="54"/>
      <c r="T740" s="10"/>
      <c r="U740" s="10"/>
    </row>
    <row r="741" spans="1:21" s="345" customFormat="1" ht="30" customHeight="1" x14ac:dyDescent="0.25">
      <c r="A741" s="365">
        <v>62010</v>
      </c>
      <c r="B741" s="1164" t="s">
        <v>571</v>
      </c>
      <c r="C741" s="1164"/>
      <c r="D741" s="1164"/>
      <c r="E741" s="247">
        <v>235</v>
      </c>
      <c r="F741" s="49" t="s">
        <v>205</v>
      </c>
      <c r="G741" s="365">
        <v>230</v>
      </c>
      <c r="H741" s="730" t="s">
        <v>329</v>
      </c>
      <c r="I741" s="1378">
        <f>+'2022 MILCON Inflation Table'!F8</f>
        <v>1.4916874213561331</v>
      </c>
      <c r="J741" s="1379"/>
      <c r="K741" s="268">
        <f>+E741*G741*I741</f>
        <v>80625.705124298998</v>
      </c>
      <c r="L741" s="365" t="s">
        <v>76</v>
      </c>
      <c r="M741" s="54"/>
      <c r="N741" s="54"/>
      <c r="O741" s="543"/>
      <c r="P741" s="344"/>
    </row>
    <row r="742" spans="1:21" ht="30" customHeight="1" x14ac:dyDescent="0.25">
      <c r="A742" s="365">
        <v>17971</v>
      </c>
      <c r="B742" s="1209" t="s">
        <v>572</v>
      </c>
      <c r="C742" s="1210"/>
      <c r="D742" s="1211"/>
      <c r="E742" s="247">
        <v>279109</v>
      </c>
      <c r="F742" s="257" t="s">
        <v>76</v>
      </c>
      <c r="G742" s="365"/>
      <c r="H742" s="365"/>
      <c r="I742" s="1183">
        <f>+'2022 MILCON Inflation Table'!F21</f>
        <v>0.94047825952836139</v>
      </c>
      <c r="J742" s="1184"/>
      <c r="K742" s="268">
        <f>+E742*I742</f>
        <v>262495.94653870142</v>
      </c>
      <c r="L742" s="365" t="s">
        <v>76</v>
      </c>
      <c r="M742" s="54"/>
      <c r="N742" s="54"/>
      <c r="O742" s="544"/>
    </row>
    <row r="743" spans="1:21" s="345" customFormat="1" ht="30" customHeight="1" thickBot="1" x14ac:dyDescent="0.3">
      <c r="A743" s="375"/>
      <c r="B743" s="1358"/>
      <c r="C743" s="1359"/>
      <c r="D743" s="1359"/>
      <c r="E743" s="1359"/>
      <c r="F743" s="1360"/>
      <c r="G743" s="1653"/>
      <c r="H743" s="1654"/>
      <c r="I743" s="1654"/>
      <c r="J743" s="731" t="s">
        <v>573</v>
      </c>
      <c r="K743" s="373">
        <f>((871/2361)*K741)+((1490/2361)*K742)</f>
        <v>195401.92694024969</v>
      </c>
      <c r="L743" s="369" t="s">
        <v>76</v>
      </c>
      <c r="M743" s="54"/>
      <c r="N743" s="54"/>
      <c r="O743" s="543"/>
      <c r="P743" s="344"/>
    </row>
    <row r="744" spans="1:21" s="345" customFormat="1" ht="45" customHeight="1" thickBot="1" x14ac:dyDescent="0.3">
      <c r="A744" s="1361" t="s">
        <v>3481</v>
      </c>
      <c r="B744" s="1362"/>
      <c r="C744" s="1362"/>
      <c r="D744" s="1362"/>
      <c r="E744" s="1362"/>
      <c r="F744" s="1362"/>
      <c r="G744" s="1362"/>
      <c r="H744" s="1362"/>
      <c r="I744" s="1362"/>
      <c r="J744" s="1362"/>
      <c r="K744" s="1362"/>
      <c r="L744" s="1363"/>
      <c r="M744" s="54"/>
      <c r="N744" s="54"/>
      <c r="O744" s="543"/>
      <c r="P744" s="344"/>
    </row>
    <row r="745" spans="1:21" s="345" customFormat="1" ht="30" customHeight="1" thickBot="1" x14ac:dyDescent="0.3">
      <c r="A745" s="1180"/>
      <c r="B745" s="1181"/>
      <c r="C745" s="1181"/>
      <c r="D745" s="1181"/>
      <c r="E745" s="1181"/>
      <c r="F745" s="1181"/>
      <c r="G745" s="1181"/>
      <c r="H745" s="1181"/>
      <c r="I745" s="1181"/>
      <c r="J745" s="1181"/>
      <c r="K745" s="1181"/>
      <c r="L745" s="1182"/>
      <c r="M745" s="54"/>
      <c r="N745" s="54"/>
      <c r="O745" s="543"/>
      <c r="P745" s="344"/>
    </row>
    <row r="746" spans="1:21" ht="30" customHeight="1" x14ac:dyDescent="0.25">
      <c r="A746" s="327" t="s">
        <v>5</v>
      </c>
      <c r="B746" s="328">
        <v>1511</v>
      </c>
      <c r="C746" s="1251" t="s">
        <v>574</v>
      </c>
      <c r="D746" s="1252"/>
      <c r="E746" s="331" t="s">
        <v>8</v>
      </c>
      <c r="F746" s="332" t="s">
        <v>9</v>
      </c>
      <c r="G746" s="1530" t="s">
        <v>118</v>
      </c>
      <c r="H746" s="1531"/>
      <c r="I746" s="331" t="s">
        <v>10</v>
      </c>
      <c r="J746" s="1220" t="s">
        <v>575</v>
      </c>
      <c r="K746" s="1220"/>
      <c r="L746" s="1221"/>
      <c r="M746" s="111"/>
      <c r="N746" s="54"/>
    </row>
    <row r="747" spans="1:21" ht="30" customHeight="1" x14ac:dyDescent="0.25">
      <c r="A747" s="356"/>
      <c r="B747" s="1163" t="s">
        <v>13</v>
      </c>
      <c r="C747" s="1163"/>
      <c r="D747" s="1163"/>
      <c r="E747" s="356" t="s">
        <v>576</v>
      </c>
      <c r="F747" s="356" t="s">
        <v>15</v>
      </c>
      <c r="G747" s="366"/>
      <c r="H747" s="356"/>
      <c r="I747" s="1276" t="s">
        <v>284</v>
      </c>
      <c r="J747" s="1277"/>
      <c r="K747" s="1236" t="s">
        <v>285</v>
      </c>
      <c r="L747" s="1237"/>
      <c r="M747" s="54"/>
      <c r="N747" s="54"/>
    </row>
    <row r="748" spans="1:21" ht="30" customHeight="1" x14ac:dyDescent="0.25">
      <c r="A748" s="360"/>
      <c r="B748" s="1164" t="s">
        <v>574</v>
      </c>
      <c r="C748" s="1164"/>
      <c r="D748" s="1164"/>
      <c r="E748" s="363">
        <v>2819.18</v>
      </c>
      <c r="F748" s="360" t="s">
        <v>9</v>
      </c>
      <c r="G748" s="366"/>
      <c r="H748" s="732"/>
      <c r="I748" s="1302">
        <f>+'2022 MILCON Inflation Table'!F5</f>
        <v>1.4141304745204335</v>
      </c>
      <c r="J748" s="1303"/>
      <c r="K748" s="363">
        <f>+E748*I748</f>
        <v>3986.6883511585156</v>
      </c>
      <c r="L748" s="360" t="s">
        <v>9</v>
      </c>
      <c r="M748" s="54"/>
      <c r="N748" s="54"/>
      <c r="O748" s="336"/>
      <c r="P748" s="334"/>
      <c r="Q748" s="335"/>
      <c r="R748" s="336"/>
      <c r="S748" s="337"/>
    </row>
    <row r="749" spans="1:21" ht="30" customHeight="1" x14ac:dyDescent="0.25">
      <c r="A749" s="365"/>
      <c r="B749" s="1281"/>
      <c r="C749" s="1281"/>
      <c r="D749" s="1281"/>
      <c r="E749" s="1209" t="s">
        <v>577</v>
      </c>
      <c r="F749" s="1210"/>
      <c r="G749" s="1210"/>
      <c r="H749" s="1211"/>
      <c r="I749" s="366"/>
      <c r="J749" s="359" t="s">
        <v>72</v>
      </c>
      <c r="K749" s="243">
        <f>+K748</f>
        <v>3986.6883511585156</v>
      </c>
      <c r="L749" s="365" t="s">
        <v>9</v>
      </c>
      <c r="M749" s="54"/>
      <c r="N749" s="54"/>
      <c r="O749" s="336"/>
      <c r="P749" s="334"/>
      <c r="Q749" s="335"/>
      <c r="R749" s="336"/>
      <c r="S749" s="337"/>
    </row>
    <row r="750" spans="1:21" ht="105" customHeight="1" thickBot="1" x14ac:dyDescent="0.3">
      <c r="A750" s="1352" t="s">
        <v>578</v>
      </c>
      <c r="B750" s="1353"/>
      <c r="C750" s="1353"/>
      <c r="D750" s="1353"/>
      <c r="E750" s="1353"/>
      <c r="F750" s="1353"/>
      <c r="G750" s="1353"/>
      <c r="H750" s="1353"/>
      <c r="I750" s="1353"/>
      <c r="J750" s="1353"/>
      <c r="K750" s="1353"/>
      <c r="L750" s="1354"/>
      <c r="M750" s="54"/>
      <c r="N750" s="54"/>
      <c r="O750" s="336"/>
      <c r="P750" s="334"/>
      <c r="Q750" s="335"/>
      <c r="R750" s="336"/>
      <c r="S750" s="337"/>
    </row>
    <row r="751" spans="1:21" ht="30" customHeight="1" thickBot="1" x14ac:dyDescent="0.3">
      <c r="A751" s="1180"/>
      <c r="B751" s="1181"/>
      <c r="C751" s="1181"/>
      <c r="D751" s="1181"/>
      <c r="E751" s="1181"/>
      <c r="F751" s="1181"/>
      <c r="G751" s="1181"/>
      <c r="H751" s="1181"/>
      <c r="I751" s="1181"/>
      <c r="J751" s="1181"/>
      <c r="K751" s="1181"/>
      <c r="L751" s="1182"/>
      <c r="M751" s="54"/>
      <c r="N751" s="54"/>
      <c r="O751" s="336"/>
      <c r="P751" s="334"/>
      <c r="Q751" s="335"/>
      <c r="R751" s="336"/>
      <c r="S751" s="337"/>
    </row>
    <row r="752" spans="1:21" ht="30" customHeight="1" x14ac:dyDescent="0.25">
      <c r="A752" s="327" t="s">
        <v>5</v>
      </c>
      <c r="B752" s="328">
        <v>1512</v>
      </c>
      <c r="C752" s="1251" t="s">
        <v>579</v>
      </c>
      <c r="D752" s="1252"/>
      <c r="E752" s="331" t="s">
        <v>8</v>
      </c>
      <c r="F752" s="332" t="s">
        <v>9</v>
      </c>
      <c r="G752" s="1530" t="s">
        <v>118</v>
      </c>
      <c r="H752" s="1531"/>
      <c r="I752" s="331" t="s">
        <v>10</v>
      </c>
      <c r="J752" s="1220" t="s">
        <v>575</v>
      </c>
      <c r="K752" s="1220"/>
      <c r="L752" s="1221"/>
      <c r="M752" s="111"/>
      <c r="N752" s="54"/>
      <c r="O752" s="336"/>
      <c r="P752" s="334"/>
      <c r="Q752" s="335"/>
      <c r="R752" s="336"/>
      <c r="S752" s="337"/>
    </row>
    <row r="753" spans="1:19" ht="30" customHeight="1" x14ac:dyDescent="0.25">
      <c r="A753" s="356"/>
      <c r="B753" s="1163" t="s">
        <v>13</v>
      </c>
      <c r="C753" s="1163"/>
      <c r="D753" s="1163"/>
      <c r="E753" s="356" t="s">
        <v>576</v>
      </c>
      <c r="F753" s="356" t="s">
        <v>15</v>
      </c>
      <c r="G753" s="366"/>
      <c r="H753" s="356"/>
      <c r="I753" s="1276" t="s">
        <v>284</v>
      </c>
      <c r="J753" s="1277"/>
      <c r="K753" s="1236" t="s">
        <v>285</v>
      </c>
      <c r="L753" s="1237"/>
      <c r="M753" s="54"/>
      <c r="N753" s="54"/>
      <c r="O753" s="336"/>
      <c r="P753" s="334"/>
      <c r="Q753" s="335"/>
      <c r="R753" s="336"/>
      <c r="S753" s="337"/>
    </row>
    <row r="754" spans="1:19" ht="30" customHeight="1" x14ac:dyDescent="0.25">
      <c r="A754" s="360"/>
      <c r="B754" s="1164" t="s">
        <v>580</v>
      </c>
      <c r="C754" s="1164"/>
      <c r="D754" s="1164"/>
      <c r="E754" s="363">
        <v>2819.18</v>
      </c>
      <c r="F754" s="360" t="s">
        <v>9</v>
      </c>
      <c r="G754" s="366"/>
      <c r="H754" s="732"/>
      <c r="I754" s="1302">
        <f>+'2022 MILCON Inflation Table'!F5</f>
        <v>1.4141304745204335</v>
      </c>
      <c r="J754" s="1303"/>
      <c r="K754" s="363">
        <f>+E754*I754</f>
        <v>3986.6883511585156</v>
      </c>
      <c r="L754" s="360" t="s">
        <v>9</v>
      </c>
      <c r="M754" s="54"/>
      <c r="N754" s="54"/>
      <c r="O754" s="336"/>
      <c r="P754" s="334"/>
      <c r="Q754" s="335"/>
      <c r="R754" s="336"/>
      <c r="S754" s="337"/>
    </row>
    <row r="755" spans="1:19" ht="30" customHeight="1" x14ac:dyDescent="0.25">
      <c r="A755" s="365"/>
      <c r="B755" s="1281"/>
      <c r="C755" s="1281"/>
      <c r="D755" s="1281"/>
      <c r="E755" s="1209" t="s">
        <v>577</v>
      </c>
      <c r="F755" s="1210"/>
      <c r="G755" s="1210"/>
      <c r="H755" s="1211"/>
      <c r="I755" s="366"/>
      <c r="J755" s="359" t="s">
        <v>72</v>
      </c>
      <c r="K755" s="243">
        <f>+K754</f>
        <v>3986.6883511585156</v>
      </c>
      <c r="L755" s="365" t="s">
        <v>9</v>
      </c>
      <c r="M755" s="54"/>
      <c r="N755" s="112"/>
      <c r="O755" s="336"/>
      <c r="P755" s="334"/>
      <c r="Q755" s="335"/>
      <c r="R755" s="336"/>
      <c r="S755" s="337"/>
    </row>
    <row r="756" spans="1:19" ht="30" customHeight="1" thickBot="1" x14ac:dyDescent="0.3">
      <c r="A756" s="1352" t="s">
        <v>581</v>
      </c>
      <c r="B756" s="1353"/>
      <c r="C756" s="1353"/>
      <c r="D756" s="1353"/>
      <c r="E756" s="1353"/>
      <c r="F756" s="1353"/>
      <c r="G756" s="1353"/>
      <c r="H756" s="1353"/>
      <c r="I756" s="1353"/>
      <c r="J756" s="1353"/>
      <c r="K756" s="1353"/>
      <c r="L756" s="1354"/>
      <c r="M756" s="54"/>
      <c r="N756" s="54"/>
      <c r="O756" s="336"/>
      <c r="P756" s="334"/>
      <c r="Q756" s="335"/>
      <c r="R756" s="336"/>
      <c r="S756" s="337"/>
    </row>
    <row r="757" spans="1:19" ht="30" customHeight="1" thickBot="1" x14ac:dyDescent="0.3">
      <c r="A757" s="1180"/>
      <c r="B757" s="1181"/>
      <c r="C757" s="1181"/>
      <c r="D757" s="1181"/>
      <c r="E757" s="1181"/>
      <c r="F757" s="1181"/>
      <c r="G757" s="1181"/>
      <c r="H757" s="1181"/>
      <c r="I757" s="1181"/>
      <c r="J757" s="1181"/>
      <c r="K757" s="1181"/>
      <c r="L757" s="1182"/>
      <c r="M757" s="54"/>
      <c r="N757" s="54"/>
      <c r="O757" s="336"/>
      <c r="P757" s="334"/>
      <c r="Q757" s="335"/>
      <c r="R757" s="336"/>
      <c r="S757" s="337"/>
    </row>
    <row r="758" spans="1:19" ht="30" customHeight="1" x14ac:dyDescent="0.25">
      <c r="A758" s="327" t="s">
        <v>5</v>
      </c>
      <c r="B758" s="328">
        <v>1513</v>
      </c>
      <c r="C758" s="1251" t="s">
        <v>582</v>
      </c>
      <c r="D758" s="1252"/>
      <c r="E758" s="331" t="s">
        <v>8</v>
      </c>
      <c r="F758" s="332" t="s">
        <v>9</v>
      </c>
      <c r="G758" s="342" t="s">
        <v>74</v>
      </c>
      <c r="H758" s="653">
        <v>4819</v>
      </c>
      <c r="I758" s="331" t="s">
        <v>10</v>
      </c>
      <c r="J758" s="1220" t="s">
        <v>376</v>
      </c>
      <c r="K758" s="1220"/>
      <c r="L758" s="1221"/>
      <c r="M758" s="54"/>
      <c r="O758" s="336"/>
      <c r="P758" s="334"/>
      <c r="Q758" s="335"/>
      <c r="R758" s="336"/>
      <c r="S758" s="337"/>
    </row>
    <row r="759" spans="1:19" ht="30" customHeight="1" x14ac:dyDescent="0.25">
      <c r="A759" s="359" t="s">
        <v>295</v>
      </c>
      <c r="B759" s="1222" t="s">
        <v>326</v>
      </c>
      <c r="C759" s="1235"/>
      <c r="D759" s="1223"/>
      <c r="E759" s="577" t="s">
        <v>116</v>
      </c>
      <c r="F759" s="577" t="s">
        <v>117</v>
      </c>
      <c r="G759" s="1194" t="s">
        <v>118</v>
      </c>
      <c r="H759" s="1195"/>
      <c r="I759" s="633" t="s">
        <v>296</v>
      </c>
      <c r="J759" s="633"/>
      <c r="K759" s="1236" t="s">
        <v>285</v>
      </c>
      <c r="L759" s="1237"/>
      <c r="M759" s="54"/>
      <c r="N759" s="54"/>
      <c r="O759" s="336"/>
      <c r="P759" s="334"/>
      <c r="Q759" s="335"/>
      <c r="R759" s="336"/>
      <c r="S759" s="337"/>
    </row>
    <row r="760" spans="1:19" ht="30" customHeight="1" x14ac:dyDescent="0.25">
      <c r="A760" s="369" t="s">
        <v>297</v>
      </c>
      <c r="B760" s="1352" t="s">
        <v>583</v>
      </c>
      <c r="C760" s="1353"/>
      <c r="D760" s="1354"/>
      <c r="E760" s="247">
        <f>+(87+123)/2</f>
        <v>105</v>
      </c>
      <c r="F760" s="365" t="s">
        <v>205</v>
      </c>
      <c r="G760" s="452">
        <v>9</v>
      </c>
      <c r="H760" s="563" t="s">
        <v>584</v>
      </c>
      <c r="I760" s="706">
        <v>1.2</v>
      </c>
      <c r="J760" s="365"/>
      <c r="K760" s="247">
        <f>+E760*I760*G760</f>
        <v>1134</v>
      </c>
      <c r="L760" s="365" t="s">
        <v>9</v>
      </c>
      <c r="M760" s="54"/>
      <c r="N760" s="54"/>
      <c r="O760" s="336"/>
      <c r="P760" s="334"/>
      <c r="Q760" s="335"/>
      <c r="R760" s="336"/>
      <c r="S760" s="337"/>
    </row>
    <row r="761" spans="1:19" ht="30" customHeight="1" x14ac:dyDescent="0.25">
      <c r="A761" s="365"/>
      <c r="B761" s="1355"/>
      <c r="C761" s="1356"/>
      <c r="D761" s="1357"/>
      <c r="E761" s="163"/>
      <c r="F761" s="1272" t="s">
        <v>303</v>
      </c>
      <c r="G761" s="1283" t="s">
        <v>304</v>
      </c>
      <c r="H761" s="1283"/>
      <c r="I761" s="1283"/>
      <c r="J761" s="1283"/>
      <c r="K761" s="251">
        <v>1.06</v>
      </c>
      <c r="L761" s="365"/>
      <c r="M761" s="54"/>
      <c r="N761" s="54"/>
      <c r="O761" s="336"/>
      <c r="P761" s="334"/>
      <c r="Q761" s="335"/>
      <c r="R761" s="336"/>
      <c r="S761" s="337"/>
    </row>
    <row r="762" spans="1:19" ht="30" customHeight="1" x14ac:dyDescent="0.25">
      <c r="A762" s="365"/>
      <c r="B762" s="733"/>
      <c r="C762" s="733"/>
      <c r="D762" s="733"/>
      <c r="E762" s="163"/>
      <c r="F762" s="1273"/>
      <c r="G762" s="1284" t="s">
        <v>305</v>
      </c>
      <c r="H762" s="1284"/>
      <c r="I762" s="1284"/>
      <c r="J762" s="1284"/>
      <c r="K762" s="251">
        <v>1.06</v>
      </c>
      <c r="L762" s="365"/>
      <c r="M762" s="54"/>
      <c r="N762" s="54"/>
      <c r="O762" s="336"/>
      <c r="P762" s="334"/>
      <c r="Q762" s="335"/>
      <c r="R762" s="336"/>
      <c r="S762" s="337"/>
    </row>
    <row r="763" spans="1:19" ht="30" customHeight="1" x14ac:dyDescent="0.25">
      <c r="A763" s="365"/>
      <c r="B763" s="733"/>
      <c r="C763" s="733"/>
      <c r="D763" s="733"/>
      <c r="E763" s="163"/>
      <c r="F763" s="365"/>
      <c r="G763" s="365"/>
      <c r="H763" s="365"/>
      <c r="I763" s="365"/>
      <c r="J763" s="366" t="s">
        <v>72</v>
      </c>
      <c r="K763" s="247">
        <f>+K760*K761/K762</f>
        <v>1134</v>
      </c>
      <c r="L763" s="365" t="s">
        <v>9</v>
      </c>
      <c r="M763" s="54"/>
      <c r="N763" s="54"/>
      <c r="O763" s="336"/>
      <c r="P763" s="334"/>
      <c r="Q763" s="335"/>
      <c r="R763" s="336"/>
      <c r="S763" s="337"/>
    </row>
    <row r="764" spans="1:19" ht="30" customHeight="1" thickBot="1" x14ac:dyDescent="0.3">
      <c r="A764" s="396"/>
      <c r="B764" s="734"/>
      <c r="C764" s="734"/>
      <c r="D764" s="734"/>
      <c r="E764" s="247"/>
      <c r="F764" s="365"/>
      <c r="G764" s="580" t="s">
        <v>306</v>
      </c>
      <c r="H764" s="365"/>
      <c r="I764" s="365"/>
      <c r="J764" s="521">
        <f>VLOOKUP(B758,'Mil Cost Premiums for PUCs'!$A$4:$R$277,18,FALSE)</f>
        <v>1.0905505199999999</v>
      </c>
      <c r="K764" s="247">
        <f>+K763*J764</f>
        <v>1236.6842896799999</v>
      </c>
      <c r="L764" s="365" t="s">
        <v>9</v>
      </c>
      <c r="M764" s="54"/>
      <c r="N764" s="54"/>
      <c r="O764" s="336"/>
      <c r="P764" s="334"/>
      <c r="Q764" s="335"/>
      <c r="R764" s="336"/>
      <c r="S764" s="337"/>
    </row>
    <row r="765" spans="1:19" ht="30" customHeight="1" thickBot="1" x14ac:dyDescent="0.3">
      <c r="A765" s="1180"/>
      <c r="B765" s="1181"/>
      <c r="C765" s="1181"/>
      <c r="D765" s="1181"/>
      <c r="E765" s="1181"/>
      <c r="F765" s="1181"/>
      <c r="G765" s="1181"/>
      <c r="H765" s="1181"/>
      <c r="I765" s="1181"/>
      <c r="J765" s="1181"/>
      <c r="K765" s="1181"/>
      <c r="L765" s="1182"/>
      <c r="M765" s="54"/>
      <c r="N765" s="54"/>
      <c r="O765" s="336"/>
      <c r="P765" s="334"/>
      <c r="Q765" s="335"/>
      <c r="R765" s="336"/>
      <c r="S765" s="337"/>
    </row>
    <row r="766" spans="1:19" ht="30" customHeight="1" x14ac:dyDescent="0.25">
      <c r="A766" s="327" t="s">
        <v>5</v>
      </c>
      <c r="B766" s="328">
        <v>1541</v>
      </c>
      <c r="C766" s="1251" t="s">
        <v>586</v>
      </c>
      <c r="D766" s="1252"/>
      <c r="E766" s="331" t="s">
        <v>8</v>
      </c>
      <c r="F766" s="332" t="s">
        <v>40</v>
      </c>
      <c r="G766" s="342" t="s">
        <v>74</v>
      </c>
      <c r="H766" s="653">
        <v>2151</v>
      </c>
      <c r="I766" s="331" t="s">
        <v>10</v>
      </c>
      <c r="J766" s="1220" t="s">
        <v>3388</v>
      </c>
      <c r="K766" s="1220"/>
      <c r="L766" s="1221"/>
      <c r="M766" s="54"/>
      <c r="N766" s="54"/>
      <c r="O766" s="336"/>
      <c r="P766" s="334"/>
      <c r="Q766" s="335"/>
      <c r="R766" s="336"/>
      <c r="S766" s="337"/>
    </row>
    <row r="767" spans="1:19" ht="30" customHeight="1" x14ac:dyDescent="0.25">
      <c r="A767" s="359" t="s">
        <v>295</v>
      </c>
      <c r="B767" s="1222" t="s">
        <v>326</v>
      </c>
      <c r="C767" s="1235"/>
      <c r="D767" s="1223"/>
      <c r="E767" s="577" t="s">
        <v>116</v>
      </c>
      <c r="F767" s="577" t="s">
        <v>117</v>
      </c>
      <c r="G767" s="1194" t="s">
        <v>118</v>
      </c>
      <c r="H767" s="1195"/>
      <c r="I767" s="633" t="s">
        <v>296</v>
      </c>
      <c r="J767" s="633"/>
      <c r="K767" s="1236" t="s">
        <v>285</v>
      </c>
      <c r="L767" s="1237"/>
      <c r="M767" s="54"/>
      <c r="N767" s="54"/>
      <c r="O767" s="336"/>
      <c r="P767" s="334"/>
      <c r="Q767" s="335"/>
      <c r="R767" s="336"/>
      <c r="S767" s="337"/>
    </row>
    <row r="768" spans="1:19" ht="30" customHeight="1" x14ac:dyDescent="0.25">
      <c r="A768" s="365" t="s">
        <v>587</v>
      </c>
      <c r="B768" s="1209" t="s">
        <v>588</v>
      </c>
      <c r="C768" s="1210"/>
      <c r="D768" s="1211"/>
      <c r="E768" s="247">
        <f>+(570+940)/2</f>
        <v>755</v>
      </c>
      <c r="F768" s="365" t="s">
        <v>40</v>
      </c>
      <c r="G768" s="735">
        <v>0.5</v>
      </c>
      <c r="H768" s="589" t="s">
        <v>589</v>
      </c>
      <c r="I768" s="365">
        <v>1.04</v>
      </c>
      <c r="J768" s="706"/>
      <c r="K768" s="247">
        <f>+E768*I768*G768</f>
        <v>392.6</v>
      </c>
      <c r="L768" s="365" t="s">
        <v>40</v>
      </c>
      <c r="M768" s="54"/>
      <c r="O768" s="336"/>
      <c r="P768" s="334"/>
      <c r="Q768" s="335"/>
      <c r="R768" s="336"/>
      <c r="S768" s="337"/>
    </row>
    <row r="769" spans="1:19" ht="30" customHeight="1" x14ac:dyDescent="0.25">
      <c r="A769" s="365"/>
      <c r="B769" s="578"/>
      <c r="C769" s="578"/>
      <c r="D769" s="578"/>
      <c r="E769" s="247"/>
      <c r="F769" s="1272" t="s">
        <v>303</v>
      </c>
      <c r="G769" s="1283" t="s">
        <v>304</v>
      </c>
      <c r="H769" s="1283"/>
      <c r="I769" s="1283"/>
      <c r="J769" s="1283"/>
      <c r="K769" s="251">
        <v>1.07</v>
      </c>
      <c r="L769" s="365"/>
      <c r="M769" s="54"/>
      <c r="N769" s="54"/>
      <c r="O769" s="336"/>
      <c r="P769" s="334"/>
      <c r="Q769" s="335"/>
      <c r="R769" s="336"/>
      <c r="S769" s="337"/>
    </row>
    <row r="770" spans="1:19" ht="30" customHeight="1" x14ac:dyDescent="0.25">
      <c r="A770" s="365"/>
      <c r="B770" s="578"/>
      <c r="C770" s="578"/>
      <c r="D770" s="578"/>
      <c r="E770" s="247"/>
      <c r="F770" s="1273"/>
      <c r="G770" s="1284" t="s">
        <v>438</v>
      </c>
      <c r="H770" s="1284"/>
      <c r="I770" s="1284"/>
      <c r="J770" s="1284"/>
      <c r="K770" s="251">
        <v>1.08</v>
      </c>
      <c r="L770" s="365"/>
      <c r="M770" s="112"/>
      <c r="N770" s="54"/>
      <c r="O770" s="336"/>
      <c r="P770" s="334"/>
      <c r="Q770" s="335"/>
      <c r="R770" s="336"/>
      <c r="S770" s="337"/>
    </row>
    <row r="771" spans="1:19" ht="30" customHeight="1" x14ac:dyDescent="0.25">
      <c r="A771" s="365"/>
      <c r="B771" s="365"/>
      <c r="C771" s="366"/>
      <c r="D771" s="366"/>
      <c r="E771" s="366"/>
      <c r="F771" s="366"/>
      <c r="G771" s="366"/>
      <c r="H771" s="366"/>
      <c r="I771" s="366"/>
      <c r="J771" s="366" t="s">
        <v>72</v>
      </c>
      <c r="K771" s="246">
        <f>+K768*K769/K770</f>
        <v>388.96481481481482</v>
      </c>
      <c r="L771" s="365" t="s">
        <v>40</v>
      </c>
      <c r="M771" s="54"/>
      <c r="N771" s="54"/>
      <c r="O771" s="336"/>
      <c r="P771" s="334"/>
      <c r="Q771" s="335"/>
      <c r="R771" s="336"/>
      <c r="S771" s="337"/>
    </row>
    <row r="772" spans="1:19" ht="30" customHeight="1" x14ac:dyDescent="0.25">
      <c r="A772" s="365"/>
      <c r="B772" s="365"/>
      <c r="C772" s="366"/>
      <c r="D772" s="366"/>
      <c r="E772" s="366"/>
      <c r="F772" s="366"/>
      <c r="G772" s="580" t="s">
        <v>306</v>
      </c>
      <c r="H772" s="366"/>
      <c r="I772" s="366"/>
      <c r="J772" s="521">
        <f>VLOOKUP(B766,'Mil Cost Premiums for PUCs'!$A$4:$R$277,18,FALSE)</f>
        <v>1.0209999999999999</v>
      </c>
      <c r="K772" s="246">
        <f>+K771*J772</f>
        <v>397.13307592592588</v>
      </c>
      <c r="L772" s="365" t="s">
        <v>40</v>
      </c>
      <c r="M772" s="54"/>
      <c r="N772" s="54"/>
      <c r="O772" s="336"/>
      <c r="P772" s="334"/>
      <c r="Q772" s="335"/>
      <c r="R772" s="336"/>
      <c r="S772" s="337"/>
    </row>
    <row r="773" spans="1:19" ht="30" customHeight="1" thickBot="1" x14ac:dyDescent="0.3">
      <c r="A773" s="365"/>
      <c r="B773" s="365"/>
      <c r="C773" s="366"/>
      <c r="D773" s="366"/>
      <c r="E773" s="366"/>
      <c r="F773" s="366"/>
      <c r="G773" s="1222" t="s">
        <v>439</v>
      </c>
      <c r="H773" s="1223"/>
      <c r="I773" s="366"/>
      <c r="J773" s="521">
        <f>+'2022 MILCON Inflation Table'!F17</f>
        <v>1.0833841548808889</v>
      </c>
      <c r="K773" s="246">
        <f>K772*J773</f>
        <v>430.24768183725712</v>
      </c>
      <c r="L773" s="365" t="s">
        <v>40</v>
      </c>
      <c r="N773" s="54"/>
      <c r="O773" s="336"/>
      <c r="P773" s="334"/>
      <c r="Q773" s="335"/>
      <c r="R773" s="336"/>
      <c r="S773" s="337"/>
    </row>
    <row r="774" spans="1:19" ht="30" customHeight="1" thickBot="1" x14ac:dyDescent="0.3">
      <c r="A774" s="1180"/>
      <c r="B774" s="1181"/>
      <c r="C774" s="1181"/>
      <c r="D774" s="1181"/>
      <c r="E774" s="1181"/>
      <c r="F774" s="1181"/>
      <c r="G774" s="1181"/>
      <c r="H774" s="1181"/>
      <c r="I774" s="1181"/>
      <c r="J774" s="1181"/>
      <c r="K774" s="1181"/>
      <c r="L774" s="1182"/>
      <c r="M774" s="54"/>
      <c r="N774" s="54"/>
      <c r="O774" s="336"/>
      <c r="P774" s="334"/>
      <c r="Q774" s="335"/>
      <c r="R774" s="336"/>
      <c r="S774" s="337"/>
    </row>
    <row r="775" spans="1:19" ht="30" customHeight="1" x14ac:dyDescent="0.25">
      <c r="A775" s="327" t="s">
        <v>5</v>
      </c>
      <c r="B775" s="328">
        <v>1551</v>
      </c>
      <c r="C775" s="1251" t="s">
        <v>590</v>
      </c>
      <c r="D775" s="1252"/>
      <c r="E775" s="331" t="s">
        <v>8</v>
      </c>
      <c r="F775" s="332" t="s">
        <v>591</v>
      </c>
      <c r="G775" s="342" t="s">
        <v>74</v>
      </c>
      <c r="H775" s="576">
        <v>307</v>
      </c>
      <c r="I775" s="331" t="s">
        <v>10</v>
      </c>
      <c r="J775" s="1220" t="s">
        <v>3388</v>
      </c>
      <c r="K775" s="1220"/>
      <c r="L775" s="1221"/>
      <c r="M775" s="54"/>
      <c r="N775" s="112"/>
      <c r="O775" s="336"/>
      <c r="P775" s="334"/>
      <c r="Q775" s="335"/>
      <c r="R775" s="336"/>
      <c r="S775" s="337"/>
    </row>
    <row r="776" spans="1:19" ht="30" customHeight="1" x14ac:dyDescent="0.25">
      <c r="A776" s="359" t="s">
        <v>295</v>
      </c>
      <c r="B776" s="1222" t="s">
        <v>326</v>
      </c>
      <c r="C776" s="1235"/>
      <c r="D776" s="1223"/>
      <c r="E776" s="577" t="s">
        <v>116</v>
      </c>
      <c r="F776" s="577" t="s">
        <v>117</v>
      </c>
      <c r="G776" s="1194" t="s">
        <v>118</v>
      </c>
      <c r="H776" s="1195"/>
      <c r="I776" s="633" t="s">
        <v>296</v>
      </c>
      <c r="J776" s="633"/>
      <c r="K776" s="1236" t="s">
        <v>285</v>
      </c>
      <c r="L776" s="1237"/>
      <c r="M776" s="110"/>
      <c r="N776" s="54"/>
      <c r="O776" s="336"/>
      <c r="P776" s="334"/>
      <c r="Q776" s="335"/>
      <c r="R776" s="336"/>
      <c r="S776" s="337"/>
    </row>
    <row r="777" spans="1:19" ht="30" customHeight="1" x14ac:dyDescent="0.25">
      <c r="A777" s="365" t="s">
        <v>297</v>
      </c>
      <c r="B777" s="1209" t="s">
        <v>592</v>
      </c>
      <c r="C777" s="1210"/>
      <c r="D777" s="1211"/>
      <c r="E777" s="247">
        <f>+(55+81.5)/2</f>
        <v>68.25</v>
      </c>
      <c r="F777" s="365" t="s">
        <v>205</v>
      </c>
      <c r="G777" s="452">
        <f>((40 /2 ) + (40 /1 ))/2</f>
        <v>30</v>
      </c>
      <c r="H777" s="589" t="s">
        <v>593</v>
      </c>
      <c r="I777" s="706">
        <v>1.02</v>
      </c>
      <c r="J777" s="365"/>
      <c r="K777" s="247">
        <f>+E777*G777*I777</f>
        <v>2088.4499999999998</v>
      </c>
      <c r="L777" s="365" t="s">
        <v>591</v>
      </c>
      <c r="M777" s="54"/>
      <c r="N777" s="54"/>
      <c r="O777" s="336"/>
      <c r="P777" s="334"/>
      <c r="Q777" s="335"/>
      <c r="R777" s="336"/>
      <c r="S777" s="337"/>
    </row>
    <row r="778" spans="1:19" ht="30" customHeight="1" x14ac:dyDescent="0.25">
      <c r="A778" s="365"/>
      <c r="B778" s="1281" t="s">
        <v>594</v>
      </c>
      <c r="C778" s="1281"/>
      <c r="D778" s="1281"/>
      <c r="E778" s="247"/>
      <c r="F778" s="365"/>
      <c r="G778" s="736"/>
      <c r="H778" s="662"/>
      <c r="I778" s="365"/>
      <c r="J778" s="365"/>
      <c r="K778" s="247"/>
      <c r="L778" s="365"/>
      <c r="M778" s="54"/>
      <c r="N778" s="54"/>
      <c r="O778" s="336"/>
      <c r="P778" s="334"/>
      <c r="Q778" s="335"/>
      <c r="R778" s="336"/>
      <c r="S778" s="337"/>
    </row>
    <row r="779" spans="1:19" ht="30" customHeight="1" x14ac:dyDescent="0.25">
      <c r="A779" s="365"/>
      <c r="B779" s="578"/>
      <c r="C779" s="578"/>
      <c r="D779" s="737" t="s">
        <v>595</v>
      </c>
      <c r="E779" s="247"/>
      <c r="F779" s="1272" t="s">
        <v>303</v>
      </c>
      <c r="G779" s="1283" t="s">
        <v>304</v>
      </c>
      <c r="H779" s="1283"/>
      <c r="I779" s="1283"/>
      <c r="J779" s="1283"/>
      <c r="K779" s="250">
        <v>1.07</v>
      </c>
      <c r="L779" s="365"/>
      <c r="M779" s="54"/>
      <c r="N779" s="112"/>
      <c r="O779" s="336"/>
      <c r="P779" s="334"/>
      <c r="Q779" s="335"/>
      <c r="R779" s="336"/>
      <c r="S779" s="337"/>
    </row>
    <row r="780" spans="1:19" ht="30" customHeight="1" x14ac:dyDescent="0.25">
      <c r="A780" s="365"/>
      <c r="B780" s="578"/>
      <c r="C780" s="578"/>
      <c r="D780" s="578"/>
      <c r="E780" s="247"/>
      <c r="F780" s="1273"/>
      <c r="G780" s="1284" t="s">
        <v>438</v>
      </c>
      <c r="H780" s="1284"/>
      <c r="I780" s="1284"/>
      <c r="J780" s="1284"/>
      <c r="K780" s="250">
        <v>1.08</v>
      </c>
      <c r="L780" s="365"/>
      <c r="M780" s="54"/>
      <c r="N780" s="54"/>
      <c r="O780" s="336"/>
      <c r="P780" s="334"/>
      <c r="Q780" s="335"/>
      <c r="R780" s="336"/>
      <c r="S780" s="337"/>
    </row>
    <row r="781" spans="1:19" ht="30" customHeight="1" x14ac:dyDescent="0.25">
      <c r="A781" s="365"/>
      <c r="B781" s="365"/>
      <c r="C781" s="366"/>
      <c r="D781" s="366"/>
      <c r="E781" s="366"/>
      <c r="F781" s="366"/>
      <c r="G781" s="366"/>
      <c r="H781" s="366"/>
      <c r="I781" s="366"/>
      <c r="J781" s="366" t="s">
        <v>72</v>
      </c>
      <c r="K781" s="246">
        <f>+K777*K779/K780</f>
        <v>2069.1124999999997</v>
      </c>
      <c r="L781" s="365" t="s">
        <v>591</v>
      </c>
      <c r="M781" s="54"/>
      <c r="N781" s="54"/>
      <c r="O781" s="336"/>
      <c r="P781" s="334"/>
      <c r="Q781" s="335"/>
      <c r="R781" s="336"/>
      <c r="S781" s="337"/>
    </row>
    <row r="782" spans="1:19" ht="30" customHeight="1" x14ac:dyDescent="0.25">
      <c r="A782" s="365"/>
      <c r="B782" s="365"/>
      <c r="C782" s="366"/>
      <c r="E782" s="366"/>
      <c r="F782" s="366"/>
      <c r="G782" s="580" t="s">
        <v>306</v>
      </c>
      <c r="H782" s="366"/>
      <c r="I782" s="366"/>
      <c r="J782" s="521">
        <f>VLOOKUP(B775,'Mil Cost Premiums for PUCs'!$A$4:$R$277,18,FALSE)</f>
        <v>1.0905505199999999</v>
      </c>
      <c r="K782" s="246">
        <f>+K781*J782</f>
        <v>2256.4717128134994</v>
      </c>
      <c r="L782" s="365" t="s">
        <v>591</v>
      </c>
      <c r="M782" s="54"/>
      <c r="N782" s="54"/>
      <c r="O782" s="336"/>
      <c r="P782" s="334"/>
      <c r="Q782" s="335"/>
      <c r="R782" s="336"/>
      <c r="S782" s="337"/>
    </row>
    <row r="783" spans="1:19" ht="30" customHeight="1" thickBot="1" x14ac:dyDescent="0.3">
      <c r="A783" s="365"/>
      <c r="B783" s="365"/>
      <c r="C783" s="366"/>
      <c r="D783" s="366"/>
      <c r="E783" s="366"/>
      <c r="F783" s="366"/>
      <c r="G783" s="1222" t="s">
        <v>439</v>
      </c>
      <c r="H783" s="1223"/>
      <c r="I783" s="366"/>
      <c r="J783" s="521">
        <f>+'2022 MILCON Inflation Table'!F17</f>
        <v>1.0833841548808889</v>
      </c>
      <c r="K783" s="246">
        <f>K782*J783</f>
        <v>2444.6256995990848</v>
      </c>
      <c r="L783" s="365" t="s">
        <v>591</v>
      </c>
      <c r="N783" s="54"/>
      <c r="O783" s="544"/>
      <c r="P783" s="544"/>
      <c r="Q783" s="335"/>
      <c r="R783" s="336"/>
      <c r="S783" s="337"/>
    </row>
    <row r="784" spans="1:19" ht="30" customHeight="1" thickBot="1" x14ac:dyDescent="0.3">
      <c r="A784" s="1180"/>
      <c r="B784" s="1181"/>
      <c r="C784" s="1181"/>
      <c r="D784" s="1181"/>
      <c r="E784" s="1181"/>
      <c r="F784" s="1181"/>
      <c r="G784" s="1181"/>
      <c r="H784" s="1181"/>
      <c r="I784" s="1181"/>
      <c r="J784" s="1181"/>
      <c r="K784" s="1181"/>
      <c r="L784" s="1182"/>
      <c r="M784" s="54"/>
      <c r="N784" s="54"/>
      <c r="O784" s="63"/>
      <c r="P784" s="63"/>
      <c r="Q784" s="335"/>
      <c r="R784" s="336"/>
      <c r="S784" s="337"/>
    </row>
    <row r="785" spans="1:21" ht="30" customHeight="1" x14ac:dyDescent="0.25">
      <c r="A785" s="327" t="s">
        <v>5</v>
      </c>
      <c r="B785" s="328">
        <v>1552</v>
      </c>
      <c r="C785" s="1251" t="s">
        <v>596</v>
      </c>
      <c r="D785" s="1252"/>
      <c r="E785" s="331" t="s">
        <v>8</v>
      </c>
      <c r="F785" s="332" t="s">
        <v>205</v>
      </c>
      <c r="G785" s="342" t="s">
        <v>74</v>
      </c>
      <c r="H785" s="653">
        <v>4162</v>
      </c>
      <c r="I785" s="331" t="s">
        <v>10</v>
      </c>
      <c r="J785" s="1220" t="s">
        <v>294</v>
      </c>
      <c r="K785" s="1220"/>
      <c r="L785" s="1221"/>
      <c r="M785" s="54"/>
      <c r="N785" s="54"/>
      <c r="O785" s="336"/>
      <c r="P785" s="334"/>
      <c r="Q785" s="335"/>
      <c r="R785" s="336"/>
      <c r="S785" s="337"/>
    </row>
    <row r="786" spans="1:21" ht="30" customHeight="1" x14ac:dyDescent="0.25">
      <c r="A786" s="359" t="s">
        <v>295</v>
      </c>
      <c r="B786" s="1222" t="s">
        <v>326</v>
      </c>
      <c r="C786" s="1235"/>
      <c r="D786" s="1223"/>
      <c r="E786" s="577" t="s">
        <v>116</v>
      </c>
      <c r="F786" s="577" t="s">
        <v>117</v>
      </c>
      <c r="G786" s="1194" t="s">
        <v>118</v>
      </c>
      <c r="H786" s="1195"/>
      <c r="I786" s="633" t="s">
        <v>296</v>
      </c>
      <c r="J786" s="633"/>
      <c r="K786" s="1236" t="s">
        <v>285</v>
      </c>
      <c r="L786" s="1237"/>
      <c r="M786" s="112"/>
      <c r="N786" s="54"/>
      <c r="O786" s="336"/>
      <c r="P786" s="334"/>
      <c r="Q786" s="335"/>
      <c r="R786" s="336"/>
      <c r="S786" s="337"/>
    </row>
    <row r="787" spans="1:21" ht="30" customHeight="1" x14ac:dyDescent="0.25">
      <c r="A787" s="365" t="s">
        <v>597</v>
      </c>
      <c r="B787" s="1209" t="s">
        <v>598</v>
      </c>
      <c r="C787" s="1210"/>
      <c r="D787" s="1211"/>
      <c r="E787" s="247">
        <v>35</v>
      </c>
      <c r="F787" s="365" t="s">
        <v>205</v>
      </c>
      <c r="G787" s="452"/>
      <c r="H787" s="589"/>
      <c r="I787" s="706">
        <v>1.1399999999999999</v>
      </c>
      <c r="J787" s="365"/>
      <c r="K787" s="247">
        <f>+E787*I787</f>
        <v>39.9</v>
      </c>
      <c r="L787" s="365" t="s">
        <v>205</v>
      </c>
      <c r="M787" s="54"/>
      <c r="N787" s="54"/>
      <c r="O787" s="336"/>
      <c r="P787" s="334"/>
      <c r="Q787" s="335"/>
      <c r="R787" s="336"/>
      <c r="S787" s="337"/>
    </row>
    <row r="788" spans="1:21" ht="30" customHeight="1" x14ac:dyDescent="0.25">
      <c r="A788" s="365"/>
      <c r="B788" s="738"/>
      <c r="C788" s="591"/>
      <c r="D788" s="589"/>
      <c r="E788" s="247"/>
      <c r="F788" s="369"/>
      <c r="G788" s="452"/>
      <c r="H788" s="589"/>
      <c r="I788" s="365"/>
      <c r="J788" s="365"/>
      <c r="K788" s="247"/>
      <c r="L788" s="365"/>
      <c r="M788" s="54"/>
      <c r="N788" s="54"/>
      <c r="O788" s="336"/>
      <c r="P788" s="334"/>
      <c r="Q788" s="335"/>
      <c r="R788" s="336"/>
      <c r="S788" s="337"/>
    </row>
    <row r="789" spans="1:21" ht="30" customHeight="1" x14ac:dyDescent="0.25">
      <c r="A789" s="365"/>
      <c r="B789" s="578"/>
      <c r="C789" s="578"/>
      <c r="D789" s="578"/>
      <c r="E789" s="247"/>
      <c r="F789" s="1272" t="s">
        <v>303</v>
      </c>
      <c r="G789" s="1283" t="s">
        <v>304</v>
      </c>
      <c r="H789" s="1283"/>
      <c r="I789" s="1283"/>
      <c r="J789" s="1283"/>
      <c r="K789" s="250">
        <v>1.03</v>
      </c>
      <c r="L789" s="365"/>
      <c r="M789" s="54"/>
      <c r="N789" s="54"/>
      <c r="O789" s="336"/>
      <c r="P789" s="334"/>
      <c r="Q789" s="335"/>
      <c r="R789" s="336"/>
      <c r="S789" s="337"/>
    </row>
    <row r="790" spans="1:21" ht="30" customHeight="1" x14ac:dyDescent="0.25">
      <c r="A790" s="365"/>
      <c r="B790" s="578"/>
      <c r="C790" s="578"/>
      <c r="D790" s="578"/>
      <c r="E790" s="247"/>
      <c r="F790" s="1273"/>
      <c r="G790" s="1284" t="s">
        <v>305</v>
      </c>
      <c r="H790" s="1284"/>
      <c r="I790" s="1284"/>
      <c r="J790" s="1284"/>
      <c r="K790" s="250">
        <v>1.06</v>
      </c>
      <c r="L790" s="365"/>
      <c r="M790" s="112"/>
      <c r="N790" s="54"/>
      <c r="O790" s="336"/>
      <c r="P790" s="334"/>
      <c r="Q790" s="335"/>
      <c r="R790" s="336"/>
      <c r="S790" s="337"/>
    </row>
    <row r="791" spans="1:21" ht="30" customHeight="1" x14ac:dyDescent="0.25">
      <c r="A791" s="365"/>
      <c r="B791" s="365"/>
      <c r="C791" s="366"/>
      <c r="D791" s="366"/>
      <c r="E791" s="366"/>
      <c r="F791" s="366"/>
      <c r="G791" s="366"/>
      <c r="H791" s="366"/>
      <c r="I791" s="366"/>
      <c r="J791" s="366" t="s">
        <v>72</v>
      </c>
      <c r="K791" s="246">
        <f>+K787*K789/K790</f>
        <v>38.770754716981131</v>
      </c>
      <c r="L791" s="365" t="s">
        <v>205</v>
      </c>
      <c r="M791" s="54"/>
      <c r="N791" s="54"/>
      <c r="O791" s="336"/>
      <c r="P791" s="334"/>
      <c r="Q791" s="335"/>
      <c r="R791" s="336"/>
      <c r="S791" s="337"/>
    </row>
    <row r="792" spans="1:21" ht="30" customHeight="1" thickBot="1" x14ac:dyDescent="0.3">
      <c r="A792" s="365"/>
      <c r="B792" s="365"/>
      <c r="C792" s="366"/>
      <c r="D792" s="366"/>
      <c r="E792" s="366"/>
      <c r="F792" s="366"/>
      <c r="G792" s="580" t="s">
        <v>306</v>
      </c>
      <c r="H792" s="366"/>
      <c r="I792" s="366"/>
      <c r="J792" s="521">
        <f>VLOOKUP(B785,'Mil Cost Premiums for PUCs'!$A$4:$R$277,18,FALSE)</f>
        <v>1.1223763993485734</v>
      </c>
      <c r="K792" s="246">
        <f>+K791*J792</f>
        <v>43.515380079271999</v>
      </c>
      <c r="L792" s="365" t="s">
        <v>205</v>
      </c>
      <c r="M792" s="54"/>
      <c r="N792" s="54"/>
      <c r="O792" s="336"/>
      <c r="P792" s="334"/>
      <c r="Q792" s="335"/>
      <c r="R792" s="336"/>
      <c r="S792" s="337"/>
    </row>
    <row r="793" spans="1:21" ht="30" customHeight="1" thickBot="1" x14ac:dyDescent="0.3">
      <c r="A793" s="1180"/>
      <c r="B793" s="1181"/>
      <c r="C793" s="1181"/>
      <c r="D793" s="1181"/>
      <c r="E793" s="1181"/>
      <c r="F793" s="1181"/>
      <c r="G793" s="1181"/>
      <c r="H793" s="1181"/>
      <c r="I793" s="1181"/>
      <c r="J793" s="1181"/>
      <c r="K793" s="1181"/>
      <c r="L793" s="1182"/>
      <c r="M793" s="54"/>
      <c r="N793" s="54"/>
      <c r="O793" s="336"/>
      <c r="P793" s="334"/>
      <c r="Q793" s="335"/>
      <c r="R793" s="336"/>
      <c r="S793" s="337"/>
    </row>
    <row r="794" spans="1:21" ht="30" customHeight="1" x14ac:dyDescent="0.25">
      <c r="A794" s="327" t="s">
        <v>5</v>
      </c>
      <c r="B794" s="328">
        <v>1592</v>
      </c>
      <c r="C794" s="1251" t="s">
        <v>599</v>
      </c>
      <c r="D794" s="1252"/>
      <c r="E794" s="331" t="s">
        <v>8</v>
      </c>
      <c r="F794" s="332" t="s">
        <v>76</v>
      </c>
      <c r="G794" s="342" t="s">
        <v>74</v>
      </c>
      <c r="H794" s="156">
        <v>1</v>
      </c>
      <c r="I794" s="331" t="s">
        <v>10</v>
      </c>
      <c r="J794" s="1220" t="s">
        <v>600</v>
      </c>
      <c r="K794" s="1220"/>
      <c r="L794" s="1221"/>
      <c r="M794" s="112"/>
      <c r="N794" s="54"/>
      <c r="T794" s="10"/>
      <c r="U794" s="10"/>
    </row>
    <row r="795" spans="1:21" ht="30" customHeight="1" x14ac:dyDescent="0.25">
      <c r="A795" s="356" t="s">
        <v>282</v>
      </c>
      <c r="B795" s="1249" t="s">
        <v>601</v>
      </c>
      <c r="C795" s="1249"/>
      <c r="D795" s="1249"/>
      <c r="E795" s="356" t="s">
        <v>116</v>
      </c>
      <c r="F795" s="356" t="s">
        <v>117</v>
      </c>
      <c r="G795" s="1194" t="s">
        <v>118</v>
      </c>
      <c r="H795" s="1195"/>
      <c r="I795" s="356" t="s">
        <v>119</v>
      </c>
      <c r="J795" s="356" t="s">
        <v>120</v>
      </c>
      <c r="K795" s="1236" t="s">
        <v>72</v>
      </c>
      <c r="L795" s="1237"/>
      <c r="M795" s="54"/>
      <c r="N795" s="111"/>
      <c r="T795" s="10"/>
      <c r="U795" s="10"/>
    </row>
    <row r="796" spans="1:21" ht="30" customHeight="1" x14ac:dyDescent="0.25">
      <c r="A796" s="360">
        <v>15921</v>
      </c>
      <c r="B796" s="1179" t="s">
        <v>602</v>
      </c>
      <c r="C796" s="1179"/>
      <c r="D796" s="1179"/>
      <c r="E796" s="485">
        <v>1213000</v>
      </c>
      <c r="F796" s="486" t="s">
        <v>76</v>
      </c>
      <c r="G796" s="1652"/>
      <c r="H796" s="1652"/>
      <c r="I796" s="486">
        <v>0.96</v>
      </c>
      <c r="J796" s="739">
        <v>1.0945893340593744</v>
      </c>
      <c r="K796" s="488">
        <f>+E796/I796*J796</f>
        <v>1383059.2314729388</v>
      </c>
      <c r="L796" s="486" t="s">
        <v>76</v>
      </c>
      <c r="M796" s="54"/>
      <c r="O796" s="336"/>
      <c r="P796" s="334"/>
      <c r="Q796" s="335"/>
      <c r="R796" s="336"/>
      <c r="S796" s="337"/>
    </row>
    <row r="797" spans="1:21" ht="30" customHeight="1" x14ac:dyDescent="0.25">
      <c r="A797" s="360">
        <v>15921</v>
      </c>
      <c r="B797" s="1179" t="s">
        <v>603</v>
      </c>
      <c r="C797" s="1179"/>
      <c r="D797" s="1179"/>
      <c r="E797" s="472">
        <v>1215943</v>
      </c>
      <c r="F797" s="486" t="s">
        <v>76</v>
      </c>
      <c r="G797" s="671"/>
      <c r="H797" s="671"/>
      <c r="I797" s="473">
        <v>1.17</v>
      </c>
      <c r="J797" s="739">
        <v>1.0945893340593744</v>
      </c>
      <c r="K797" s="488">
        <f>+E797/I797*J797</f>
        <v>1137571.144123212</v>
      </c>
      <c r="L797" s="486" t="s">
        <v>76</v>
      </c>
      <c r="M797" s="54"/>
      <c r="N797" s="54"/>
      <c r="O797" s="336"/>
      <c r="P797" s="334"/>
      <c r="Q797" s="335"/>
      <c r="R797" s="336"/>
      <c r="S797" s="337"/>
    </row>
    <row r="798" spans="1:21" ht="30" customHeight="1" x14ac:dyDescent="0.25">
      <c r="A798" s="360">
        <v>15921</v>
      </c>
      <c r="B798" s="1179" t="s">
        <v>604</v>
      </c>
      <c r="C798" s="1179"/>
      <c r="D798" s="1179"/>
      <c r="E798" s="472">
        <v>2826000</v>
      </c>
      <c r="F798" s="486" t="s">
        <v>76</v>
      </c>
      <c r="G798" s="671"/>
      <c r="H798" s="671"/>
      <c r="I798" s="473">
        <v>2.75</v>
      </c>
      <c r="J798" s="671">
        <v>1</v>
      </c>
      <c r="K798" s="488">
        <f>+E798/I798*J798</f>
        <v>1027636.3636363636</v>
      </c>
      <c r="L798" s="486" t="s">
        <v>76</v>
      </c>
      <c r="M798" s="54"/>
      <c r="N798" s="54"/>
      <c r="O798" s="336"/>
      <c r="P798" s="334"/>
      <c r="Q798" s="335"/>
      <c r="R798" s="336"/>
      <c r="S798" s="337"/>
    </row>
    <row r="799" spans="1:21" ht="30" customHeight="1" thickBot="1" x14ac:dyDescent="0.3">
      <c r="A799" s="1565" t="s">
        <v>3482</v>
      </c>
      <c r="B799" s="1565"/>
      <c r="C799" s="1565"/>
      <c r="D799" s="1565"/>
      <c r="E799" s="1565"/>
      <c r="F799" s="1565"/>
      <c r="G799" s="671"/>
      <c r="H799" s="671"/>
      <c r="I799" s="473"/>
      <c r="J799" s="671" t="s">
        <v>605</v>
      </c>
      <c r="K799" s="520">
        <f>AVERAGE(K796:K798)</f>
        <v>1182755.5797441716</v>
      </c>
      <c r="L799" s="473" t="s">
        <v>76</v>
      </c>
      <c r="M799" s="54"/>
      <c r="N799" s="54"/>
      <c r="O799" s="336"/>
      <c r="P799" s="334"/>
      <c r="Q799" s="335"/>
      <c r="R799" s="336"/>
      <c r="S799" s="337"/>
    </row>
    <row r="800" spans="1:21" ht="30" customHeight="1" thickBot="1" x14ac:dyDescent="0.3">
      <c r="A800" s="1640"/>
      <c r="B800" s="1451"/>
      <c r="C800" s="1451"/>
      <c r="D800" s="1451"/>
      <c r="E800" s="1451"/>
      <c r="F800" s="1451"/>
      <c r="G800" s="1451"/>
      <c r="H800" s="1451"/>
      <c r="I800" s="1451"/>
      <c r="J800" s="1451"/>
      <c r="K800" s="1451"/>
      <c r="L800" s="1452"/>
      <c r="M800" s="54"/>
      <c r="N800" s="54"/>
      <c r="O800" s="336"/>
      <c r="P800" s="334"/>
      <c r="Q800" s="335"/>
      <c r="R800" s="336"/>
      <c r="S800" s="337"/>
    </row>
    <row r="801" spans="1:21" ht="30" customHeight="1" x14ac:dyDescent="0.25">
      <c r="A801" s="349" t="s">
        <v>5</v>
      </c>
      <c r="B801" s="350">
        <v>1593</v>
      </c>
      <c r="C801" s="1151" t="s">
        <v>606</v>
      </c>
      <c r="D801" s="1152"/>
      <c r="E801" s="351" t="s">
        <v>8</v>
      </c>
      <c r="F801" s="352" t="s">
        <v>9</v>
      </c>
      <c r="G801" s="740" t="s">
        <v>7</v>
      </c>
      <c r="H801" s="50">
        <v>600</v>
      </c>
      <c r="I801" s="351" t="s">
        <v>10</v>
      </c>
      <c r="J801" s="1220" t="s">
        <v>3388</v>
      </c>
      <c r="K801" s="1220"/>
      <c r="L801" s="1221"/>
      <c r="M801" s="54"/>
      <c r="N801" s="54"/>
      <c r="O801" s="336"/>
      <c r="P801" s="334"/>
      <c r="Q801" s="335"/>
      <c r="R801" s="336"/>
      <c r="S801" s="337"/>
    </row>
    <row r="802" spans="1:21" ht="30" customHeight="1" x14ac:dyDescent="0.25">
      <c r="A802" s="359" t="s">
        <v>295</v>
      </c>
      <c r="B802" s="1222" t="s">
        <v>326</v>
      </c>
      <c r="C802" s="1235"/>
      <c r="D802" s="1223"/>
      <c r="E802" s="577" t="s">
        <v>116</v>
      </c>
      <c r="F802" s="577" t="s">
        <v>117</v>
      </c>
      <c r="G802" s="1194" t="s">
        <v>118</v>
      </c>
      <c r="H802" s="1195"/>
      <c r="I802" s="356" t="s">
        <v>296</v>
      </c>
      <c r="J802" s="356"/>
      <c r="K802" s="1236" t="s">
        <v>285</v>
      </c>
      <c r="L802" s="1237"/>
      <c r="M802" s="54"/>
      <c r="N802" s="54"/>
      <c r="O802" s="336"/>
      <c r="P802" s="334"/>
      <c r="Q802" s="335"/>
      <c r="R802" s="336"/>
      <c r="S802" s="337"/>
    </row>
    <row r="803" spans="1:21" ht="30" customHeight="1" x14ac:dyDescent="0.25">
      <c r="A803" s="365" t="s">
        <v>533</v>
      </c>
      <c r="B803" s="1214" t="s">
        <v>607</v>
      </c>
      <c r="C803" s="1215"/>
      <c r="D803" s="1216"/>
      <c r="E803" s="716">
        <f>+(7.45+8.71)/2</f>
        <v>8.08</v>
      </c>
      <c r="F803" s="396" t="s">
        <v>205</v>
      </c>
      <c r="G803" s="741">
        <v>9</v>
      </c>
      <c r="H803" s="690" t="s">
        <v>584</v>
      </c>
      <c r="I803" s="742">
        <v>1.05</v>
      </c>
      <c r="J803" s="365"/>
      <c r="K803" s="716">
        <f>+E803*G803*I803</f>
        <v>76.356000000000009</v>
      </c>
      <c r="L803" s="396" t="s">
        <v>9</v>
      </c>
      <c r="M803" s="54"/>
      <c r="N803" s="111"/>
      <c r="O803" s="336"/>
      <c r="P803" s="334"/>
      <c r="Q803" s="335"/>
      <c r="R803" s="336"/>
      <c r="S803" s="337"/>
    </row>
    <row r="804" spans="1:21" ht="30" customHeight="1" x14ac:dyDescent="0.25">
      <c r="A804" s="365" t="s">
        <v>533</v>
      </c>
      <c r="B804" s="1214" t="s">
        <v>608</v>
      </c>
      <c r="C804" s="1215"/>
      <c r="D804" s="1216"/>
      <c r="E804" s="7">
        <f>(0.73+0.86)/2</f>
        <v>0.79499999999999993</v>
      </c>
      <c r="F804" s="396" t="s">
        <v>205</v>
      </c>
      <c r="G804" s="741">
        <v>9</v>
      </c>
      <c r="H804" s="690" t="s">
        <v>584</v>
      </c>
      <c r="I804" s="742">
        <v>1.05</v>
      </c>
      <c r="J804" s="365"/>
      <c r="K804" s="716">
        <f>+E804*G804*I804</f>
        <v>7.5127499999999996</v>
      </c>
      <c r="L804" s="396" t="s">
        <v>9</v>
      </c>
      <c r="M804" s="54"/>
      <c r="N804" s="54"/>
      <c r="O804" s="336"/>
      <c r="P804" s="334"/>
      <c r="Q804" s="335"/>
      <c r="R804" s="336"/>
      <c r="S804" s="337"/>
    </row>
    <row r="805" spans="1:21" ht="30" customHeight="1" x14ac:dyDescent="0.25">
      <c r="A805" s="365" t="s">
        <v>587</v>
      </c>
      <c r="B805" s="1209" t="s">
        <v>609</v>
      </c>
      <c r="C805" s="1210"/>
      <c r="D805" s="1211"/>
      <c r="E805" s="247">
        <f>(53.5*8)+(15100)/8</f>
        <v>2315.5</v>
      </c>
      <c r="F805" s="365" t="s">
        <v>76</v>
      </c>
      <c r="G805" s="660">
        <f>8/600</f>
        <v>1.3333333333333334E-2</v>
      </c>
      <c r="H805" s="695" t="s">
        <v>610</v>
      </c>
      <c r="I805" s="742">
        <v>1.04</v>
      </c>
      <c r="J805" s="365"/>
      <c r="K805" s="716">
        <f>+E805*G805*I805</f>
        <v>32.108266666666673</v>
      </c>
      <c r="L805" s="396" t="s">
        <v>9</v>
      </c>
      <c r="M805" s="54"/>
      <c r="N805" s="54"/>
      <c r="O805" s="336"/>
      <c r="P805" s="334"/>
      <c r="Q805" s="335"/>
      <c r="R805" s="336"/>
      <c r="S805" s="337"/>
    </row>
    <row r="806" spans="1:21" s="345" customFormat="1" ht="30" customHeight="1" x14ac:dyDescent="0.25">
      <c r="A806" s="366"/>
      <c r="B806" s="1269"/>
      <c r="C806" s="1269"/>
      <c r="D806" s="1269"/>
      <c r="E806" s="247"/>
      <c r="F806" s="365"/>
      <c r="G806" s="365"/>
      <c r="H806" s="365"/>
      <c r="I806" s="365"/>
      <c r="J806" s="365" t="s">
        <v>408</v>
      </c>
      <c r="K806" s="247">
        <f>SUM(K803:K805)</f>
        <v>115.97701666666669</v>
      </c>
      <c r="L806" s="396" t="s">
        <v>9</v>
      </c>
      <c r="M806" s="54"/>
      <c r="N806" s="111"/>
      <c r="O806" s="543"/>
      <c r="P806" s="344"/>
    </row>
    <row r="807" spans="1:21" ht="30" customHeight="1" x14ac:dyDescent="0.25">
      <c r="A807" s="365"/>
      <c r="B807" s="578"/>
      <c r="C807" s="578"/>
      <c r="D807" s="578"/>
      <c r="E807" s="247"/>
      <c r="F807" s="1272" t="s">
        <v>303</v>
      </c>
      <c r="G807" s="1283" t="s">
        <v>304</v>
      </c>
      <c r="H807" s="1283"/>
      <c r="I807" s="1283"/>
      <c r="J807" s="1283"/>
      <c r="K807" s="250">
        <v>1.07</v>
      </c>
      <c r="L807" s="365"/>
      <c r="M807" s="54"/>
      <c r="N807" s="54"/>
    </row>
    <row r="808" spans="1:21" ht="30" customHeight="1" x14ac:dyDescent="0.25">
      <c r="A808" s="365"/>
      <c r="B808" s="578"/>
      <c r="C808" s="578"/>
      <c r="D808" s="578"/>
      <c r="E808" s="247"/>
      <c r="F808" s="1273"/>
      <c r="G808" s="1284" t="s">
        <v>438</v>
      </c>
      <c r="H808" s="1284"/>
      <c r="I808" s="1284"/>
      <c r="J808" s="1284"/>
      <c r="K808" s="250">
        <v>1.08</v>
      </c>
      <c r="L808" s="365"/>
      <c r="M808" s="54"/>
      <c r="N808" s="54"/>
      <c r="O808" s="340"/>
    </row>
    <row r="809" spans="1:21" ht="30" customHeight="1" x14ac:dyDescent="0.25">
      <c r="A809" s="366"/>
      <c r="B809" s="365"/>
      <c r="C809" s="366"/>
      <c r="D809" s="366"/>
      <c r="E809" s="366"/>
      <c r="F809" s="366"/>
      <c r="G809" s="366"/>
      <c r="H809" s="366"/>
      <c r="I809" s="366"/>
      <c r="J809" s="366" t="s">
        <v>72</v>
      </c>
      <c r="K809" s="246">
        <f>+K806*K807/K808</f>
        <v>114.90315540123459</v>
      </c>
      <c r="L809" s="396" t="s">
        <v>9</v>
      </c>
      <c r="M809" s="54"/>
      <c r="N809" s="54"/>
      <c r="T809" s="10"/>
      <c r="U809" s="10"/>
    </row>
    <row r="810" spans="1:21" ht="30" customHeight="1" x14ac:dyDescent="0.25">
      <c r="A810" s="366"/>
      <c r="B810" s="365"/>
      <c r="C810" s="366"/>
      <c r="D810" s="366"/>
      <c r="E810" s="366"/>
      <c r="F810" s="366"/>
      <c r="G810" s="580" t="s">
        <v>306</v>
      </c>
      <c r="H810" s="366"/>
      <c r="I810" s="366"/>
      <c r="J810" s="521">
        <f>VLOOKUP(B801,'Mil Cost Premiums for PUCs'!$A$4:$R$277,18,FALSE)</f>
        <v>1.0209999999999999</v>
      </c>
      <c r="K810" s="246">
        <f>+K809*J810</f>
        <v>117.3161216646605</v>
      </c>
      <c r="L810" s="396" t="s">
        <v>9</v>
      </c>
      <c r="M810" s="111"/>
      <c r="N810" s="54"/>
      <c r="T810" s="10"/>
      <c r="U810" s="10"/>
    </row>
    <row r="811" spans="1:21" s="345" customFormat="1" ht="30" customHeight="1" thickBot="1" x14ac:dyDescent="0.3">
      <c r="A811" s="365"/>
      <c r="B811" s="365"/>
      <c r="C811" s="366"/>
      <c r="D811" s="366"/>
      <c r="E811" s="366"/>
      <c r="F811" s="366"/>
      <c r="G811" s="1222" t="s">
        <v>439</v>
      </c>
      <c r="H811" s="1223"/>
      <c r="I811" s="366"/>
      <c r="J811" s="521">
        <f>+'2022 MILCON Inflation Table'!F17</f>
        <v>1.0833841548808889</v>
      </c>
      <c r="K811" s="246">
        <f>K810*J811</f>
        <v>127.09842732357176</v>
      </c>
      <c r="L811" s="396" t="s">
        <v>9</v>
      </c>
      <c r="M811" s="11"/>
      <c r="N811" s="54"/>
      <c r="O811" s="543"/>
      <c r="P811" s="344"/>
    </row>
    <row r="812" spans="1:21" ht="30" customHeight="1" thickBot="1" x14ac:dyDescent="0.3">
      <c r="A812" s="1180"/>
      <c r="B812" s="1181"/>
      <c r="C812" s="1181"/>
      <c r="D812" s="1181"/>
      <c r="E812" s="1181"/>
      <c r="F812" s="1181"/>
      <c r="G812" s="1181"/>
      <c r="H812" s="1181"/>
      <c r="I812" s="1181"/>
      <c r="J812" s="1181"/>
      <c r="K812" s="1181"/>
      <c r="L812" s="1182"/>
      <c r="M812" s="54"/>
      <c r="N812" s="54"/>
    </row>
    <row r="813" spans="1:21" ht="30" customHeight="1" x14ac:dyDescent="0.25">
      <c r="A813" s="327" t="s">
        <v>5</v>
      </c>
      <c r="B813" s="328">
        <v>1611</v>
      </c>
      <c r="C813" s="1251" t="s">
        <v>611</v>
      </c>
      <c r="D813" s="1252"/>
      <c r="E813" s="331" t="s">
        <v>8</v>
      </c>
      <c r="F813" s="332" t="s">
        <v>76</v>
      </c>
      <c r="G813" s="342" t="s">
        <v>74</v>
      </c>
      <c r="H813" s="156">
        <v>1</v>
      </c>
      <c r="I813" s="331" t="s">
        <v>10</v>
      </c>
      <c r="J813" s="1220" t="s">
        <v>612</v>
      </c>
      <c r="K813" s="1220"/>
      <c r="L813" s="1221"/>
      <c r="M813" s="112"/>
      <c r="N813" s="111"/>
    </row>
    <row r="814" spans="1:21" ht="30" customHeight="1" x14ac:dyDescent="0.25">
      <c r="A814" s="356"/>
      <c r="B814" s="1249" t="s">
        <v>468</v>
      </c>
      <c r="C814" s="1249"/>
      <c r="D814" s="1249"/>
      <c r="E814" s="356" t="s">
        <v>116</v>
      </c>
      <c r="F814" s="356" t="s">
        <v>117</v>
      </c>
      <c r="G814" s="1194" t="s">
        <v>118</v>
      </c>
      <c r="H814" s="1195"/>
      <c r="I814" s="356" t="s">
        <v>119</v>
      </c>
      <c r="J814" s="356" t="s">
        <v>120</v>
      </c>
      <c r="K814" s="1236" t="s">
        <v>72</v>
      </c>
      <c r="L814" s="1237"/>
      <c r="M814" s="54"/>
      <c r="O814" s="336"/>
      <c r="P814" s="334"/>
      <c r="Q814" s="335"/>
      <c r="R814" s="336"/>
      <c r="S814" s="337"/>
    </row>
    <row r="815" spans="1:21" ht="30" customHeight="1" thickBot="1" x14ac:dyDescent="0.3">
      <c r="A815" s="450"/>
      <c r="B815" s="1429">
        <v>656330.5</v>
      </c>
      <c r="C815" s="1429"/>
      <c r="D815" s="1429"/>
      <c r="E815" s="472"/>
      <c r="F815" s="473"/>
      <c r="G815" s="1456"/>
      <c r="H815" s="1457"/>
      <c r="I815" s="473"/>
      <c r="J815" s="474">
        <f>+'2022 MILCON Inflation Table'!F17</f>
        <v>1.0833841548808889</v>
      </c>
      <c r="K815" s="520">
        <f>B815*J815</f>
        <v>711058.06406505127</v>
      </c>
      <c r="L815" s="473" t="s">
        <v>76</v>
      </c>
      <c r="M815" s="54"/>
      <c r="N815" s="54"/>
      <c r="T815" s="10"/>
      <c r="U815" s="10"/>
    </row>
    <row r="816" spans="1:21" ht="30" customHeight="1" thickBot="1" x14ac:dyDescent="0.3">
      <c r="A816" s="1640"/>
      <c r="B816" s="1451"/>
      <c r="C816" s="1451"/>
      <c r="D816" s="1451"/>
      <c r="E816" s="1451"/>
      <c r="F816" s="1451"/>
      <c r="G816" s="1451"/>
      <c r="H816" s="1451"/>
      <c r="I816" s="1451"/>
      <c r="J816" s="1451"/>
      <c r="K816" s="1451"/>
      <c r="L816" s="1452"/>
      <c r="M816" s="54"/>
      <c r="N816" s="54"/>
      <c r="T816" s="10"/>
      <c r="U816" s="10"/>
    </row>
    <row r="817" spans="1:21" s="345" customFormat="1" ht="30" customHeight="1" x14ac:dyDescent="0.25">
      <c r="A817" s="349" t="s">
        <v>5</v>
      </c>
      <c r="B817" s="350">
        <v>1631</v>
      </c>
      <c r="C817" s="1151" t="s">
        <v>613</v>
      </c>
      <c r="D817" s="1152"/>
      <c r="E817" s="351" t="s">
        <v>8</v>
      </c>
      <c r="F817" s="352" t="s">
        <v>76</v>
      </c>
      <c r="G817" s="353" t="s">
        <v>74</v>
      </c>
      <c r="H817" s="50">
        <v>5</v>
      </c>
      <c r="I817" s="351" t="s">
        <v>10</v>
      </c>
      <c r="J817" s="1185" t="s">
        <v>3390</v>
      </c>
      <c r="K817" s="1185"/>
      <c r="L817" s="1532"/>
      <c r="M817" s="112"/>
      <c r="N817" s="54"/>
      <c r="O817" s="543"/>
      <c r="P817" s="344"/>
    </row>
    <row r="818" spans="1:21" ht="30" customHeight="1" x14ac:dyDescent="0.25">
      <c r="A818" s="356"/>
      <c r="B818" s="1249" t="s">
        <v>468</v>
      </c>
      <c r="C818" s="1249"/>
      <c r="D818" s="1249"/>
      <c r="E818" s="356" t="s">
        <v>116</v>
      </c>
      <c r="F818" s="356" t="s">
        <v>117</v>
      </c>
      <c r="G818" s="1194" t="s">
        <v>118</v>
      </c>
      <c r="H818" s="1195"/>
      <c r="I818" s="356" t="s">
        <v>119</v>
      </c>
      <c r="J818" s="356" t="s">
        <v>120</v>
      </c>
      <c r="K818" s="1236" t="s">
        <v>72</v>
      </c>
      <c r="L818" s="1237"/>
      <c r="M818" s="111"/>
      <c r="N818" s="54"/>
    </row>
    <row r="819" spans="1:21" ht="30" customHeight="1" thickBot="1" x14ac:dyDescent="0.3">
      <c r="A819" s="450"/>
      <c r="B819" s="1429">
        <v>13972.36</v>
      </c>
      <c r="C819" s="1429"/>
      <c r="D819" s="1429"/>
      <c r="E819" s="472"/>
      <c r="F819" s="473"/>
      <c r="G819" s="1456"/>
      <c r="H819" s="1457"/>
      <c r="I819" s="473"/>
      <c r="J819" s="474">
        <f>+'2022 MILCON Inflation Table'!F17</f>
        <v>1.0833841548808889</v>
      </c>
      <c r="K819" s="520">
        <f>B819*J819</f>
        <v>15137.433430291538</v>
      </c>
      <c r="L819" s="473" t="s">
        <v>76</v>
      </c>
      <c r="M819" s="54"/>
      <c r="N819" s="54"/>
    </row>
    <row r="820" spans="1:21" ht="30" customHeight="1" thickBot="1" x14ac:dyDescent="0.3">
      <c r="A820" s="1640"/>
      <c r="B820" s="1451"/>
      <c r="C820" s="1451"/>
      <c r="D820" s="1451"/>
      <c r="E820" s="1451"/>
      <c r="F820" s="1451"/>
      <c r="G820" s="1451"/>
      <c r="H820" s="1451"/>
      <c r="I820" s="1451"/>
      <c r="J820" s="1451"/>
      <c r="K820" s="1451"/>
      <c r="L820" s="1452"/>
      <c r="M820" s="54"/>
      <c r="N820" s="54"/>
    </row>
    <row r="821" spans="1:21" ht="30" customHeight="1" x14ac:dyDescent="0.25">
      <c r="A821" s="349" t="s">
        <v>5</v>
      </c>
      <c r="B821" s="350">
        <v>1641</v>
      </c>
      <c r="C821" s="1151" t="s">
        <v>614</v>
      </c>
      <c r="D821" s="1152"/>
      <c r="E821" s="351" t="s">
        <v>8</v>
      </c>
      <c r="F821" s="352" t="s">
        <v>40</v>
      </c>
      <c r="G821" s="353" t="s">
        <v>74</v>
      </c>
      <c r="H821" s="743">
        <v>1685</v>
      </c>
      <c r="I821" s="351" t="s">
        <v>10</v>
      </c>
      <c r="J821" s="1185" t="s">
        <v>3388</v>
      </c>
      <c r="K821" s="1185"/>
      <c r="L821" s="1532"/>
      <c r="M821" s="54"/>
      <c r="N821" s="54"/>
      <c r="O821" s="554"/>
    </row>
    <row r="822" spans="1:21" ht="30" customHeight="1" x14ac:dyDescent="0.25">
      <c r="A822" s="359" t="s">
        <v>295</v>
      </c>
      <c r="B822" s="1222" t="s">
        <v>326</v>
      </c>
      <c r="C822" s="1235"/>
      <c r="D822" s="1223"/>
      <c r="E822" s="577" t="s">
        <v>116</v>
      </c>
      <c r="F822" s="577" t="s">
        <v>117</v>
      </c>
      <c r="G822" s="1194" t="s">
        <v>118</v>
      </c>
      <c r="H822" s="1195"/>
      <c r="I822" s="633" t="s">
        <v>296</v>
      </c>
      <c r="J822" s="633"/>
      <c r="K822" s="1236" t="s">
        <v>285</v>
      </c>
      <c r="L822" s="1237"/>
      <c r="M822" s="54"/>
      <c r="N822" s="54"/>
      <c r="O822" s="554"/>
      <c r="T822" s="10"/>
      <c r="U822" s="10"/>
    </row>
    <row r="823" spans="1:21" ht="30" customHeight="1" x14ac:dyDescent="0.25">
      <c r="A823" s="365" t="s">
        <v>587</v>
      </c>
      <c r="B823" s="1209" t="s">
        <v>615</v>
      </c>
      <c r="C823" s="1210"/>
      <c r="D823" s="1211"/>
      <c r="E823" s="247">
        <f>+(570+940)/2</f>
        <v>755</v>
      </c>
      <c r="F823" s="365" t="s">
        <v>40</v>
      </c>
      <c r="G823" s="735">
        <v>0.5</v>
      </c>
      <c r="H823" s="589" t="s">
        <v>616</v>
      </c>
      <c r="I823" s="365">
        <v>1.04</v>
      </c>
      <c r="J823" s="706"/>
      <c r="K823" s="247">
        <f>+E823*I823*G823</f>
        <v>392.6</v>
      </c>
      <c r="L823" s="365" t="s">
        <v>40</v>
      </c>
      <c r="M823" s="54"/>
      <c r="N823" s="54"/>
      <c r="T823" s="10"/>
      <c r="U823" s="10"/>
    </row>
    <row r="824" spans="1:21" s="345" customFormat="1" ht="30" customHeight="1" x14ac:dyDescent="0.25">
      <c r="A824" s="365" t="s">
        <v>535</v>
      </c>
      <c r="B824" s="1209" t="s">
        <v>617</v>
      </c>
      <c r="C824" s="1210"/>
      <c r="D824" s="1211"/>
      <c r="E824" s="247">
        <f>(83.5+118)/2</f>
        <v>100.75</v>
      </c>
      <c r="F824" s="365" t="s">
        <v>9</v>
      </c>
      <c r="G824" s="365">
        <v>1.78</v>
      </c>
      <c r="H824" s="365" t="s">
        <v>618</v>
      </c>
      <c r="I824" s="365">
        <v>1.05</v>
      </c>
      <c r="J824" s="706"/>
      <c r="K824" s="247">
        <f>+E824*G824*I824</f>
        <v>188.30175000000003</v>
      </c>
      <c r="L824" s="365" t="s">
        <v>40</v>
      </c>
      <c r="M824" s="54"/>
      <c r="N824" s="54"/>
      <c r="O824" s="543"/>
      <c r="P824" s="344"/>
    </row>
    <row r="825" spans="1:21" ht="30" customHeight="1" x14ac:dyDescent="0.25">
      <c r="A825" s="365"/>
      <c r="B825" s="365"/>
      <c r="C825" s="366"/>
      <c r="D825" s="366"/>
      <c r="E825" s="366"/>
      <c r="F825" s="366"/>
      <c r="G825" s="366"/>
      <c r="H825" s="366"/>
      <c r="I825" s="366"/>
      <c r="J825" s="365" t="s">
        <v>300</v>
      </c>
      <c r="K825" s="246">
        <f>AVERAGE(K823:K824)</f>
        <v>290.450875</v>
      </c>
      <c r="L825" s="365" t="s">
        <v>40</v>
      </c>
      <c r="M825" s="54"/>
      <c r="N825" s="54"/>
    </row>
    <row r="826" spans="1:21" ht="30" customHeight="1" x14ac:dyDescent="0.25">
      <c r="A826" s="365"/>
      <c r="B826" s="578"/>
      <c r="C826" s="578"/>
      <c r="D826" s="578"/>
      <c r="E826" s="247"/>
      <c r="F826" s="1272" t="s">
        <v>303</v>
      </c>
      <c r="G826" s="1283" t="s">
        <v>304</v>
      </c>
      <c r="H826" s="1283"/>
      <c r="I826" s="1283"/>
      <c r="J826" s="1283"/>
      <c r="K826" s="250">
        <v>1.07</v>
      </c>
      <c r="L826" s="365"/>
      <c r="M826" s="54"/>
      <c r="N826" s="54"/>
      <c r="O826" s="340"/>
    </row>
    <row r="827" spans="1:21" ht="30" customHeight="1" x14ac:dyDescent="0.25">
      <c r="A827" s="365"/>
      <c r="B827" s="578"/>
      <c r="C827" s="578"/>
      <c r="D827" s="578"/>
      <c r="E827" s="247"/>
      <c r="F827" s="1273"/>
      <c r="G827" s="1284" t="s">
        <v>438</v>
      </c>
      <c r="H827" s="1284"/>
      <c r="I827" s="1284"/>
      <c r="J827" s="1284"/>
      <c r="K827" s="250">
        <v>1.08</v>
      </c>
      <c r="L827" s="365"/>
      <c r="M827" s="54"/>
      <c r="N827" s="54"/>
      <c r="T827" s="10"/>
      <c r="U827" s="10"/>
    </row>
    <row r="828" spans="1:21" ht="30" customHeight="1" x14ac:dyDescent="0.25">
      <c r="A828" s="365"/>
      <c r="B828" s="365"/>
      <c r="C828" s="366"/>
      <c r="D828" s="366"/>
      <c r="E828" s="366"/>
      <c r="F828" s="366"/>
      <c r="G828" s="580" t="s">
        <v>306</v>
      </c>
      <c r="H828" s="366"/>
      <c r="I828" s="366"/>
      <c r="J828" s="521">
        <f>VLOOKUP(B821,'Mil Cost Premiums for PUCs'!$A$4:$R$277,18,FALSE)</f>
        <v>1.0209999999999999</v>
      </c>
      <c r="K828" s="246">
        <f>+K825*K826/K827</f>
        <v>287.76151504629627</v>
      </c>
      <c r="L828" s="365" t="s">
        <v>40</v>
      </c>
      <c r="M828" s="111"/>
      <c r="N828" s="54"/>
      <c r="T828" s="10"/>
      <c r="U828" s="10"/>
    </row>
    <row r="829" spans="1:21" ht="30" customHeight="1" thickBot="1" x14ac:dyDescent="0.3">
      <c r="A829" s="365"/>
      <c r="B829" s="365"/>
      <c r="C829" s="366"/>
      <c r="D829" s="366"/>
      <c r="E829" s="366"/>
      <c r="F829" s="366"/>
      <c r="G829" s="1222" t="s">
        <v>439</v>
      </c>
      <c r="H829" s="1223"/>
      <c r="I829" s="366"/>
      <c r="J829" s="521">
        <f>+'2022 MILCON Inflation Table'!F17</f>
        <v>1.0833841548808889</v>
      </c>
      <c r="K829" s="246">
        <f>K828*J829</f>
        <v>311.75626578567585</v>
      </c>
      <c r="L829" s="365" t="s">
        <v>40</v>
      </c>
      <c r="N829" s="54"/>
      <c r="T829" s="10"/>
      <c r="U829" s="10"/>
    </row>
    <row r="830" spans="1:21" ht="30" customHeight="1" thickBot="1" x14ac:dyDescent="0.3">
      <c r="A830" s="1180"/>
      <c r="B830" s="1181"/>
      <c r="C830" s="1181"/>
      <c r="D830" s="1181"/>
      <c r="E830" s="1181"/>
      <c r="F830" s="1181"/>
      <c r="G830" s="1181"/>
      <c r="H830" s="1181"/>
      <c r="I830" s="1181"/>
      <c r="J830" s="1181"/>
      <c r="K830" s="1181"/>
      <c r="L830" s="1182"/>
      <c r="M830" s="54"/>
      <c r="N830" s="54"/>
    </row>
    <row r="831" spans="1:21" ht="30" customHeight="1" x14ac:dyDescent="0.25">
      <c r="A831" s="327" t="s">
        <v>5</v>
      </c>
      <c r="B831" s="328">
        <v>1711</v>
      </c>
      <c r="C831" s="1218" t="s">
        <v>619</v>
      </c>
      <c r="D831" s="1219"/>
      <c r="E831" s="331" t="s">
        <v>8</v>
      </c>
      <c r="F831" s="332" t="s">
        <v>205</v>
      </c>
      <c r="G831" s="342" t="s">
        <v>74</v>
      </c>
      <c r="H831" s="248">
        <v>12293</v>
      </c>
      <c r="I831" s="331" t="s">
        <v>10</v>
      </c>
      <c r="J831" s="1220" t="s">
        <v>281</v>
      </c>
      <c r="K831" s="1220"/>
      <c r="L831" s="1221"/>
      <c r="M831" s="54"/>
      <c r="N831" s="54"/>
    </row>
    <row r="832" spans="1:21" ht="30" customHeight="1" x14ac:dyDescent="0.25">
      <c r="A832" s="356" t="s">
        <v>282</v>
      </c>
      <c r="B832" s="1163" t="s">
        <v>13</v>
      </c>
      <c r="C832" s="1163"/>
      <c r="D832" s="1163"/>
      <c r="E832" s="357" t="s">
        <v>283</v>
      </c>
      <c r="F832" s="546" t="s">
        <v>116</v>
      </c>
      <c r="G832" s="356"/>
      <c r="H832" s="356"/>
      <c r="I832" s="1276" t="s">
        <v>284</v>
      </c>
      <c r="J832" s="1277"/>
      <c r="K832" s="1236" t="s">
        <v>285</v>
      </c>
      <c r="L832" s="1237"/>
      <c r="M832" s="54"/>
      <c r="N832" s="54"/>
      <c r="O832" s="554"/>
      <c r="T832" s="10"/>
      <c r="U832" s="10"/>
    </row>
    <row r="833" spans="1:21" ht="30" customHeight="1" x14ac:dyDescent="0.25">
      <c r="A833" s="367" t="s">
        <v>286</v>
      </c>
      <c r="B833" s="1164" t="s">
        <v>620</v>
      </c>
      <c r="C833" s="1164"/>
      <c r="D833" s="1164"/>
      <c r="E833" s="547">
        <v>27000</v>
      </c>
      <c r="F833" s="240">
        <v>481</v>
      </c>
      <c r="G833" s="548"/>
      <c r="H833" s="549"/>
      <c r="I833" s="1302" t="s">
        <v>288</v>
      </c>
      <c r="J833" s="1303"/>
      <c r="K833" s="240">
        <f>+F833</f>
        <v>481</v>
      </c>
      <c r="L833" s="367" t="s">
        <v>205</v>
      </c>
      <c r="M833" s="111"/>
      <c r="N833" s="111"/>
      <c r="O833" s="554"/>
      <c r="T833" s="10"/>
      <c r="U833" s="10"/>
    </row>
    <row r="834" spans="1:21" s="345" customFormat="1" ht="30" customHeight="1" thickBot="1" x14ac:dyDescent="0.3">
      <c r="A834" s="365"/>
      <c r="B834" s="1281"/>
      <c r="C834" s="1281"/>
      <c r="D834" s="1281"/>
      <c r="E834" s="550"/>
      <c r="F834" s="551"/>
      <c r="G834" s="551"/>
      <c r="H834" s="552"/>
      <c r="I834" s="366"/>
      <c r="J834" s="359" t="s">
        <v>72</v>
      </c>
      <c r="K834" s="246">
        <f>+K833</f>
        <v>481</v>
      </c>
      <c r="L834" s="365" t="s">
        <v>205</v>
      </c>
      <c r="M834" s="54"/>
      <c r="N834" s="54"/>
      <c r="O834" s="543"/>
      <c r="P834" s="344"/>
    </row>
    <row r="835" spans="1:21" ht="30" customHeight="1" thickBot="1" x14ac:dyDescent="0.3">
      <c r="A835" s="1180"/>
      <c r="B835" s="1181"/>
      <c r="C835" s="1181"/>
      <c r="D835" s="1181"/>
      <c r="E835" s="1181"/>
      <c r="F835" s="1181"/>
      <c r="G835" s="1181"/>
      <c r="H835" s="1181"/>
      <c r="I835" s="1181"/>
      <c r="J835" s="1181"/>
      <c r="K835" s="1181"/>
      <c r="L835" s="1182"/>
      <c r="M835" s="54"/>
      <c r="N835" s="54"/>
    </row>
    <row r="836" spans="1:21" ht="30" customHeight="1" x14ac:dyDescent="0.25">
      <c r="A836" s="327" t="s">
        <v>5</v>
      </c>
      <c r="B836" s="328">
        <v>1712</v>
      </c>
      <c r="C836" s="1218" t="s">
        <v>621</v>
      </c>
      <c r="D836" s="1219"/>
      <c r="E836" s="331" t="s">
        <v>8</v>
      </c>
      <c r="F836" s="332" t="s">
        <v>205</v>
      </c>
      <c r="G836" s="342" t="s">
        <v>74</v>
      </c>
      <c r="H836" s="248">
        <v>15355</v>
      </c>
      <c r="I836" s="331" t="s">
        <v>10</v>
      </c>
      <c r="J836" s="1220" t="s">
        <v>281</v>
      </c>
      <c r="K836" s="1220"/>
      <c r="L836" s="1221"/>
      <c r="M836" s="54"/>
      <c r="N836" s="54"/>
      <c r="T836" s="10"/>
      <c r="U836" s="10"/>
    </row>
    <row r="837" spans="1:21" ht="30" customHeight="1" x14ac:dyDescent="0.25">
      <c r="A837" s="356" t="s">
        <v>282</v>
      </c>
      <c r="B837" s="1163" t="s">
        <v>13</v>
      </c>
      <c r="C837" s="1163"/>
      <c r="D837" s="1163"/>
      <c r="E837" s="357" t="s">
        <v>283</v>
      </c>
      <c r="F837" s="546" t="s">
        <v>116</v>
      </c>
      <c r="G837" s="356"/>
      <c r="H837" s="356"/>
      <c r="I837" s="1276" t="s">
        <v>284</v>
      </c>
      <c r="J837" s="1277"/>
      <c r="K837" s="1236" t="s">
        <v>285</v>
      </c>
      <c r="L837" s="1237"/>
      <c r="M837" s="54"/>
      <c r="N837" s="54"/>
      <c r="T837" s="10"/>
      <c r="U837" s="10"/>
    </row>
    <row r="838" spans="1:21" s="345" customFormat="1" ht="30" customHeight="1" x14ac:dyDescent="0.25">
      <c r="A838" s="367" t="s">
        <v>286</v>
      </c>
      <c r="B838" s="1164" t="s">
        <v>622</v>
      </c>
      <c r="C838" s="1164"/>
      <c r="D838" s="1164"/>
      <c r="E838" s="547">
        <v>24000</v>
      </c>
      <c r="F838" s="240">
        <v>346</v>
      </c>
      <c r="G838" s="548"/>
      <c r="H838" s="549"/>
      <c r="I838" s="1302" t="s">
        <v>288</v>
      </c>
      <c r="J838" s="1303"/>
      <c r="K838" s="240">
        <f>+F838</f>
        <v>346</v>
      </c>
      <c r="L838" s="367" t="s">
        <v>205</v>
      </c>
      <c r="M838" s="54"/>
      <c r="N838" s="54"/>
      <c r="O838" s="543"/>
      <c r="P838" s="344"/>
    </row>
    <row r="839" spans="1:21" ht="30" customHeight="1" thickBot="1" x14ac:dyDescent="0.3">
      <c r="A839" s="365"/>
      <c r="B839" s="1281"/>
      <c r="C839" s="1281"/>
      <c r="D839" s="1281"/>
      <c r="E839" s="550"/>
      <c r="F839" s="551"/>
      <c r="G839" s="551"/>
      <c r="H839" s="552"/>
      <c r="I839" s="366"/>
      <c r="J839" s="359" t="s">
        <v>72</v>
      </c>
      <c r="K839" s="246">
        <f>+K838</f>
        <v>346</v>
      </c>
      <c r="L839" s="365" t="s">
        <v>205</v>
      </c>
      <c r="M839" s="54"/>
      <c r="N839" s="111"/>
    </row>
    <row r="840" spans="1:21" ht="30" customHeight="1" thickBot="1" x14ac:dyDescent="0.3">
      <c r="A840" s="1180"/>
      <c r="B840" s="1181"/>
      <c r="C840" s="1181"/>
      <c r="D840" s="1181"/>
      <c r="E840" s="1181"/>
      <c r="F840" s="1181"/>
      <c r="G840" s="1181"/>
      <c r="H840" s="1181"/>
      <c r="I840" s="1181"/>
      <c r="J840" s="1181"/>
      <c r="K840" s="1181"/>
      <c r="L840" s="1182"/>
      <c r="M840" s="54"/>
      <c r="N840" s="54"/>
    </row>
    <row r="841" spans="1:21" ht="30" customHeight="1" x14ac:dyDescent="0.25">
      <c r="A841" s="327" t="s">
        <v>5</v>
      </c>
      <c r="B841" s="328">
        <v>1713</v>
      </c>
      <c r="C841" s="1218" t="s">
        <v>623</v>
      </c>
      <c r="D841" s="1219"/>
      <c r="E841" s="331" t="s">
        <v>8</v>
      </c>
      <c r="F841" s="332" t="s">
        <v>205</v>
      </c>
      <c r="G841" s="342" t="s">
        <v>74</v>
      </c>
      <c r="H841" s="159">
        <v>10623</v>
      </c>
      <c r="I841" s="331" t="s">
        <v>10</v>
      </c>
      <c r="J841" s="1220" t="s">
        <v>624</v>
      </c>
      <c r="K841" s="1220"/>
      <c r="L841" s="1221"/>
      <c r="M841" s="111"/>
      <c r="N841" s="54"/>
      <c r="T841" s="10"/>
      <c r="U841" s="10"/>
    </row>
    <row r="842" spans="1:21" ht="30" customHeight="1" x14ac:dyDescent="0.25">
      <c r="A842" s="356" t="s">
        <v>282</v>
      </c>
      <c r="B842" s="1163" t="s">
        <v>13</v>
      </c>
      <c r="C842" s="1163"/>
      <c r="D842" s="1163"/>
      <c r="E842" s="546" t="s">
        <v>116</v>
      </c>
      <c r="F842" s="356" t="s">
        <v>283</v>
      </c>
      <c r="G842" s="1314" t="s">
        <v>118</v>
      </c>
      <c r="H842" s="1315"/>
      <c r="I842" s="1276" t="s">
        <v>284</v>
      </c>
      <c r="J842" s="1277"/>
      <c r="K842" s="1236" t="s">
        <v>285</v>
      </c>
      <c r="L842" s="1237"/>
      <c r="M842" s="54"/>
      <c r="N842" s="54"/>
      <c r="T842" s="10"/>
      <c r="U842" s="10"/>
    </row>
    <row r="843" spans="1:21" s="345" customFormat="1" ht="30" customHeight="1" x14ac:dyDescent="0.25">
      <c r="A843" s="365">
        <v>14129</v>
      </c>
      <c r="B843" s="1214" t="s">
        <v>625</v>
      </c>
      <c r="C843" s="1215"/>
      <c r="D843" s="1216"/>
      <c r="E843" s="247">
        <v>357</v>
      </c>
      <c r="F843" s="257">
        <v>135770</v>
      </c>
      <c r="G843" s="548"/>
      <c r="H843" s="548"/>
      <c r="I843" s="1183">
        <f>+'2022 MILCON Inflation Table'!F21</f>
        <v>0.94047825952836139</v>
      </c>
      <c r="J843" s="1184"/>
      <c r="K843" s="253">
        <f>+E843*I843</f>
        <v>335.750738651625</v>
      </c>
      <c r="L843" s="367" t="s">
        <v>205</v>
      </c>
      <c r="M843" s="111"/>
      <c r="N843" s="54"/>
      <c r="O843" s="543"/>
      <c r="P843" s="344"/>
    </row>
    <row r="844" spans="1:21" ht="30" customHeight="1" thickBot="1" x14ac:dyDescent="0.3">
      <c r="A844" s="365"/>
      <c r="B844" s="338"/>
      <c r="C844" s="333"/>
      <c r="D844" s="333"/>
      <c r="E844" s="333"/>
      <c r="F844" s="744"/>
      <c r="G844" s="333"/>
      <c r="H844" s="729"/>
      <c r="I844" s="366"/>
      <c r="J844" s="359" t="s">
        <v>72</v>
      </c>
      <c r="K844" s="243">
        <f>+K843</f>
        <v>335.750738651625</v>
      </c>
      <c r="L844" s="365" t="s">
        <v>205</v>
      </c>
      <c r="M844" s="54"/>
      <c r="N844" s="54"/>
    </row>
    <row r="845" spans="1:21" ht="30" customHeight="1" thickBot="1" x14ac:dyDescent="0.3">
      <c r="A845" s="1180"/>
      <c r="B845" s="1181"/>
      <c r="C845" s="1181"/>
      <c r="D845" s="1181"/>
      <c r="E845" s="1181"/>
      <c r="F845" s="1181"/>
      <c r="G845" s="1181"/>
      <c r="H845" s="1181"/>
      <c r="I845" s="1181"/>
      <c r="J845" s="1181"/>
      <c r="K845" s="1181"/>
      <c r="L845" s="1182"/>
      <c r="M845" s="54"/>
      <c r="N845" s="54"/>
      <c r="O845" s="340"/>
    </row>
    <row r="846" spans="1:21" ht="30" customHeight="1" x14ac:dyDescent="0.25">
      <c r="A846" s="327" t="s">
        <v>5</v>
      </c>
      <c r="B846" s="328">
        <v>1714</v>
      </c>
      <c r="C846" s="1218" t="s">
        <v>626</v>
      </c>
      <c r="D846" s="1219"/>
      <c r="E846" s="331" t="s">
        <v>8</v>
      </c>
      <c r="F846" s="332" t="s">
        <v>205</v>
      </c>
      <c r="G846" s="342" t="s">
        <v>74</v>
      </c>
      <c r="H846" s="248">
        <v>20859</v>
      </c>
      <c r="I846" s="331" t="s">
        <v>10</v>
      </c>
      <c r="J846" s="1220" t="s">
        <v>281</v>
      </c>
      <c r="K846" s="1220"/>
      <c r="L846" s="1221"/>
      <c r="M846" s="54"/>
      <c r="N846" s="54"/>
      <c r="T846" s="10"/>
      <c r="U846" s="10"/>
    </row>
    <row r="847" spans="1:21" ht="30" customHeight="1" x14ac:dyDescent="0.25">
      <c r="A847" s="356" t="s">
        <v>282</v>
      </c>
      <c r="B847" s="1163" t="s">
        <v>13</v>
      </c>
      <c r="C847" s="1163"/>
      <c r="D847" s="1163"/>
      <c r="E847" s="357" t="s">
        <v>283</v>
      </c>
      <c r="F847" s="546" t="s">
        <v>116</v>
      </c>
      <c r="G847" s="356"/>
      <c r="H847" s="356"/>
      <c r="I847" s="1276" t="s">
        <v>284</v>
      </c>
      <c r="J847" s="1277"/>
      <c r="K847" s="1236" t="s">
        <v>285</v>
      </c>
      <c r="L847" s="1237"/>
      <c r="M847" s="54"/>
      <c r="N847" s="54"/>
      <c r="T847" s="10"/>
      <c r="U847" s="10"/>
    </row>
    <row r="848" spans="1:21" s="345" customFormat="1" ht="30" customHeight="1" x14ac:dyDescent="0.25">
      <c r="A848" s="367" t="s">
        <v>286</v>
      </c>
      <c r="B848" s="1164" t="s">
        <v>627</v>
      </c>
      <c r="C848" s="1164"/>
      <c r="D848" s="1164"/>
      <c r="E848" s="547">
        <v>44000</v>
      </c>
      <c r="F848" s="240">
        <v>390</v>
      </c>
      <c r="G848" s="548"/>
      <c r="H848" s="549"/>
      <c r="I848" s="1302" t="str">
        <f>$I$838</f>
        <v>NA;  GUCs are as of October 2021</v>
      </c>
      <c r="J848" s="1303"/>
      <c r="K848" s="240">
        <f>+F848</f>
        <v>390</v>
      </c>
      <c r="L848" s="367" t="s">
        <v>205</v>
      </c>
      <c r="M848" s="111"/>
      <c r="N848" s="54"/>
      <c r="O848" s="543"/>
      <c r="P848" s="344"/>
    </row>
    <row r="849" spans="1:21" ht="30" customHeight="1" thickBot="1" x14ac:dyDescent="0.3">
      <c r="A849" s="365"/>
      <c r="B849" s="1281"/>
      <c r="C849" s="1281"/>
      <c r="D849" s="1281"/>
      <c r="E849" s="550"/>
      <c r="F849" s="551"/>
      <c r="G849" s="551"/>
      <c r="H849" s="552"/>
      <c r="I849" s="366"/>
      <c r="J849" s="359" t="s">
        <v>72</v>
      </c>
      <c r="K849" s="246">
        <f>+K848</f>
        <v>390</v>
      </c>
      <c r="L849" s="365" t="s">
        <v>205</v>
      </c>
      <c r="M849" s="54"/>
      <c r="N849" s="54"/>
    </row>
    <row r="850" spans="1:21" ht="30" customHeight="1" thickBot="1" x14ac:dyDescent="0.3">
      <c r="A850" s="1180"/>
      <c r="B850" s="1181"/>
      <c r="C850" s="1181"/>
      <c r="D850" s="1181"/>
      <c r="E850" s="1181"/>
      <c r="F850" s="1181"/>
      <c r="G850" s="1181"/>
      <c r="H850" s="1181"/>
      <c r="I850" s="1181"/>
      <c r="J850" s="1181"/>
      <c r="K850" s="1181"/>
      <c r="L850" s="1182"/>
      <c r="M850" s="54"/>
      <c r="N850" s="54"/>
      <c r="O850" s="340"/>
    </row>
    <row r="851" spans="1:21" ht="30" customHeight="1" x14ac:dyDescent="0.25">
      <c r="A851" s="327" t="s">
        <v>5</v>
      </c>
      <c r="B851" s="745">
        <v>1715</v>
      </c>
      <c r="C851" s="1218" t="s">
        <v>628</v>
      </c>
      <c r="D851" s="1219"/>
      <c r="E851" s="331" t="s">
        <v>8</v>
      </c>
      <c r="F851" s="332" t="s">
        <v>205</v>
      </c>
      <c r="G851" s="342" t="s">
        <v>74</v>
      </c>
      <c r="H851" s="156">
        <v>53337</v>
      </c>
      <c r="I851" s="331" t="s">
        <v>10</v>
      </c>
      <c r="J851" s="1220" t="s">
        <v>3399</v>
      </c>
      <c r="K851" s="1220"/>
      <c r="L851" s="1221"/>
      <c r="M851" s="111"/>
      <c r="N851" s="54"/>
      <c r="T851" s="10"/>
      <c r="U851" s="10"/>
    </row>
    <row r="852" spans="1:21" ht="30" customHeight="1" x14ac:dyDescent="0.25">
      <c r="A852" s="356" t="s">
        <v>282</v>
      </c>
      <c r="B852" s="1163" t="s">
        <v>13</v>
      </c>
      <c r="C852" s="1163"/>
      <c r="D852" s="1163"/>
      <c r="E852" s="546" t="s">
        <v>116</v>
      </c>
      <c r="F852" s="356" t="s">
        <v>283</v>
      </c>
      <c r="G852" s="1314" t="s">
        <v>118</v>
      </c>
      <c r="H852" s="1315"/>
      <c r="I852" s="1276" t="s">
        <v>284</v>
      </c>
      <c r="J852" s="1277"/>
      <c r="K852" s="1236" t="s">
        <v>285</v>
      </c>
      <c r="L852" s="1237"/>
      <c r="M852" s="54"/>
      <c r="N852" s="54"/>
      <c r="T852" s="10"/>
      <c r="U852" s="10"/>
    </row>
    <row r="853" spans="1:21" s="345" customFormat="1" ht="30" customHeight="1" x14ac:dyDescent="0.25">
      <c r="A853" s="367">
        <v>74028</v>
      </c>
      <c r="B853" s="1164" t="s">
        <v>630</v>
      </c>
      <c r="C853" s="1164"/>
      <c r="D853" s="1164"/>
      <c r="E853" s="244">
        <v>250</v>
      </c>
      <c r="F853" s="746">
        <v>62000</v>
      </c>
      <c r="G853" s="367"/>
      <c r="H853" s="367"/>
      <c r="I853" s="1302">
        <f>+'2022 MILCON Inflation Table'!F16</f>
        <v>1.0945893340593744</v>
      </c>
      <c r="J853" s="1303"/>
      <c r="K853" s="747">
        <f>+E853*I853</f>
        <v>273.64733351484358</v>
      </c>
      <c r="L853" s="360" t="s">
        <v>205</v>
      </c>
      <c r="M853" s="54"/>
      <c r="N853" s="54"/>
      <c r="O853" s="543"/>
      <c r="P853" s="344"/>
    </row>
    <row r="854" spans="1:21" ht="30" customHeight="1" thickBot="1" x14ac:dyDescent="0.3">
      <c r="A854" s="365"/>
      <c r="B854" s="1281"/>
      <c r="C854" s="1281"/>
      <c r="D854" s="1281"/>
      <c r="E854" s="550"/>
      <c r="F854" s="551"/>
      <c r="G854" s="551"/>
      <c r="H854" s="552"/>
      <c r="I854" s="366"/>
      <c r="J854" s="359" t="s">
        <v>72</v>
      </c>
      <c r="K854" s="243">
        <f>+K853</f>
        <v>273.64733351484358</v>
      </c>
      <c r="L854" s="365" t="s">
        <v>205</v>
      </c>
      <c r="M854" s="111"/>
      <c r="N854" s="54"/>
      <c r="O854" s="544"/>
    </row>
    <row r="855" spans="1:21" ht="30" customHeight="1" thickBot="1" x14ac:dyDescent="0.3">
      <c r="A855" s="1180"/>
      <c r="B855" s="1181"/>
      <c r="C855" s="1181"/>
      <c r="D855" s="1181"/>
      <c r="E855" s="1181"/>
      <c r="F855" s="1181"/>
      <c r="G855" s="1181"/>
      <c r="H855" s="1181"/>
      <c r="I855" s="1181"/>
      <c r="J855" s="1181"/>
      <c r="K855" s="1181"/>
      <c r="L855" s="1182"/>
      <c r="M855" s="54"/>
      <c r="N855" s="54"/>
    </row>
    <row r="856" spans="1:21" ht="30" customHeight="1" x14ac:dyDescent="0.25">
      <c r="A856" s="327" t="s">
        <v>5</v>
      </c>
      <c r="B856" s="328">
        <v>1717</v>
      </c>
      <c r="C856" s="1218" t="s">
        <v>631</v>
      </c>
      <c r="D856" s="1219"/>
      <c r="E856" s="331" t="s">
        <v>8</v>
      </c>
      <c r="F856" s="332" t="s">
        <v>205</v>
      </c>
      <c r="G856" s="342" t="s">
        <v>74</v>
      </c>
      <c r="H856" s="248">
        <v>4563</v>
      </c>
      <c r="I856" s="331" t="s">
        <v>10</v>
      </c>
      <c r="J856" s="1220" t="s">
        <v>281</v>
      </c>
      <c r="K856" s="1220"/>
      <c r="L856" s="1221"/>
      <c r="M856" s="54"/>
      <c r="N856" s="54"/>
      <c r="O856" s="340"/>
    </row>
    <row r="857" spans="1:21" ht="30" customHeight="1" x14ac:dyDescent="0.25">
      <c r="A857" s="356" t="s">
        <v>282</v>
      </c>
      <c r="B857" s="1163" t="s">
        <v>13</v>
      </c>
      <c r="C857" s="1163"/>
      <c r="D857" s="1163"/>
      <c r="E857" s="357" t="s">
        <v>283</v>
      </c>
      <c r="F857" s="546" t="s">
        <v>116</v>
      </c>
      <c r="G857" s="356"/>
      <c r="H857" s="356"/>
      <c r="I857" s="1276" t="s">
        <v>284</v>
      </c>
      <c r="J857" s="1277"/>
      <c r="K857" s="1236" t="s">
        <v>285</v>
      </c>
      <c r="L857" s="1237"/>
      <c r="M857" s="54"/>
      <c r="N857" s="54"/>
      <c r="T857" s="10"/>
      <c r="U857" s="10"/>
    </row>
    <row r="858" spans="1:21" ht="30" customHeight="1" x14ac:dyDescent="0.25">
      <c r="A858" s="367" t="s">
        <v>286</v>
      </c>
      <c r="B858" s="1164" t="s">
        <v>632</v>
      </c>
      <c r="C858" s="1164"/>
      <c r="D858" s="1164"/>
      <c r="E858" s="547">
        <v>27000</v>
      </c>
      <c r="F858" s="240">
        <v>481</v>
      </c>
      <c r="G858" s="548"/>
      <c r="H858" s="549"/>
      <c r="I858" s="1302" t="str">
        <f>$I$838</f>
        <v>NA;  GUCs are as of October 2021</v>
      </c>
      <c r="J858" s="1303"/>
      <c r="K858" s="240">
        <f>+F858</f>
        <v>481</v>
      </c>
      <c r="L858" s="367" t="s">
        <v>205</v>
      </c>
      <c r="M858" s="54"/>
      <c r="N858" s="54"/>
      <c r="T858" s="10"/>
      <c r="U858" s="10"/>
    </row>
    <row r="859" spans="1:21" s="345" customFormat="1" ht="30" customHeight="1" thickBot="1" x14ac:dyDescent="0.3">
      <c r="A859" s="365"/>
      <c r="B859" s="1281"/>
      <c r="C859" s="1281"/>
      <c r="D859" s="1281"/>
      <c r="E859" s="550"/>
      <c r="F859" s="551"/>
      <c r="G859" s="551"/>
      <c r="H859" s="552"/>
      <c r="I859" s="366"/>
      <c r="J859" s="359" t="s">
        <v>72</v>
      </c>
      <c r="K859" s="246">
        <f>+K858</f>
        <v>481</v>
      </c>
      <c r="L859" s="365" t="s">
        <v>205</v>
      </c>
      <c r="M859" s="54"/>
      <c r="N859" s="54"/>
      <c r="O859" s="543"/>
      <c r="P859" s="344"/>
    </row>
    <row r="860" spans="1:21" ht="30" customHeight="1" thickBot="1" x14ac:dyDescent="0.3">
      <c r="A860" s="1180"/>
      <c r="B860" s="1181"/>
      <c r="C860" s="1181"/>
      <c r="D860" s="1181"/>
      <c r="E860" s="1181"/>
      <c r="F860" s="1181"/>
      <c r="G860" s="1181"/>
      <c r="H860" s="1181"/>
      <c r="I860" s="1181"/>
      <c r="J860" s="1181"/>
      <c r="K860" s="1181"/>
      <c r="L860" s="1182"/>
      <c r="M860" s="54"/>
      <c r="N860" s="54"/>
    </row>
    <row r="861" spans="1:21" ht="30" customHeight="1" x14ac:dyDescent="0.25">
      <c r="A861" s="327" t="s">
        <v>5</v>
      </c>
      <c r="B861" s="328">
        <v>1718</v>
      </c>
      <c r="C861" s="1218" t="s">
        <v>633</v>
      </c>
      <c r="D861" s="1219"/>
      <c r="E861" s="331" t="s">
        <v>8</v>
      </c>
      <c r="F861" s="332" t="s">
        <v>205</v>
      </c>
      <c r="G861" s="342" t="s">
        <v>74</v>
      </c>
      <c r="H861" s="248">
        <v>6135</v>
      </c>
      <c r="I861" s="331" t="s">
        <v>10</v>
      </c>
      <c r="J861" s="1220" t="s">
        <v>281</v>
      </c>
      <c r="K861" s="1220"/>
      <c r="L861" s="1221"/>
      <c r="M861" s="54"/>
      <c r="N861" s="54"/>
      <c r="O861" s="340"/>
    </row>
    <row r="862" spans="1:21" ht="30" customHeight="1" x14ac:dyDescent="0.25">
      <c r="A862" s="356" t="s">
        <v>282</v>
      </c>
      <c r="B862" s="1163" t="s">
        <v>13</v>
      </c>
      <c r="C862" s="1163"/>
      <c r="D862" s="1163"/>
      <c r="E862" s="357" t="s">
        <v>283</v>
      </c>
      <c r="F862" s="546" t="s">
        <v>116</v>
      </c>
      <c r="G862" s="356"/>
      <c r="H862" s="356"/>
      <c r="I862" s="1276" t="s">
        <v>284</v>
      </c>
      <c r="J862" s="1277"/>
      <c r="K862" s="1236" t="s">
        <v>285</v>
      </c>
      <c r="L862" s="1237"/>
      <c r="M862" s="54"/>
      <c r="N862" s="54"/>
      <c r="T862" s="10"/>
      <c r="U862" s="10"/>
    </row>
    <row r="863" spans="1:21" ht="30" customHeight="1" x14ac:dyDescent="0.25">
      <c r="A863" s="367" t="s">
        <v>286</v>
      </c>
      <c r="B863" s="1164" t="s">
        <v>634</v>
      </c>
      <c r="C863" s="1164"/>
      <c r="D863" s="1164"/>
      <c r="E863" s="547">
        <v>36000</v>
      </c>
      <c r="F863" s="240">
        <v>327</v>
      </c>
      <c r="G863" s="548"/>
      <c r="H863" s="549"/>
      <c r="I863" s="1302" t="str">
        <f>$I$838</f>
        <v>NA;  GUCs are as of October 2021</v>
      </c>
      <c r="J863" s="1303"/>
      <c r="K863" s="240">
        <f>+F863</f>
        <v>327</v>
      </c>
      <c r="L863" s="367" t="s">
        <v>205</v>
      </c>
      <c r="M863" s="54"/>
      <c r="N863" s="54"/>
      <c r="T863" s="10"/>
      <c r="U863" s="10"/>
    </row>
    <row r="864" spans="1:21" ht="30" customHeight="1" thickBot="1" x14ac:dyDescent="0.3">
      <c r="A864" s="365"/>
      <c r="B864" s="1281"/>
      <c r="C864" s="1281"/>
      <c r="D864" s="1281"/>
      <c r="E864" s="550"/>
      <c r="F864" s="551"/>
      <c r="G864" s="551"/>
      <c r="H864" s="552"/>
      <c r="I864" s="366"/>
      <c r="J864" s="359" t="s">
        <v>72</v>
      </c>
      <c r="K864" s="246">
        <f>+K863</f>
        <v>327</v>
      </c>
      <c r="L864" s="365" t="s">
        <v>205</v>
      </c>
      <c r="M864" s="54"/>
      <c r="N864" s="54"/>
      <c r="O864" s="336"/>
      <c r="P864" s="334"/>
      <c r="Q864" s="335"/>
      <c r="R864" s="336"/>
      <c r="S864" s="337"/>
    </row>
    <row r="865" spans="1:19" ht="30" customHeight="1" thickBot="1" x14ac:dyDescent="0.3">
      <c r="A865" s="1180"/>
      <c r="B865" s="1181"/>
      <c r="C865" s="1181"/>
      <c r="D865" s="1181"/>
      <c r="E865" s="1181"/>
      <c r="F865" s="1181"/>
      <c r="G865" s="1181"/>
      <c r="H865" s="1181"/>
      <c r="I865" s="1181"/>
      <c r="J865" s="1181"/>
      <c r="K865" s="1181"/>
      <c r="L865" s="1182"/>
      <c r="M865" s="54"/>
      <c r="N865" s="54"/>
      <c r="O865" s="336"/>
      <c r="P865" s="334"/>
      <c r="Q865" s="335"/>
      <c r="R865" s="336"/>
      <c r="S865" s="337"/>
    </row>
    <row r="866" spans="1:19" ht="30" customHeight="1" x14ac:dyDescent="0.25">
      <c r="A866" s="327" t="s">
        <v>5</v>
      </c>
      <c r="B866" s="328">
        <v>1721</v>
      </c>
      <c r="C866" s="1218" t="s">
        <v>635</v>
      </c>
      <c r="D866" s="1219"/>
      <c r="E866" s="331" t="s">
        <v>8</v>
      </c>
      <c r="F866" s="332" t="s">
        <v>205</v>
      </c>
      <c r="G866" s="342" t="s">
        <v>74</v>
      </c>
      <c r="H866" s="248">
        <v>15277</v>
      </c>
      <c r="I866" s="331" t="s">
        <v>10</v>
      </c>
      <c r="J866" s="1220" t="s">
        <v>281</v>
      </c>
      <c r="K866" s="1220"/>
      <c r="L866" s="1221"/>
      <c r="M866" s="54"/>
      <c r="N866" s="54"/>
      <c r="O866" s="336"/>
      <c r="P866" s="334"/>
      <c r="Q866" s="335"/>
      <c r="R866" s="336"/>
      <c r="S866" s="337"/>
    </row>
    <row r="867" spans="1:19" ht="30" customHeight="1" x14ac:dyDescent="0.25">
      <c r="A867" s="356" t="s">
        <v>282</v>
      </c>
      <c r="B867" s="1163" t="s">
        <v>13</v>
      </c>
      <c r="C867" s="1163"/>
      <c r="D867" s="1163"/>
      <c r="E867" s="357" t="s">
        <v>283</v>
      </c>
      <c r="F867" s="546" t="s">
        <v>116</v>
      </c>
      <c r="G867" s="356"/>
      <c r="H867" s="356"/>
      <c r="I867" s="1276" t="s">
        <v>284</v>
      </c>
      <c r="J867" s="1277"/>
      <c r="K867" s="1236" t="s">
        <v>285</v>
      </c>
      <c r="L867" s="1237"/>
      <c r="M867" s="54"/>
      <c r="N867" s="111"/>
      <c r="O867" s="336"/>
      <c r="P867" s="334"/>
      <c r="Q867" s="335"/>
      <c r="R867" s="336"/>
      <c r="S867" s="337"/>
    </row>
    <row r="868" spans="1:19" ht="30" customHeight="1" x14ac:dyDescent="0.25">
      <c r="A868" s="367" t="s">
        <v>286</v>
      </c>
      <c r="B868" s="1164" t="s">
        <v>636</v>
      </c>
      <c r="C868" s="1164"/>
      <c r="D868" s="1164"/>
      <c r="E868" s="547">
        <v>7300</v>
      </c>
      <c r="F868" s="240">
        <v>603</v>
      </c>
      <c r="G868" s="548"/>
      <c r="H868" s="549"/>
      <c r="I868" s="1302" t="str">
        <f>$I$838</f>
        <v>NA;  GUCs are as of October 2021</v>
      </c>
      <c r="J868" s="1303"/>
      <c r="K868" s="240">
        <f>F868</f>
        <v>603</v>
      </c>
      <c r="L868" s="367" t="s">
        <v>205</v>
      </c>
      <c r="M868" s="54"/>
      <c r="N868" s="54"/>
      <c r="O868" s="336"/>
      <c r="P868" s="334"/>
      <c r="Q868" s="335"/>
      <c r="R868" s="336"/>
      <c r="S868" s="337"/>
    </row>
    <row r="869" spans="1:19" ht="30" customHeight="1" thickBot="1" x14ac:dyDescent="0.3">
      <c r="A869" s="365"/>
      <c r="B869" s="1281"/>
      <c r="C869" s="1281"/>
      <c r="D869" s="1281"/>
      <c r="E869" s="550"/>
      <c r="F869" s="551"/>
      <c r="G869" s="551"/>
      <c r="H869" s="552"/>
      <c r="I869" s="366"/>
      <c r="J869" s="359" t="s">
        <v>72</v>
      </c>
      <c r="K869" s="240">
        <f>K868</f>
        <v>603</v>
      </c>
      <c r="L869" s="365" t="s">
        <v>205</v>
      </c>
      <c r="M869" s="54"/>
      <c r="N869" s="54"/>
      <c r="O869" s="336"/>
      <c r="P869" s="334"/>
      <c r="Q869" s="335"/>
      <c r="R869" s="336"/>
      <c r="S869" s="337"/>
    </row>
    <row r="870" spans="1:19" ht="30" customHeight="1" thickBot="1" x14ac:dyDescent="0.3">
      <c r="A870" s="1180"/>
      <c r="B870" s="1181"/>
      <c r="C870" s="1181"/>
      <c r="D870" s="1181"/>
      <c r="E870" s="1181"/>
      <c r="F870" s="1181"/>
      <c r="G870" s="1181"/>
      <c r="H870" s="1181"/>
      <c r="I870" s="1181"/>
      <c r="J870" s="1181"/>
      <c r="K870" s="1181"/>
      <c r="L870" s="1182"/>
      <c r="M870" s="54"/>
      <c r="N870" s="54"/>
      <c r="O870" s="336"/>
      <c r="P870" s="334"/>
      <c r="Q870" s="335"/>
      <c r="R870" s="336"/>
      <c r="S870" s="337"/>
    </row>
    <row r="871" spans="1:19" ht="30" customHeight="1" x14ac:dyDescent="0.25">
      <c r="A871" s="327" t="s">
        <v>5</v>
      </c>
      <c r="B871" s="745">
        <v>1722</v>
      </c>
      <c r="C871" s="1218" t="s">
        <v>637</v>
      </c>
      <c r="D871" s="1219"/>
      <c r="E871" s="331" t="s">
        <v>8</v>
      </c>
      <c r="F871" s="332" t="s">
        <v>205</v>
      </c>
      <c r="G871" s="342" t="s">
        <v>74</v>
      </c>
      <c r="H871" s="159">
        <v>8503</v>
      </c>
      <c r="I871" s="331" t="s">
        <v>10</v>
      </c>
      <c r="J871" s="1220" t="s">
        <v>281</v>
      </c>
      <c r="K871" s="1220"/>
      <c r="L871" s="1221"/>
      <c r="M871" s="54"/>
      <c r="N871" s="54"/>
      <c r="O871" s="336"/>
      <c r="P871" s="334"/>
      <c r="Q871" s="335"/>
      <c r="R871" s="336"/>
      <c r="S871" s="337"/>
    </row>
    <row r="872" spans="1:19" ht="30" customHeight="1" x14ac:dyDescent="0.25">
      <c r="A872" s="356" t="s">
        <v>282</v>
      </c>
      <c r="B872" s="1163" t="s">
        <v>13</v>
      </c>
      <c r="C872" s="1163"/>
      <c r="D872" s="1163"/>
      <c r="E872" s="357" t="s">
        <v>283</v>
      </c>
      <c r="F872" s="546" t="s">
        <v>116</v>
      </c>
      <c r="G872" s="356"/>
      <c r="H872" s="356"/>
      <c r="I872" s="1276" t="s">
        <v>284</v>
      </c>
      <c r="J872" s="1277"/>
      <c r="K872" s="1236" t="s">
        <v>285</v>
      </c>
      <c r="L872" s="1237"/>
      <c r="M872" s="54"/>
      <c r="N872" s="54"/>
      <c r="O872" s="64"/>
      <c r="P872" s="334"/>
      <c r="Q872" s="335"/>
      <c r="R872" s="336"/>
      <c r="S872" s="337"/>
    </row>
    <row r="873" spans="1:19" ht="30" customHeight="1" x14ac:dyDescent="0.25">
      <c r="A873" s="367" t="s">
        <v>286</v>
      </c>
      <c r="B873" s="1164" t="s">
        <v>638</v>
      </c>
      <c r="C873" s="1164"/>
      <c r="D873" s="1164"/>
      <c r="E873" s="547">
        <v>7300</v>
      </c>
      <c r="F873" s="240">
        <v>603</v>
      </c>
      <c r="G873" s="548"/>
      <c r="H873" s="549"/>
      <c r="I873" s="1302" t="str">
        <f>$I$838</f>
        <v>NA;  GUCs are as of October 2021</v>
      </c>
      <c r="J873" s="1303"/>
      <c r="K873" s="240">
        <f>+F873</f>
        <v>603</v>
      </c>
      <c r="L873" s="367" t="s">
        <v>205</v>
      </c>
      <c r="M873" s="54"/>
      <c r="N873" s="54"/>
      <c r="O873" s="340"/>
      <c r="P873" s="334"/>
      <c r="Q873" s="335"/>
      <c r="R873" s="336"/>
      <c r="S873" s="337"/>
    </row>
    <row r="874" spans="1:19" ht="30" customHeight="1" thickBot="1" x14ac:dyDescent="0.3">
      <c r="A874" s="365"/>
      <c r="B874" s="1281"/>
      <c r="C874" s="1281"/>
      <c r="D874" s="1281"/>
      <c r="E874" s="550"/>
      <c r="F874" s="551"/>
      <c r="G874" s="551"/>
      <c r="H874" s="552"/>
      <c r="I874" s="366"/>
      <c r="J874" s="359" t="s">
        <v>72</v>
      </c>
      <c r="K874" s="246">
        <f>+K873</f>
        <v>603</v>
      </c>
      <c r="L874" s="365" t="s">
        <v>205</v>
      </c>
      <c r="M874" s="54"/>
      <c r="N874" s="111"/>
      <c r="O874" s="336"/>
      <c r="P874" s="334"/>
      <c r="Q874" s="335"/>
      <c r="R874" s="336"/>
      <c r="S874" s="337"/>
    </row>
    <row r="875" spans="1:19" s="345" customFormat="1" ht="30" customHeight="1" thickBot="1" x14ac:dyDescent="0.3">
      <c r="A875" s="1180"/>
      <c r="B875" s="1181"/>
      <c r="C875" s="1181"/>
      <c r="D875" s="1181"/>
      <c r="E875" s="1181"/>
      <c r="F875" s="1181"/>
      <c r="G875" s="1181"/>
      <c r="H875" s="1181"/>
      <c r="I875" s="1181"/>
      <c r="J875" s="1181"/>
      <c r="K875" s="1181"/>
      <c r="L875" s="1182"/>
      <c r="M875" s="54"/>
      <c r="N875" s="54"/>
      <c r="O875" s="543"/>
      <c r="P875" s="344"/>
    </row>
    <row r="876" spans="1:19" ht="30" customHeight="1" x14ac:dyDescent="0.25">
      <c r="A876" s="327" t="s">
        <v>5</v>
      </c>
      <c r="B876" s="328">
        <v>1723</v>
      </c>
      <c r="C876" s="1218" t="s">
        <v>639</v>
      </c>
      <c r="D876" s="1219"/>
      <c r="E876" s="331" t="s">
        <v>8</v>
      </c>
      <c r="F876" s="332" t="s">
        <v>205</v>
      </c>
      <c r="G876" s="342" t="s">
        <v>74</v>
      </c>
      <c r="H876" s="160">
        <v>834</v>
      </c>
      <c r="I876" s="331" t="s">
        <v>10</v>
      </c>
      <c r="J876" s="1220" t="s">
        <v>640</v>
      </c>
      <c r="K876" s="1220"/>
      <c r="L876" s="1221"/>
      <c r="M876" s="111"/>
      <c r="N876" s="111"/>
      <c r="O876" s="544"/>
    </row>
    <row r="877" spans="1:19" s="345" customFormat="1" ht="30" customHeight="1" x14ac:dyDescent="0.25">
      <c r="A877" s="356" t="s">
        <v>282</v>
      </c>
      <c r="B877" s="1163" t="s">
        <v>13</v>
      </c>
      <c r="C877" s="1163"/>
      <c r="D877" s="1163"/>
      <c r="E877" s="356" t="s">
        <v>283</v>
      </c>
      <c r="F877" s="546" t="s">
        <v>116</v>
      </c>
      <c r="G877" s="366"/>
      <c r="H877" s="699"/>
      <c r="I877" s="1276" t="s">
        <v>284</v>
      </c>
      <c r="J877" s="1277"/>
      <c r="K877" s="1236" t="s">
        <v>285</v>
      </c>
      <c r="L877" s="1237"/>
      <c r="M877" s="54"/>
      <c r="N877" s="54"/>
      <c r="O877" s="344"/>
      <c r="P877" s="344"/>
    </row>
    <row r="878" spans="1:19" s="345" customFormat="1" ht="30" customHeight="1" x14ac:dyDescent="0.25">
      <c r="A878" s="365">
        <v>17123</v>
      </c>
      <c r="B878" s="1209" t="s">
        <v>641</v>
      </c>
      <c r="C878" s="1210"/>
      <c r="D878" s="1211"/>
      <c r="E878" s="547">
        <v>800</v>
      </c>
      <c r="F878" s="165">
        <v>296</v>
      </c>
      <c r="G878" s="366"/>
      <c r="H878" s="645"/>
      <c r="I878" s="1302">
        <f>+'2022 MILCON Inflation Table'!F20</f>
        <v>0.95928782471892859</v>
      </c>
      <c r="J878" s="1303"/>
      <c r="K878" s="242">
        <f>+F878*I878</f>
        <v>283.94919611680285</v>
      </c>
      <c r="L878" s="367" t="s">
        <v>205</v>
      </c>
      <c r="M878" s="54"/>
      <c r="N878" s="54"/>
      <c r="O878" s="344"/>
      <c r="P878" s="344"/>
    </row>
    <row r="879" spans="1:19" s="345" customFormat="1" ht="30" customHeight="1" x14ac:dyDescent="0.25">
      <c r="A879" s="365">
        <v>17123</v>
      </c>
      <c r="B879" s="1209" t="s">
        <v>642</v>
      </c>
      <c r="C879" s="1210"/>
      <c r="D879" s="1211"/>
      <c r="E879" s="547">
        <v>1100</v>
      </c>
      <c r="F879" s="165">
        <v>307</v>
      </c>
      <c r="G879" s="366"/>
      <c r="H879" s="645"/>
      <c r="I879" s="1302">
        <f>+'2022 MILCON Inflation Table'!F16</f>
        <v>1.0945893340593744</v>
      </c>
      <c r="J879" s="1303"/>
      <c r="K879" s="242">
        <f>+F879*I879</f>
        <v>336.03892555622792</v>
      </c>
      <c r="L879" s="367" t="s">
        <v>205</v>
      </c>
      <c r="M879" s="54"/>
      <c r="N879" s="54"/>
    </row>
    <row r="880" spans="1:19" s="345" customFormat="1" ht="30" customHeight="1" x14ac:dyDescent="0.25">
      <c r="A880" s="1389"/>
      <c r="B880" s="1387"/>
      <c r="C880" s="1387"/>
      <c r="D880" s="1387"/>
      <c r="E880" s="1387"/>
      <c r="F880" s="1387"/>
      <c r="G880" s="1387"/>
      <c r="H880" s="1240"/>
      <c r="I880" s="748"/>
      <c r="J880" s="749" t="s">
        <v>300</v>
      </c>
      <c r="K880" s="243">
        <f>AVERAGE(K878:K879)</f>
        <v>309.99406083651536</v>
      </c>
      <c r="L880" s="367"/>
      <c r="M880" s="54"/>
      <c r="N880" s="54"/>
    </row>
    <row r="881" spans="1:21" ht="30" customHeight="1" thickBot="1" x14ac:dyDescent="0.3">
      <c r="A881" s="365"/>
      <c r="B881" s="1281"/>
      <c r="C881" s="1281"/>
      <c r="D881" s="1281"/>
      <c r="E881" s="646"/>
      <c r="F881" s="641"/>
      <c r="G881" s="366"/>
      <c r="H881" s="648" t="s">
        <v>300</v>
      </c>
      <c r="I881" s="366"/>
      <c r="J881" s="359" t="s">
        <v>72</v>
      </c>
      <c r="K881" s="243">
        <f>AVERAGE(K878:K879)</f>
        <v>309.99406083651536</v>
      </c>
      <c r="L881" s="365" t="s">
        <v>205</v>
      </c>
      <c r="M881" s="54"/>
      <c r="N881" s="111"/>
      <c r="O881" s="554"/>
    </row>
    <row r="882" spans="1:21" ht="30" customHeight="1" thickBot="1" x14ac:dyDescent="0.3">
      <c r="A882" s="1180"/>
      <c r="B882" s="1181"/>
      <c r="C882" s="1181"/>
      <c r="D882" s="1181"/>
      <c r="E882" s="1181"/>
      <c r="F882" s="1181"/>
      <c r="G882" s="1181"/>
      <c r="H882" s="1181"/>
      <c r="I882" s="1181"/>
      <c r="J882" s="1181"/>
      <c r="K882" s="1181"/>
      <c r="L882" s="1182"/>
      <c r="M882" s="111"/>
      <c r="N882" s="54"/>
      <c r="O882" s="554"/>
    </row>
    <row r="883" spans="1:21" ht="30" customHeight="1" x14ac:dyDescent="0.25">
      <c r="A883" s="327" t="s">
        <v>5</v>
      </c>
      <c r="B883" s="328">
        <v>1724</v>
      </c>
      <c r="C883" s="1294" t="s">
        <v>643</v>
      </c>
      <c r="D883" s="1295"/>
      <c r="E883" s="331" t="s">
        <v>8</v>
      </c>
      <c r="F883" s="332" t="s">
        <v>205</v>
      </c>
      <c r="G883" s="342" t="s">
        <v>74</v>
      </c>
      <c r="H883" s="159">
        <v>11187</v>
      </c>
      <c r="I883" s="331" t="s">
        <v>10</v>
      </c>
      <c r="J883" s="1220" t="s">
        <v>281</v>
      </c>
      <c r="K883" s="1220"/>
      <c r="L883" s="1221"/>
      <c r="M883" s="54"/>
      <c r="O883" s="336"/>
      <c r="P883" s="334"/>
      <c r="Q883" s="335"/>
      <c r="R883" s="336"/>
      <c r="S883" s="337"/>
    </row>
    <row r="884" spans="1:21" ht="30" customHeight="1" x14ac:dyDescent="0.25">
      <c r="A884" s="356" t="s">
        <v>282</v>
      </c>
      <c r="B884" s="1163" t="s">
        <v>13</v>
      </c>
      <c r="C884" s="1163"/>
      <c r="D884" s="1163"/>
      <c r="E884" s="357" t="s">
        <v>283</v>
      </c>
      <c r="F884" s="546" t="s">
        <v>116</v>
      </c>
      <c r="G884" s="356"/>
      <c r="H884" s="356" t="s">
        <v>644</v>
      </c>
      <c r="I884" s="1276" t="s">
        <v>284</v>
      </c>
      <c r="J884" s="1277"/>
      <c r="K884" s="1236" t="s">
        <v>285</v>
      </c>
      <c r="L884" s="1237"/>
      <c r="M884" s="54"/>
      <c r="N884" s="111"/>
      <c r="O884" s="554"/>
      <c r="T884" s="10"/>
      <c r="U884" s="10"/>
    </row>
    <row r="885" spans="1:21" ht="30" customHeight="1" x14ac:dyDescent="0.25">
      <c r="A885" s="367" t="s">
        <v>286</v>
      </c>
      <c r="B885" s="1164" t="s">
        <v>638</v>
      </c>
      <c r="C885" s="1164"/>
      <c r="D885" s="1164"/>
      <c r="E885" s="547">
        <v>7300</v>
      </c>
      <c r="F885" s="240">
        <v>603</v>
      </c>
      <c r="G885" s="548"/>
      <c r="H885" s="549"/>
      <c r="I885" s="1302" t="str">
        <f>$I$873</f>
        <v>NA;  GUCs are as of October 2021</v>
      </c>
      <c r="J885" s="1303"/>
      <c r="K885" s="240">
        <f>+F885</f>
        <v>603</v>
      </c>
      <c r="L885" s="367" t="s">
        <v>205</v>
      </c>
      <c r="M885" s="54"/>
      <c r="N885" s="54"/>
      <c r="O885" s="554"/>
      <c r="T885" s="10"/>
      <c r="U885" s="10"/>
    </row>
    <row r="886" spans="1:21" s="345" customFormat="1" ht="30" customHeight="1" thickBot="1" x14ac:dyDescent="0.3">
      <c r="A886" s="365"/>
      <c r="B886" s="1281"/>
      <c r="C886" s="1281"/>
      <c r="D886" s="1281"/>
      <c r="E886" s="550"/>
      <c r="F886" s="551"/>
      <c r="G886" s="551"/>
      <c r="H886" s="552"/>
      <c r="I886" s="366"/>
      <c r="J886" s="359" t="s">
        <v>72</v>
      </c>
      <c r="K886" s="246">
        <f>+K885</f>
        <v>603</v>
      </c>
      <c r="L886" s="365" t="s">
        <v>205</v>
      </c>
      <c r="M886" s="54"/>
      <c r="N886" s="54"/>
      <c r="O886" s="543"/>
      <c r="P886" s="344"/>
    </row>
    <row r="887" spans="1:21" ht="30" customHeight="1" thickBot="1" x14ac:dyDescent="0.3">
      <c r="A887" s="1180"/>
      <c r="B887" s="1181"/>
      <c r="C887" s="1181"/>
      <c r="D887" s="1181"/>
      <c r="E887" s="1181"/>
      <c r="F887" s="1181"/>
      <c r="G887" s="1181"/>
      <c r="H887" s="1181"/>
      <c r="I887" s="1181"/>
      <c r="J887" s="1181"/>
      <c r="K887" s="1181"/>
      <c r="L887" s="1182"/>
      <c r="M887" s="54"/>
      <c r="N887" s="54"/>
    </row>
    <row r="888" spans="1:21" ht="30" customHeight="1" x14ac:dyDescent="0.25">
      <c r="A888" s="327" t="s">
        <v>5</v>
      </c>
      <c r="B888" s="328">
        <v>1725</v>
      </c>
      <c r="C888" s="329" t="s">
        <v>645</v>
      </c>
      <c r="D888" s="330"/>
      <c r="E888" s="331" t="s">
        <v>8</v>
      </c>
      <c r="F888" s="332" t="s">
        <v>76</v>
      </c>
      <c r="G888" s="333" t="s">
        <v>7</v>
      </c>
      <c r="H888" s="156">
        <v>1</v>
      </c>
      <c r="I888" s="331" t="s">
        <v>10</v>
      </c>
      <c r="J888" s="1220" t="s">
        <v>3389</v>
      </c>
      <c r="K888" s="1220"/>
      <c r="L888" s="1221"/>
      <c r="M888" s="54"/>
      <c r="N888" s="111"/>
      <c r="O888" s="554"/>
    </row>
    <row r="889" spans="1:21" ht="30" customHeight="1" x14ac:dyDescent="0.25">
      <c r="A889" s="359" t="s">
        <v>295</v>
      </c>
      <c r="B889" s="1222" t="s">
        <v>326</v>
      </c>
      <c r="C889" s="1235"/>
      <c r="D889" s="1223"/>
      <c r="E889" s="577" t="s">
        <v>116</v>
      </c>
      <c r="F889" s="577" t="s">
        <v>117</v>
      </c>
      <c r="G889" s="1194" t="s">
        <v>118</v>
      </c>
      <c r="H889" s="1195"/>
      <c r="I889" s="356" t="s">
        <v>296</v>
      </c>
      <c r="J889" s="356"/>
      <c r="K889" s="1236" t="s">
        <v>285</v>
      </c>
      <c r="L889" s="1237"/>
      <c r="M889" s="111"/>
      <c r="N889" s="111"/>
      <c r="O889" s="554"/>
      <c r="T889" s="10"/>
      <c r="U889" s="10"/>
    </row>
    <row r="890" spans="1:21" ht="30" customHeight="1" x14ac:dyDescent="0.25">
      <c r="A890" s="365"/>
      <c r="B890" s="1209" t="s">
        <v>646</v>
      </c>
      <c r="C890" s="1210"/>
      <c r="D890" s="1211"/>
      <c r="E890" s="577"/>
      <c r="F890" s="577"/>
      <c r="G890" s="750"/>
      <c r="H890" s="751"/>
      <c r="I890" s="398"/>
      <c r="J890" s="398"/>
      <c r="K890" s="577"/>
      <c r="L890" s="577"/>
      <c r="M890" s="54"/>
      <c r="N890" s="54"/>
      <c r="T890" s="10"/>
      <c r="U890" s="10"/>
    </row>
    <row r="891" spans="1:21" s="345" customFormat="1" ht="30" customHeight="1" x14ac:dyDescent="0.25">
      <c r="A891" s="365" t="s">
        <v>647</v>
      </c>
      <c r="B891" s="1214" t="s">
        <v>648</v>
      </c>
      <c r="C891" s="1215"/>
      <c r="D891" s="1216"/>
      <c r="E891" s="752">
        <v>177</v>
      </c>
      <c r="F891" s="396" t="s">
        <v>205</v>
      </c>
      <c r="G891" s="753">
        <f>1250*10.764</f>
        <v>13455</v>
      </c>
      <c r="H891" s="698" t="s">
        <v>563</v>
      </c>
      <c r="I891" s="365">
        <v>1.04</v>
      </c>
      <c r="J891" s="365"/>
      <c r="K891" s="752">
        <f>+E891*G891*I891</f>
        <v>2476796.4</v>
      </c>
      <c r="L891" s="396" t="s">
        <v>76</v>
      </c>
      <c r="M891" s="111"/>
      <c r="N891" s="54"/>
      <c r="O891" s="754"/>
      <c r="P891" s="344"/>
    </row>
    <row r="892" spans="1:21" ht="30" customHeight="1" x14ac:dyDescent="0.25">
      <c r="A892" s="365" t="s">
        <v>649</v>
      </c>
      <c r="B892" s="1214" t="s">
        <v>650</v>
      </c>
      <c r="C892" s="1215"/>
      <c r="D892" s="1216"/>
      <c r="E892" s="752">
        <v>4.3499999999999996</v>
      </c>
      <c r="F892" s="396" t="s">
        <v>205</v>
      </c>
      <c r="G892" s="753">
        <f>1250*10.764</f>
        <v>13455</v>
      </c>
      <c r="H892" s="698" t="s">
        <v>563</v>
      </c>
      <c r="I892" s="365">
        <v>1.04</v>
      </c>
      <c r="J892" s="365"/>
      <c r="K892" s="752">
        <f>+E892*G892*I892</f>
        <v>60870.419999999991</v>
      </c>
      <c r="L892" s="396" t="s">
        <v>76</v>
      </c>
      <c r="M892" s="54"/>
      <c r="N892" s="54"/>
      <c r="O892" s="544"/>
    </row>
    <row r="893" spans="1:21" ht="30" customHeight="1" x14ac:dyDescent="0.25">
      <c r="A893" s="755"/>
      <c r="B893" s="1269"/>
      <c r="C893" s="1269"/>
      <c r="D893" s="1269"/>
      <c r="E893" s="247"/>
      <c r="F893" s="365"/>
      <c r="G893" s="396"/>
      <c r="H893" s="396"/>
      <c r="I893" s="365"/>
      <c r="J893" s="365" t="s">
        <v>408</v>
      </c>
      <c r="K893" s="259">
        <f>SUM(K891:K892)</f>
        <v>2537666.8199999998</v>
      </c>
      <c r="L893" s="365" t="s">
        <v>76</v>
      </c>
      <c r="M893" s="54"/>
      <c r="N893" s="54"/>
      <c r="O893" s="554"/>
    </row>
    <row r="894" spans="1:21" ht="30" customHeight="1" x14ac:dyDescent="0.25">
      <c r="A894" s="365"/>
      <c r="B894" s="578"/>
      <c r="C894" s="578"/>
      <c r="D894" s="737" t="s">
        <v>651</v>
      </c>
      <c r="E894" s="247"/>
      <c r="F894" s="1272" t="s">
        <v>303</v>
      </c>
      <c r="G894" s="1283" t="s">
        <v>304</v>
      </c>
      <c r="H894" s="1283"/>
      <c r="I894" s="1283"/>
      <c r="J894" s="1283"/>
      <c r="K894" s="250">
        <v>1.07</v>
      </c>
      <c r="L894" s="365"/>
      <c r="M894" s="54"/>
      <c r="N894" s="54"/>
    </row>
    <row r="895" spans="1:21" ht="30" customHeight="1" x14ac:dyDescent="0.25">
      <c r="A895" s="365"/>
      <c r="B895" s="578"/>
      <c r="C895" s="578"/>
      <c r="D895" s="578"/>
      <c r="E895" s="247"/>
      <c r="F895" s="1273"/>
      <c r="G895" s="1284" t="s">
        <v>438</v>
      </c>
      <c r="H895" s="1284"/>
      <c r="I895" s="1284"/>
      <c r="J895" s="1284"/>
      <c r="K895" s="250">
        <v>1.08</v>
      </c>
      <c r="L895" s="365"/>
      <c r="M895" s="54"/>
      <c r="N895" s="111"/>
      <c r="T895" s="10"/>
      <c r="U895" s="10"/>
    </row>
    <row r="896" spans="1:21" ht="30" customHeight="1" x14ac:dyDescent="0.25">
      <c r="A896" s="365"/>
      <c r="B896" s="365"/>
      <c r="C896" s="366"/>
      <c r="E896" s="366"/>
      <c r="F896" s="366"/>
      <c r="G896" s="366"/>
      <c r="H896" s="366"/>
      <c r="I896" s="366"/>
      <c r="J896" s="365" t="s">
        <v>72</v>
      </c>
      <c r="K896" s="256">
        <f>+K893*K894/K895</f>
        <v>2514169.9049999998</v>
      </c>
      <c r="L896" s="365" t="s">
        <v>76</v>
      </c>
      <c r="M896" s="111"/>
      <c r="O896" s="336"/>
      <c r="P896" s="334"/>
      <c r="Q896" s="335"/>
      <c r="R896" s="336"/>
      <c r="S896" s="337"/>
    </row>
    <row r="897" spans="1:21" ht="30" customHeight="1" x14ac:dyDescent="0.25">
      <c r="A897" s="365"/>
      <c r="B897" s="365"/>
      <c r="C897" s="366"/>
      <c r="D897" s="366"/>
      <c r="E897" s="366"/>
      <c r="F897" s="366"/>
      <c r="G897" s="580" t="s">
        <v>306</v>
      </c>
      <c r="H897" s="366"/>
      <c r="I897" s="366"/>
      <c r="J897" s="521">
        <f>VLOOKUP(B888,'Mil Cost Premiums for PUCs'!$A$4:$R$277,18,FALSE)</f>
        <v>1.1379589900046172</v>
      </c>
      <c r="K897" s="246">
        <f>+K896*J897</f>
        <v>2861022.2457938041</v>
      </c>
      <c r="L897" s="365" t="s">
        <v>76</v>
      </c>
      <c r="M897" s="54"/>
      <c r="N897" s="54"/>
      <c r="T897" s="10"/>
      <c r="U897" s="10"/>
    </row>
    <row r="898" spans="1:21" s="345" customFormat="1" ht="30" customHeight="1" thickBot="1" x14ac:dyDescent="0.3">
      <c r="A898" s="365"/>
      <c r="B898" s="365"/>
      <c r="C898" s="366"/>
      <c r="D898" s="366"/>
      <c r="E898" s="366"/>
      <c r="F898" s="366"/>
      <c r="G898" s="1222" t="s">
        <v>439</v>
      </c>
      <c r="H898" s="1223"/>
      <c r="I898" s="366"/>
      <c r="J898" s="521">
        <v>1.0833999999999999</v>
      </c>
      <c r="K898" s="246">
        <f>K897*J898</f>
        <v>3099631.5010930072</v>
      </c>
      <c r="L898" s="365" t="s">
        <v>76</v>
      </c>
      <c r="M898" s="11"/>
      <c r="N898" s="54"/>
      <c r="O898" s="756"/>
      <c r="P898" s="344"/>
    </row>
    <row r="899" spans="1:21" ht="30" customHeight="1" thickBot="1" x14ac:dyDescent="0.3">
      <c r="A899" s="1180"/>
      <c r="B899" s="1181"/>
      <c r="C899" s="1181"/>
      <c r="D899" s="1181"/>
      <c r="E899" s="1181"/>
      <c r="F899" s="1181"/>
      <c r="G899" s="1181"/>
      <c r="H899" s="1181"/>
      <c r="I899" s="1181"/>
      <c r="J899" s="1181"/>
      <c r="K899" s="1181"/>
      <c r="L899" s="1182"/>
      <c r="M899" s="111"/>
      <c r="N899" s="111"/>
      <c r="O899" s="754"/>
    </row>
    <row r="900" spans="1:21" ht="45" customHeight="1" x14ac:dyDescent="0.25">
      <c r="A900" s="327" t="s">
        <v>5</v>
      </c>
      <c r="B900" s="328">
        <v>1726</v>
      </c>
      <c r="C900" s="1294" t="s">
        <v>652</v>
      </c>
      <c r="D900" s="1295"/>
      <c r="E900" s="331" t="s">
        <v>8</v>
      </c>
      <c r="F900" s="332" t="s">
        <v>205</v>
      </c>
      <c r="G900" s="338" t="s">
        <v>7</v>
      </c>
      <c r="H900" s="156">
        <v>11000</v>
      </c>
      <c r="I900" s="331" t="s">
        <v>10</v>
      </c>
      <c r="J900" s="1220" t="s">
        <v>3391</v>
      </c>
      <c r="K900" s="1220"/>
      <c r="L900" s="1221"/>
      <c r="M900" s="54"/>
      <c r="N900" s="54"/>
      <c r="O900" s="757"/>
    </row>
    <row r="901" spans="1:21" ht="30" customHeight="1" x14ac:dyDescent="0.25">
      <c r="A901" s="359" t="s">
        <v>295</v>
      </c>
      <c r="B901" s="1222" t="s">
        <v>326</v>
      </c>
      <c r="C901" s="1235"/>
      <c r="D901" s="1223"/>
      <c r="E901" s="577" t="s">
        <v>116</v>
      </c>
      <c r="F901" s="577" t="s">
        <v>117</v>
      </c>
      <c r="G901" s="1194" t="s">
        <v>118</v>
      </c>
      <c r="H901" s="1195"/>
      <c r="I901" s="633" t="s">
        <v>296</v>
      </c>
      <c r="J901" s="633" t="s">
        <v>303</v>
      </c>
      <c r="K901" s="1236" t="s">
        <v>285</v>
      </c>
      <c r="L901" s="1237"/>
      <c r="M901" s="54"/>
      <c r="N901" s="54"/>
      <c r="O901" s="336"/>
      <c r="P901" s="334"/>
      <c r="Q901" s="335"/>
      <c r="R901" s="336"/>
      <c r="S901" s="337"/>
    </row>
    <row r="902" spans="1:21" ht="30" customHeight="1" x14ac:dyDescent="0.25">
      <c r="A902" s="365" t="s">
        <v>653</v>
      </c>
      <c r="B902" s="1209" t="s">
        <v>654</v>
      </c>
      <c r="C902" s="1210"/>
      <c r="D902" s="1211"/>
      <c r="E902" s="246">
        <f>((11.05+18.6)/2)*1.45</f>
        <v>21.49625</v>
      </c>
      <c r="F902" s="661" t="s">
        <v>537</v>
      </c>
      <c r="G902" s="260">
        <f>+(E902)*10</f>
        <v>214.96250000000001</v>
      </c>
      <c r="H902" s="486" t="s">
        <v>655</v>
      </c>
      <c r="I902" s="365">
        <v>1.05</v>
      </c>
      <c r="J902" s="706">
        <f>1.07/1.08</f>
        <v>0.9907407407407407</v>
      </c>
      <c r="K902" s="247">
        <f>231.36</f>
        <v>231.36</v>
      </c>
      <c r="L902" s="365" t="s">
        <v>205</v>
      </c>
      <c r="M902" s="54"/>
      <c r="N902" s="133"/>
      <c r="O902" s="336"/>
      <c r="P902" s="334"/>
      <c r="Q902" s="335"/>
      <c r="R902" s="336"/>
      <c r="S902" s="337"/>
    </row>
    <row r="903" spans="1:21" ht="30" customHeight="1" x14ac:dyDescent="0.25">
      <c r="A903" s="365" t="s">
        <v>656</v>
      </c>
      <c r="B903" s="1209" t="s">
        <v>657</v>
      </c>
      <c r="C903" s="1210"/>
      <c r="D903" s="1211"/>
      <c r="E903" s="10">
        <f>+(1.334+2.7)/2</f>
        <v>2.0170000000000003</v>
      </c>
      <c r="F903" s="365" t="s">
        <v>214</v>
      </c>
      <c r="G903" s="261">
        <f>+E903*5000/H900</f>
        <v>0.91681818181818198</v>
      </c>
      <c r="H903" s="486" t="s">
        <v>658</v>
      </c>
      <c r="I903" s="706">
        <v>1.02</v>
      </c>
      <c r="J903" s="706">
        <f>1.07/1.08</f>
        <v>0.9907407407407407</v>
      </c>
      <c r="K903" s="247">
        <f>+G903*I903*J903</f>
        <v>0.92649570707070728</v>
      </c>
      <c r="L903" s="365" t="s">
        <v>205</v>
      </c>
      <c r="M903" s="111"/>
      <c r="N903" s="54"/>
      <c r="O903" s="336"/>
      <c r="P903" s="334"/>
      <c r="Q903" s="335"/>
      <c r="R903" s="336"/>
      <c r="S903" s="337"/>
    </row>
    <row r="904" spans="1:21" ht="30" customHeight="1" x14ac:dyDescent="0.25">
      <c r="A904" s="365">
        <v>83210</v>
      </c>
      <c r="B904" s="1209" t="s">
        <v>659</v>
      </c>
      <c r="C904" s="1210"/>
      <c r="D904" s="1211"/>
      <c r="E904" s="246">
        <v>25350</v>
      </c>
      <c r="F904" s="365" t="s">
        <v>76</v>
      </c>
      <c r="G904" s="262">
        <f>+E904/H900</f>
        <v>2.3045454545454547</v>
      </c>
      <c r="H904" s="486" t="s">
        <v>660</v>
      </c>
      <c r="I904" s="758">
        <f>'2022 MILCON Inflation Table'!F20</f>
        <v>0.95928782471892859</v>
      </c>
      <c r="J904" s="365"/>
      <c r="K904" s="247">
        <f>+G904*I904</f>
        <v>2.2107223960568039</v>
      </c>
      <c r="L904" s="365" t="s">
        <v>205</v>
      </c>
      <c r="M904" s="111"/>
      <c r="N904" s="111"/>
      <c r="O904" s="336"/>
      <c r="P904" s="334"/>
      <c r="Q904" s="335"/>
      <c r="R904" s="336"/>
      <c r="S904" s="337"/>
    </row>
    <row r="905" spans="1:21" ht="30" customHeight="1" x14ac:dyDescent="0.25">
      <c r="A905" s="365" t="s">
        <v>398</v>
      </c>
      <c r="B905" s="1209" t="s">
        <v>661</v>
      </c>
      <c r="C905" s="1210"/>
      <c r="D905" s="1211"/>
      <c r="E905" s="246">
        <v>83250</v>
      </c>
      <c r="F905" s="365" t="s">
        <v>76</v>
      </c>
      <c r="G905" s="263">
        <f>4/H900</f>
        <v>3.6363636363636361E-4</v>
      </c>
      <c r="H905" s="486" t="s">
        <v>660</v>
      </c>
      <c r="I905" s="706">
        <v>1</v>
      </c>
      <c r="J905" s="706">
        <f>1.07/1.08</f>
        <v>0.9907407407407407</v>
      </c>
      <c r="K905" s="247">
        <f>+E905*G905*I905*J905</f>
        <v>29.992424242424239</v>
      </c>
      <c r="L905" s="365" t="s">
        <v>205</v>
      </c>
      <c r="M905" s="54"/>
      <c r="N905" s="54"/>
      <c r="O905" s="336"/>
      <c r="P905" s="334"/>
      <c r="Q905" s="335"/>
      <c r="R905" s="336"/>
      <c r="S905" s="337"/>
    </row>
    <row r="906" spans="1:21" ht="30" customHeight="1" x14ac:dyDescent="0.25">
      <c r="A906" s="365" t="s">
        <v>662</v>
      </c>
      <c r="B906" s="1209" t="s">
        <v>663</v>
      </c>
      <c r="C906" s="1210"/>
      <c r="D906" s="1211"/>
      <c r="E906" s="246">
        <v>3975</v>
      </c>
      <c r="F906" s="365" t="s">
        <v>76</v>
      </c>
      <c r="G906" s="263">
        <f>4/H900</f>
        <v>3.6363636363636361E-4</v>
      </c>
      <c r="H906" s="486" t="s">
        <v>660</v>
      </c>
      <c r="I906" s="706">
        <v>1.04</v>
      </c>
      <c r="J906" s="706">
        <f>1.07/1.08</f>
        <v>0.9907407407407407</v>
      </c>
      <c r="K906" s="247">
        <f>+E906*G906*I906*J906</f>
        <v>1.4893535353535352</v>
      </c>
      <c r="L906" s="365" t="s">
        <v>205</v>
      </c>
      <c r="M906" s="54"/>
      <c r="N906" s="133"/>
      <c r="O906" s="336"/>
      <c r="P906" s="334"/>
      <c r="Q906" s="335"/>
      <c r="R906" s="336"/>
      <c r="S906" s="337"/>
    </row>
    <row r="907" spans="1:21" ht="30" customHeight="1" x14ac:dyDescent="0.25">
      <c r="A907" s="365" t="s">
        <v>664</v>
      </c>
      <c r="B907" s="1209" t="s">
        <v>665</v>
      </c>
      <c r="C907" s="1210"/>
      <c r="D907" s="1211"/>
      <c r="E907" s="246">
        <f>((22.45+33.5)/2)</f>
        <v>27.975000000000001</v>
      </c>
      <c r="F907" s="365" t="s">
        <v>40</v>
      </c>
      <c r="G907" s="263">
        <f>1800/H900</f>
        <v>0.16363636363636364</v>
      </c>
      <c r="H907" s="486" t="s">
        <v>666</v>
      </c>
      <c r="I907" s="706">
        <v>1.04</v>
      </c>
      <c r="J907" s="706">
        <f>1.07/1.08</f>
        <v>0.9907407407407407</v>
      </c>
      <c r="K907" s="247">
        <f>+E907*G907*I907*J907</f>
        <v>4.7167545454545454</v>
      </c>
      <c r="L907" s="365" t="s">
        <v>205</v>
      </c>
      <c r="M907" s="54"/>
      <c r="N907" s="54"/>
      <c r="O907" s="336"/>
      <c r="P907" s="334"/>
      <c r="Q907" s="335"/>
      <c r="R907" s="336"/>
      <c r="S907" s="337"/>
    </row>
    <row r="908" spans="1:21" ht="30" customHeight="1" x14ac:dyDescent="0.25">
      <c r="A908" s="365"/>
      <c r="B908" s="1281"/>
      <c r="C908" s="1281"/>
      <c r="D908" s="1281"/>
      <c r="E908" s="257"/>
      <c r="F908" s="365"/>
      <c r="G908" s="736"/>
      <c r="H908" s="662"/>
      <c r="I908" s="365"/>
      <c r="J908" s="365" t="s">
        <v>408</v>
      </c>
      <c r="K908" s="247">
        <f>SUM(K902:K907)</f>
        <v>270.69575042635984</v>
      </c>
      <c r="L908" s="365" t="s">
        <v>205</v>
      </c>
      <c r="M908" s="54"/>
      <c r="N908" s="54"/>
      <c r="O908" s="10"/>
      <c r="P908" s="334"/>
      <c r="Q908" s="335"/>
      <c r="R908" s="336"/>
      <c r="S908" s="337"/>
    </row>
    <row r="909" spans="1:21" ht="30" customHeight="1" x14ac:dyDescent="0.25">
      <c r="A909" s="365"/>
      <c r="B909" s="365"/>
      <c r="C909" s="366"/>
      <c r="D909" s="366"/>
      <c r="E909" s="366"/>
      <c r="F909" s="366"/>
      <c r="G909" s="366"/>
      <c r="H909" s="366"/>
      <c r="I909" s="366"/>
      <c r="J909" s="365" t="s">
        <v>72</v>
      </c>
      <c r="K909" s="246">
        <f>+K908</f>
        <v>270.69575042635984</v>
      </c>
      <c r="L909" s="365" t="s">
        <v>205</v>
      </c>
      <c r="M909" s="54"/>
      <c r="N909" s="54"/>
      <c r="O909" s="336"/>
      <c r="P909" s="334"/>
      <c r="Q909" s="335"/>
      <c r="R909" s="336"/>
      <c r="S909" s="337"/>
    </row>
    <row r="910" spans="1:21" ht="30" customHeight="1" x14ac:dyDescent="0.25">
      <c r="A910" s="365"/>
      <c r="B910" s="365"/>
      <c r="C910" s="366"/>
      <c r="D910" s="366"/>
      <c r="E910" s="366"/>
      <c r="F910" s="366"/>
      <c r="G910" s="580" t="s">
        <v>306</v>
      </c>
      <c r="H910" s="366"/>
      <c r="I910" s="366"/>
      <c r="J910" s="521">
        <f>VLOOKUP(B900,'Mil Cost Premiums for PUCs'!$A$4:$R$277,18,FALSE)</f>
        <v>1.0821211439999998</v>
      </c>
      <c r="K910" s="246">
        <f>+K909*J910</f>
        <v>292.92559512731094</v>
      </c>
      <c r="L910" s="365" t="s">
        <v>205</v>
      </c>
      <c r="M910" s="111"/>
      <c r="N910" s="54"/>
      <c r="O910" s="10"/>
      <c r="P910" s="334"/>
      <c r="Q910" s="335"/>
      <c r="R910" s="336"/>
      <c r="S910" s="337"/>
    </row>
    <row r="911" spans="1:21" ht="30" customHeight="1" thickBot="1" x14ac:dyDescent="0.3">
      <c r="A911" s="365"/>
      <c r="B911" s="365"/>
      <c r="C911" s="366"/>
      <c r="D911" s="366"/>
      <c r="E911" s="366"/>
      <c r="F911" s="366"/>
      <c r="G911" s="1222" t="s">
        <v>439</v>
      </c>
      <c r="H911" s="1223"/>
      <c r="I911" s="366"/>
      <c r="J911" s="521">
        <v>1.0833999999999999</v>
      </c>
      <c r="K911" s="246">
        <f>K910*J911</f>
        <v>317.35558976092864</v>
      </c>
      <c r="L911" s="365" t="s">
        <v>205</v>
      </c>
      <c r="N911" s="122"/>
      <c r="O911" s="336"/>
      <c r="P911" s="334"/>
      <c r="Q911" s="335"/>
      <c r="R911" s="336"/>
      <c r="S911" s="337"/>
    </row>
    <row r="912" spans="1:21" ht="30" customHeight="1" thickBot="1" x14ac:dyDescent="0.3">
      <c r="A912" s="1180"/>
      <c r="B912" s="1181"/>
      <c r="C912" s="1181"/>
      <c r="D912" s="1181"/>
      <c r="E912" s="1181"/>
      <c r="F912" s="1181"/>
      <c r="G912" s="1181"/>
      <c r="H912" s="1181"/>
      <c r="I912" s="1181"/>
      <c r="J912" s="1181"/>
      <c r="K912" s="1181"/>
      <c r="L912" s="1182"/>
      <c r="M912" s="54"/>
      <c r="N912" s="123"/>
      <c r="O912" s="10"/>
      <c r="P912" s="334"/>
      <c r="Q912" s="335"/>
      <c r="R912" s="336"/>
      <c r="S912" s="337"/>
    </row>
    <row r="913" spans="1:24" ht="30" customHeight="1" x14ac:dyDescent="0.25">
      <c r="A913" s="327" t="s">
        <v>5</v>
      </c>
      <c r="B913" s="328">
        <v>1731</v>
      </c>
      <c r="C913" s="1218" t="s">
        <v>667</v>
      </c>
      <c r="D913" s="1219"/>
      <c r="E913" s="331" t="s">
        <v>8</v>
      </c>
      <c r="F913" s="332" t="s">
        <v>205</v>
      </c>
      <c r="G913" s="342" t="s">
        <v>74</v>
      </c>
      <c r="H913" s="159">
        <v>1491</v>
      </c>
      <c r="I913" s="331" t="s">
        <v>10</v>
      </c>
      <c r="J913" s="1220" t="s">
        <v>3387</v>
      </c>
      <c r="K913" s="1220"/>
      <c r="L913" s="1221"/>
      <c r="M913" s="111"/>
      <c r="N913" s="123"/>
      <c r="O913" s="336"/>
      <c r="P913" s="334"/>
      <c r="Q913" s="335"/>
      <c r="R913" s="336"/>
      <c r="S913" s="337"/>
    </row>
    <row r="914" spans="1:24" ht="30" customHeight="1" x14ac:dyDescent="0.25">
      <c r="A914" s="356" t="s">
        <v>282</v>
      </c>
      <c r="B914" s="1163" t="s">
        <v>13</v>
      </c>
      <c r="C914" s="1163"/>
      <c r="D914" s="1163"/>
      <c r="E914" s="546" t="s">
        <v>116</v>
      </c>
      <c r="F914" s="356" t="s">
        <v>283</v>
      </c>
      <c r="G914" s="1314" t="s">
        <v>118</v>
      </c>
      <c r="H914" s="1315"/>
      <c r="I914" s="1276" t="s">
        <v>284</v>
      </c>
      <c r="J914" s="1277"/>
      <c r="K914" s="1236" t="s">
        <v>285</v>
      </c>
      <c r="L914" s="1237"/>
      <c r="M914" s="111"/>
      <c r="N914" s="133"/>
      <c r="O914" s="10"/>
      <c r="P914" s="334"/>
      <c r="Q914" s="335"/>
      <c r="R914" s="336"/>
      <c r="S914" s="337"/>
    </row>
    <row r="915" spans="1:24" ht="30" customHeight="1" x14ac:dyDescent="0.25">
      <c r="A915" s="365">
        <v>17122</v>
      </c>
      <c r="B915" s="1214" t="s">
        <v>668</v>
      </c>
      <c r="C915" s="1215"/>
      <c r="D915" s="1216"/>
      <c r="E915" s="247">
        <v>1022</v>
      </c>
      <c r="F915" s="257">
        <v>185</v>
      </c>
      <c r="G915" s="367"/>
      <c r="H915" s="367"/>
      <c r="I915" s="1183">
        <f>+'2022 MILCON Inflation Table'!F21</f>
        <v>0.94047825952836139</v>
      </c>
      <c r="J915" s="1184"/>
      <c r="K915" s="253">
        <f>+E915*I915</f>
        <v>961.1687812379854</v>
      </c>
      <c r="L915" s="367" t="s">
        <v>205</v>
      </c>
      <c r="M915" s="54"/>
      <c r="N915" s="54"/>
      <c r="O915" s="336"/>
      <c r="P915" s="334"/>
      <c r="Q915" s="335"/>
      <c r="R915" s="336"/>
      <c r="S915" s="337"/>
    </row>
    <row r="916" spans="1:24" ht="30" customHeight="1" x14ac:dyDescent="0.25">
      <c r="A916" s="365">
        <v>17122</v>
      </c>
      <c r="B916" s="1214" t="s">
        <v>669</v>
      </c>
      <c r="C916" s="1215"/>
      <c r="D916" s="1216"/>
      <c r="E916" s="247">
        <v>140</v>
      </c>
      <c r="F916" s="257">
        <v>800</v>
      </c>
      <c r="G916" s="367"/>
      <c r="H916" s="367"/>
      <c r="I916" s="1183">
        <f>+I915</f>
        <v>0.94047825952836139</v>
      </c>
      <c r="J916" s="1184"/>
      <c r="K916" s="253">
        <f>+E916*I916</f>
        <v>131.6669563339706</v>
      </c>
      <c r="L916" s="367" t="s">
        <v>205</v>
      </c>
      <c r="M916" s="54"/>
      <c r="N916" s="54"/>
      <c r="O916" s="336"/>
      <c r="P916" s="334"/>
      <c r="Q916" s="335"/>
      <c r="R916" s="336"/>
      <c r="S916" s="337"/>
    </row>
    <row r="917" spans="1:24" ht="30" customHeight="1" thickBot="1" x14ac:dyDescent="0.3">
      <c r="A917" s="365">
        <v>17123</v>
      </c>
      <c r="B917" s="1209" t="s">
        <v>670</v>
      </c>
      <c r="C917" s="1210"/>
      <c r="D917" s="1211"/>
      <c r="E917" s="247">
        <v>302</v>
      </c>
      <c r="F917" s="257">
        <v>800</v>
      </c>
      <c r="G917" s="367"/>
      <c r="H917" s="367"/>
      <c r="I917" s="1183">
        <f>+I915</f>
        <v>0.94047825952836139</v>
      </c>
      <c r="J917" s="1184"/>
      <c r="K917" s="253">
        <f>+E917*I917</f>
        <v>284.02443437756511</v>
      </c>
      <c r="L917" s="367" t="s">
        <v>205</v>
      </c>
      <c r="M917" s="122"/>
      <c r="N917" s="54"/>
      <c r="O917" s="336"/>
      <c r="P917" s="334"/>
      <c r="Q917" s="335"/>
      <c r="R917" s="336"/>
      <c r="S917" s="337"/>
    </row>
    <row r="918" spans="1:24" ht="30" customHeight="1" x14ac:dyDescent="0.25">
      <c r="A918" s="365">
        <v>17123</v>
      </c>
      <c r="B918" s="1209" t="s">
        <v>671</v>
      </c>
      <c r="C918" s="1210"/>
      <c r="D918" s="1211"/>
      <c r="E918" s="247">
        <v>307</v>
      </c>
      <c r="F918" s="257">
        <v>1100</v>
      </c>
      <c r="G918" s="548"/>
      <c r="H918" s="548"/>
      <c r="I918" s="1183">
        <f>+'2022 MILCON Inflation Table'!F16</f>
        <v>1.0945893340593744</v>
      </c>
      <c r="J918" s="1184"/>
      <c r="K918" s="253">
        <f>+E918*I918</f>
        <v>336.03892555622792</v>
      </c>
      <c r="L918" s="367" t="s">
        <v>205</v>
      </c>
      <c r="M918" s="54"/>
      <c r="N918" s="54"/>
      <c r="O918" s="1296" t="s">
        <v>672</v>
      </c>
      <c r="P918" s="1297"/>
      <c r="Q918" s="1297"/>
      <c r="R918" s="1297"/>
      <c r="S918" s="1297"/>
      <c r="T918" s="1298"/>
      <c r="U918" s="337"/>
    </row>
    <row r="919" spans="1:24" ht="30" customHeight="1" thickBot="1" x14ac:dyDescent="0.3">
      <c r="A919" s="365">
        <v>17139</v>
      </c>
      <c r="B919" s="1209" t="s">
        <v>673</v>
      </c>
      <c r="C919" s="1210"/>
      <c r="D919" s="1211"/>
      <c r="E919" s="247">
        <v>232</v>
      </c>
      <c r="F919" s="257">
        <v>800</v>
      </c>
      <c r="G919" s="548"/>
      <c r="H919" s="548"/>
      <c r="I919" s="1183">
        <f>+I915</f>
        <v>0.94047825952836139</v>
      </c>
      <c r="J919" s="1184"/>
      <c r="K919" s="253">
        <f>+E919*I919</f>
        <v>218.19095621057986</v>
      </c>
      <c r="L919" s="367" t="s">
        <v>205</v>
      </c>
      <c r="M919" s="111"/>
      <c r="N919" s="54"/>
      <c r="O919" s="1299"/>
      <c r="P919" s="1300"/>
      <c r="Q919" s="1300"/>
      <c r="R919" s="1300"/>
      <c r="S919" s="1300"/>
      <c r="T919" s="1301"/>
      <c r="U919" s="1131"/>
      <c r="V919" s="1131"/>
      <c r="W919" s="1132"/>
      <c r="X919" s="1132"/>
    </row>
    <row r="920" spans="1:24" ht="30" customHeight="1" thickBot="1" x14ac:dyDescent="0.3">
      <c r="A920" s="365"/>
      <c r="B920" s="338"/>
      <c r="C920" s="333"/>
      <c r="D920" s="333"/>
      <c r="E920" s="333"/>
      <c r="F920" s="744"/>
      <c r="G920" s="333"/>
      <c r="H920" s="729"/>
      <c r="I920" s="366"/>
      <c r="J920" s="359" t="s">
        <v>72</v>
      </c>
      <c r="K920" s="243">
        <f>AVERAGE(K915:K919)</f>
        <v>386.21801074326578</v>
      </c>
      <c r="L920" s="365" t="s">
        <v>205</v>
      </c>
      <c r="M920" s="54"/>
      <c r="N920" s="54"/>
      <c r="O920" s="759" t="s">
        <v>674</v>
      </c>
      <c r="P920" s="760" t="s">
        <v>675</v>
      </c>
      <c r="Q920" s="761" t="s">
        <v>676</v>
      </c>
      <c r="R920" s="762" t="s">
        <v>117</v>
      </c>
      <c r="S920" s="763" t="s">
        <v>296</v>
      </c>
      <c r="T920" s="764" t="s">
        <v>119</v>
      </c>
      <c r="U920" s="1131"/>
      <c r="V920" s="1131"/>
      <c r="W920" s="1132"/>
      <c r="X920" s="1132"/>
    </row>
    <row r="921" spans="1:24" ht="30" customHeight="1" thickBot="1" x14ac:dyDescent="0.3">
      <c r="A921" s="1180"/>
      <c r="B921" s="1181"/>
      <c r="C921" s="1181"/>
      <c r="D921" s="1181"/>
      <c r="E921" s="1181"/>
      <c r="F921" s="1181"/>
      <c r="G921" s="1181"/>
      <c r="H921" s="1181"/>
      <c r="I921" s="1181"/>
      <c r="J921" s="1181"/>
      <c r="K921" s="1181"/>
      <c r="L921" s="1182"/>
      <c r="M921" s="122"/>
      <c r="N921" s="54"/>
      <c r="O921" s="765" t="s">
        <v>327</v>
      </c>
      <c r="P921" s="1134" t="s">
        <v>677</v>
      </c>
      <c r="Q921" s="1135">
        <v>48.5</v>
      </c>
      <c r="R921" s="1127" t="s">
        <v>205</v>
      </c>
      <c r="S921" s="1127">
        <v>1.22</v>
      </c>
      <c r="T921" s="768">
        <f>1.06/1.06</f>
        <v>1</v>
      </c>
      <c r="U921" s="1133"/>
      <c r="V921" s="1133"/>
      <c r="W921" s="1133"/>
      <c r="X921" s="1132"/>
    </row>
    <row r="922" spans="1:24" ht="30" customHeight="1" x14ac:dyDescent="0.25">
      <c r="A922" s="327" t="s">
        <v>5</v>
      </c>
      <c r="B922" s="328">
        <v>1732</v>
      </c>
      <c r="C922" s="1218" t="s">
        <v>678</v>
      </c>
      <c r="D922" s="1219"/>
      <c r="E922" s="331" t="s">
        <v>8</v>
      </c>
      <c r="F922" s="332" t="s">
        <v>205</v>
      </c>
      <c r="G922" s="342" t="s">
        <v>74</v>
      </c>
      <c r="H922" s="159">
        <v>7033</v>
      </c>
      <c r="I922" s="331" t="s">
        <v>10</v>
      </c>
      <c r="J922" s="1220" t="s">
        <v>679</v>
      </c>
      <c r="K922" s="1220"/>
      <c r="L922" s="1221"/>
      <c r="M922" s="111"/>
      <c r="N922" s="54"/>
      <c r="O922" s="765" t="s">
        <v>680</v>
      </c>
      <c r="P922" s="1134" t="s">
        <v>681</v>
      </c>
      <c r="Q922" s="1135">
        <v>21.15</v>
      </c>
      <c r="R922" s="1127" t="s">
        <v>205</v>
      </c>
      <c r="S922" s="1136">
        <v>1.1599999999999999</v>
      </c>
      <c r="T922" s="768">
        <f>1.03/1.06</f>
        <v>0.97169811320754718</v>
      </c>
      <c r="U922" s="1133"/>
      <c r="V922" s="1133"/>
      <c r="W922" s="1133"/>
      <c r="X922" s="1132"/>
    </row>
    <row r="923" spans="1:24" ht="30" customHeight="1" x14ac:dyDescent="0.25">
      <c r="A923" s="356" t="s">
        <v>282</v>
      </c>
      <c r="B923" s="1163" t="s">
        <v>13</v>
      </c>
      <c r="C923" s="1163"/>
      <c r="D923" s="1163"/>
      <c r="E923" s="546" t="s">
        <v>116</v>
      </c>
      <c r="F923" s="356" t="s">
        <v>283</v>
      </c>
      <c r="G923" s="1314" t="s">
        <v>118</v>
      </c>
      <c r="H923" s="1315"/>
      <c r="I923" s="1276" t="s">
        <v>284</v>
      </c>
      <c r="J923" s="1277"/>
      <c r="K923" s="1236" t="s">
        <v>285</v>
      </c>
      <c r="L923" s="1237"/>
      <c r="M923" s="54"/>
      <c r="N923" s="54"/>
      <c r="O923" s="765" t="s">
        <v>339</v>
      </c>
      <c r="P923" s="1134" t="s">
        <v>682</v>
      </c>
      <c r="Q923" s="1135">
        <f>+((1630+2000)/2)+(4*((246+481)/2))</f>
        <v>3269</v>
      </c>
      <c r="R923" s="1127" t="s">
        <v>76</v>
      </c>
      <c r="S923" s="1127">
        <v>1.21</v>
      </c>
      <c r="T923" s="768">
        <f t="shared" ref="T923:T932" si="3">1.06/1.06</f>
        <v>1</v>
      </c>
      <c r="U923" s="335"/>
    </row>
    <row r="924" spans="1:24" ht="30" customHeight="1" x14ac:dyDescent="0.25">
      <c r="A924" s="365">
        <v>14129</v>
      </c>
      <c r="B924" s="1214" t="s">
        <v>683</v>
      </c>
      <c r="C924" s="1215"/>
      <c r="D924" s="1216"/>
      <c r="E924" s="247">
        <v>357</v>
      </c>
      <c r="F924" s="257">
        <v>135770</v>
      </c>
      <c r="G924" s="548"/>
      <c r="H924" s="548"/>
      <c r="I924" s="1183">
        <f>+'2022 MILCON Inflation Table'!F18</f>
        <v>1</v>
      </c>
      <c r="J924" s="1184"/>
      <c r="K924" s="242">
        <f>+E924*I924</f>
        <v>357</v>
      </c>
      <c r="L924" s="367" t="s">
        <v>205</v>
      </c>
      <c r="M924" s="54"/>
      <c r="N924" s="54"/>
      <c r="O924" s="765" t="s">
        <v>684</v>
      </c>
      <c r="P924" s="1134" t="s">
        <v>685</v>
      </c>
      <c r="Q924" s="1137">
        <f>+((4.79+7.16)/2)+(4*((0.44+0.63)/2))+((0.5+2.53)/2)</f>
        <v>9.6300000000000008</v>
      </c>
      <c r="R924" s="1127" t="s">
        <v>205</v>
      </c>
      <c r="S924" s="1127">
        <v>1.23</v>
      </c>
      <c r="T924" s="768">
        <f t="shared" si="3"/>
        <v>1</v>
      </c>
      <c r="U924" s="335"/>
    </row>
    <row r="925" spans="1:24" ht="30" customHeight="1" thickBot="1" x14ac:dyDescent="0.3">
      <c r="A925" s="365"/>
      <c r="B925" s="338"/>
      <c r="C925" s="333"/>
      <c r="D925" s="333"/>
      <c r="E925" s="333"/>
      <c r="F925" s="744"/>
      <c r="G925" s="333"/>
      <c r="H925" s="729"/>
      <c r="I925" s="366"/>
      <c r="J925" s="359" t="s">
        <v>72</v>
      </c>
      <c r="K925" s="243">
        <f>+K924</f>
        <v>357</v>
      </c>
      <c r="L925" s="365" t="s">
        <v>205</v>
      </c>
      <c r="M925" s="206"/>
      <c r="N925" s="54"/>
      <c r="O925" s="765" t="s">
        <v>684</v>
      </c>
      <c r="P925" s="1134" t="s">
        <v>686</v>
      </c>
      <c r="Q925" s="1138">
        <f>((4.79+7.16)/2)+(8*((0.44+0.63)/2))+((0.5+2.53)/2)</f>
        <v>11.77</v>
      </c>
      <c r="R925" s="1127" t="s">
        <v>205</v>
      </c>
      <c r="S925" s="1127">
        <v>1.23</v>
      </c>
      <c r="T925" s="768">
        <f t="shared" si="3"/>
        <v>1</v>
      </c>
      <c r="U925" s="335"/>
    </row>
    <row r="926" spans="1:24" ht="30" customHeight="1" thickBot="1" x14ac:dyDescent="0.3">
      <c r="A926" s="1180"/>
      <c r="B926" s="1181"/>
      <c r="C926" s="1181"/>
      <c r="D926" s="1181"/>
      <c r="E926" s="1181"/>
      <c r="F926" s="1181"/>
      <c r="G926" s="1181"/>
      <c r="H926" s="1181"/>
      <c r="I926" s="1181"/>
      <c r="J926" s="1181"/>
      <c r="K926" s="1181"/>
      <c r="L926" s="1182"/>
      <c r="M926" s="122"/>
      <c r="N926" s="54"/>
      <c r="O926" s="765" t="s">
        <v>533</v>
      </c>
      <c r="P926" s="1134" t="s">
        <v>687</v>
      </c>
      <c r="Q926" s="1135">
        <v>20.25</v>
      </c>
      <c r="R926" s="1127" t="s">
        <v>205</v>
      </c>
      <c r="S926" s="1127">
        <v>1.1200000000000001</v>
      </c>
      <c r="T926" s="768">
        <f t="shared" si="3"/>
        <v>1</v>
      </c>
      <c r="U926" s="335"/>
    </row>
    <row r="927" spans="1:24" ht="30" customHeight="1" x14ac:dyDescent="0.25">
      <c r="A927" s="327" t="s">
        <v>5</v>
      </c>
      <c r="B927" s="328">
        <v>1733</v>
      </c>
      <c r="C927" s="1218" t="s">
        <v>688</v>
      </c>
      <c r="D927" s="1219"/>
      <c r="E927" s="331" t="s">
        <v>8</v>
      </c>
      <c r="F927" s="332" t="s">
        <v>205</v>
      </c>
      <c r="G927" s="342" t="s">
        <v>74</v>
      </c>
      <c r="H927" s="159">
        <v>1947</v>
      </c>
      <c r="I927" s="331" t="s">
        <v>10</v>
      </c>
      <c r="J927" s="1220" t="s">
        <v>689</v>
      </c>
      <c r="K927" s="1220"/>
      <c r="L927" s="1221"/>
      <c r="M927" s="206"/>
      <c r="N927" s="54"/>
      <c r="O927" s="765" t="s">
        <v>533</v>
      </c>
      <c r="P927" s="1134" t="s">
        <v>690</v>
      </c>
      <c r="Q927" s="1135">
        <f>+(4.87+5.71)/2</f>
        <v>5.29</v>
      </c>
      <c r="R927" s="1127" t="s">
        <v>205</v>
      </c>
      <c r="S927" s="1127">
        <v>1.1200000000000001</v>
      </c>
      <c r="T927" s="768">
        <f t="shared" si="3"/>
        <v>1</v>
      </c>
      <c r="U927" s="335"/>
    </row>
    <row r="928" spans="1:24" ht="30" customHeight="1" x14ac:dyDescent="0.25">
      <c r="A928" s="356" t="s">
        <v>282</v>
      </c>
      <c r="B928" s="1163" t="s">
        <v>13</v>
      </c>
      <c r="C928" s="1163"/>
      <c r="D928" s="1163"/>
      <c r="E928" s="546" t="s">
        <v>116</v>
      </c>
      <c r="F928" s="356" t="s">
        <v>283</v>
      </c>
      <c r="G928" s="1314" t="s">
        <v>118</v>
      </c>
      <c r="H928" s="1315"/>
      <c r="I928" s="1276" t="s">
        <v>284</v>
      </c>
      <c r="J928" s="1277"/>
      <c r="K928" s="1236" t="s">
        <v>285</v>
      </c>
      <c r="L928" s="1237"/>
      <c r="M928" s="123"/>
      <c r="N928" s="54"/>
      <c r="O928" s="765" t="s">
        <v>301</v>
      </c>
      <c r="P928" s="1139" t="s">
        <v>691</v>
      </c>
      <c r="Q928" s="1135">
        <f>+(389+620)/2</f>
        <v>504.5</v>
      </c>
      <c r="R928" s="1127" t="s">
        <v>76</v>
      </c>
      <c r="S928" s="1136">
        <v>1.1000000000000001</v>
      </c>
      <c r="T928" s="768">
        <f t="shared" si="3"/>
        <v>1</v>
      </c>
      <c r="U928" s="335"/>
    </row>
    <row r="929" spans="1:21" ht="30" customHeight="1" x14ac:dyDescent="0.25">
      <c r="A929" s="365">
        <v>75061</v>
      </c>
      <c r="B929" s="1214" t="s">
        <v>692</v>
      </c>
      <c r="C929" s="1215"/>
      <c r="D929" s="1216"/>
      <c r="E929" s="247">
        <v>233549</v>
      </c>
      <c r="F929" s="257">
        <v>1</v>
      </c>
      <c r="G929" s="685">
        <f>+H927</f>
        <v>1947</v>
      </c>
      <c r="H929" s="365" t="s">
        <v>693</v>
      </c>
      <c r="I929" s="1183">
        <f>+'2022 MILCON Inflation Table'!F21</f>
        <v>0.94047825952836139</v>
      </c>
      <c r="J929" s="1184"/>
      <c r="K929" s="253">
        <f>+E929/G929*I929</f>
        <v>112.81343453240333</v>
      </c>
      <c r="L929" s="367" t="s">
        <v>205</v>
      </c>
      <c r="M929" s="122"/>
      <c r="N929" s="54"/>
      <c r="O929" s="765" t="s">
        <v>301</v>
      </c>
      <c r="P929" s="1139" t="s">
        <v>694</v>
      </c>
      <c r="Q929" s="1135">
        <f>+(750+1090)/2</f>
        <v>920</v>
      </c>
      <c r="R929" s="1127" t="s">
        <v>76</v>
      </c>
      <c r="S929" s="1136">
        <v>1.1000000000000001</v>
      </c>
      <c r="T929" s="768">
        <f t="shared" si="3"/>
        <v>1</v>
      </c>
      <c r="U929" s="335"/>
    </row>
    <row r="930" spans="1:21" ht="30" customHeight="1" x14ac:dyDescent="0.25">
      <c r="A930" s="365">
        <v>17139</v>
      </c>
      <c r="B930" s="1209" t="s">
        <v>695</v>
      </c>
      <c r="C930" s="1210"/>
      <c r="D930" s="1211"/>
      <c r="E930" s="247">
        <v>232</v>
      </c>
      <c r="F930" s="257">
        <v>800</v>
      </c>
      <c r="G930" s="687"/>
      <c r="H930" s="687"/>
      <c r="I930" s="1183">
        <f>+I929</f>
        <v>0.94047825952836139</v>
      </c>
      <c r="J930" s="1184"/>
      <c r="K930" s="253">
        <f>+E930*I930</f>
        <v>218.19095621057986</v>
      </c>
      <c r="L930" s="367" t="s">
        <v>205</v>
      </c>
      <c r="M930" s="54"/>
      <c r="N930" s="54"/>
      <c r="O930" s="765" t="s">
        <v>301</v>
      </c>
      <c r="P930" s="1139" t="s">
        <v>696</v>
      </c>
      <c r="Q930" s="1135">
        <f>+(252+473)/2</f>
        <v>362.5</v>
      </c>
      <c r="R930" s="1127" t="s">
        <v>76</v>
      </c>
      <c r="S930" s="1136">
        <v>1.1000000000000001</v>
      </c>
      <c r="T930" s="768">
        <f t="shared" si="3"/>
        <v>1</v>
      </c>
      <c r="U930" s="335"/>
    </row>
    <row r="931" spans="1:21" ht="30" customHeight="1" thickBot="1" x14ac:dyDescent="0.3">
      <c r="A931" s="365"/>
      <c r="B931" s="338"/>
      <c r="C931" s="333"/>
      <c r="D931" s="333"/>
      <c r="E931" s="769"/>
      <c r="F931" s="565"/>
      <c r="G931" s="769"/>
      <c r="H931" s="721" t="s">
        <v>300</v>
      </c>
      <c r="I931" s="366"/>
      <c r="J931" s="359" t="s">
        <v>72</v>
      </c>
      <c r="K931" s="253">
        <f>AVERAGE(K929:K930)</f>
        <v>165.50219537149161</v>
      </c>
      <c r="L931" s="365" t="s">
        <v>205</v>
      </c>
      <c r="M931" s="54"/>
      <c r="N931" s="54"/>
      <c r="O931" s="765" t="s">
        <v>301</v>
      </c>
      <c r="P931" s="1139" t="s">
        <v>697</v>
      </c>
      <c r="Q931" s="1135">
        <f>+(870+1380)/2</f>
        <v>1125</v>
      </c>
      <c r="R931" s="1127" t="s">
        <v>76</v>
      </c>
      <c r="S931" s="1136">
        <v>1.1000000000000001</v>
      </c>
      <c r="T931" s="768">
        <f t="shared" si="3"/>
        <v>1</v>
      </c>
      <c r="U931" s="335"/>
    </row>
    <row r="932" spans="1:21" ht="30" customHeight="1" thickBot="1" x14ac:dyDescent="0.3">
      <c r="A932" s="1180"/>
      <c r="B932" s="1181"/>
      <c r="C932" s="1181"/>
      <c r="D932" s="1181"/>
      <c r="E932" s="1181"/>
      <c r="F932" s="1181"/>
      <c r="G932" s="1181"/>
      <c r="H932" s="1181"/>
      <c r="I932" s="1181"/>
      <c r="J932" s="1181"/>
      <c r="K932" s="1181"/>
      <c r="L932" s="1182"/>
      <c r="M932" s="54"/>
      <c r="N932" s="54"/>
      <c r="O932" s="765" t="s">
        <v>698</v>
      </c>
      <c r="P932" s="1134" t="s">
        <v>699</v>
      </c>
      <c r="Q932" s="1135">
        <f>132+(((9.06+18.1))/2)</f>
        <v>145.58000000000001</v>
      </c>
      <c r="R932" s="1127" t="s">
        <v>76</v>
      </c>
      <c r="S932" s="1136">
        <v>1.1000000000000001</v>
      </c>
      <c r="T932" s="768">
        <f t="shared" si="3"/>
        <v>1</v>
      </c>
      <c r="U932" s="335"/>
    </row>
    <row r="933" spans="1:21" ht="30" customHeight="1" x14ac:dyDescent="0.25">
      <c r="A933" s="327" t="s">
        <v>5</v>
      </c>
      <c r="B933" s="328">
        <v>1734</v>
      </c>
      <c r="C933" s="1218" t="s">
        <v>700</v>
      </c>
      <c r="D933" s="1219"/>
      <c r="E933" s="331" t="s">
        <v>8</v>
      </c>
      <c r="F933" s="332" t="s">
        <v>76</v>
      </c>
      <c r="G933" s="338" t="s">
        <v>7</v>
      </c>
      <c r="H933" s="160">
        <v>1</v>
      </c>
      <c r="I933" s="331" t="s">
        <v>10</v>
      </c>
      <c r="J933" s="1220" t="s">
        <v>701</v>
      </c>
      <c r="K933" s="1220"/>
      <c r="L933" s="1221"/>
      <c r="M933" s="111"/>
      <c r="N933" s="54"/>
      <c r="O933" s="765" t="s">
        <v>702</v>
      </c>
      <c r="P933" s="1134" t="s">
        <v>703</v>
      </c>
      <c r="Q933" s="1135">
        <f>18.75+0.87</f>
        <v>19.62</v>
      </c>
      <c r="R933" s="1127" t="s">
        <v>40</v>
      </c>
      <c r="S933" s="1136">
        <v>1.1000000000000001</v>
      </c>
      <c r="T933" s="768">
        <f t="shared" ref="T933:T939" si="4">1.06/1.06</f>
        <v>1</v>
      </c>
      <c r="U933" s="335"/>
    </row>
    <row r="934" spans="1:21" ht="30" customHeight="1" x14ac:dyDescent="0.25">
      <c r="A934" s="356" t="s">
        <v>282</v>
      </c>
      <c r="B934" s="1163" t="s">
        <v>13</v>
      </c>
      <c r="C934" s="1163"/>
      <c r="D934" s="1163"/>
      <c r="E934" s="546" t="s">
        <v>116</v>
      </c>
      <c r="F934" s="356" t="s">
        <v>283</v>
      </c>
      <c r="G934" s="1314" t="s">
        <v>118</v>
      </c>
      <c r="H934" s="1315"/>
      <c r="I934" s="1276" t="s">
        <v>284</v>
      </c>
      <c r="J934" s="1277"/>
      <c r="K934" s="1236" t="s">
        <v>285</v>
      </c>
      <c r="L934" s="1237"/>
      <c r="M934" s="54"/>
      <c r="N934" s="54"/>
      <c r="O934" s="765" t="s">
        <v>702</v>
      </c>
      <c r="P934" s="1134" t="s">
        <v>704</v>
      </c>
      <c r="Q934" s="1135">
        <v>16.75</v>
      </c>
      <c r="R934" s="1127" t="s">
        <v>40</v>
      </c>
      <c r="S934" s="1136">
        <v>1.1000000000000001</v>
      </c>
      <c r="T934" s="768">
        <f t="shared" si="4"/>
        <v>1</v>
      </c>
      <c r="U934" s="335"/>
    </row>
    <row r="935" spans="1:21" ht="30" customHeight="1" x14ac:dyDescent="0.25">
      <c r="A935" s="365">
        <v>17971</v>
      </c>
      <c r="B935" s="1214" t="s">
        <v>705</v>
      </c>
      <c r="C935" s="1215"/>
      <c r="D935" s="1216"/>
      <c r="E935" s="247">
        <v>733882</v>
      </c>
      <c r="F935" s="257">
        <v>1</v>
      </c>
      <c r="G935" s="367"/>
      <c r="H935" s="367"/>
      <c r="I935" s="1183">
        <f>+I930</f>
        <v>0.94047825952836139</v>
      </c>
      <c r="J935" s="1184"/>
      <c r="K935" s="253">
        <f>+E935*I935</f>
        <v>690200.06605919288</v>
      </c>
      <c r="L935" s="367" t="s">
        <v>76</v>
      </c>
      <c r="M935" s="54"/>
      <c r="N935" s="54"/>
      <c r="O935" s="765" t="s">
        <v>520</v>
      </c>
      <c r="P935" s="1139" t="s">
        <v>706</v>
      </c>
      <c r="Q935" s="1135">
        <f>(19.6+22.6)/2</f>
        <v>21.1</v>
      </c>
      <c r="R935" s="1127" t="s">
        <v>40</v>
      </c>
      <c r="S935" s="1127">
        <v>1.04</v>
      </c>
      <c r="T935" s="768">
        <f t="shared" si="4"/>
        <v>1</v>
      </c>
      <c r="U935" s="335"/>
    </row>
    <row r="936" spans="1:21" ht="30" customHeight="1" x14ac:dyDescent="0.25">
      <c r="A936" s="365">
        <v>17971</v>
      </c>
      <c r="B936" s="1214" t="s">
        <v>707</v>
      </c>
      <c r="C936" s="1215"/>
      <c r="D936" s="1215"/>
      <c r="E936" s="153">
        <v>279109</v>
      </c>
      <c r="F936" s="257">
        <v>1</v>
      </c>
      <c r="G936" s="367"/>
      <c r="H936" s="367"/>
      <c r="I936" s="1183">
        <f>+I935</f>
        <v>0.94047825952836139</v>
      </c>
      <c r="J936" s="1184"/>
      <c r="K936" s="253">
        <f>+E936*I936</f>
        <v>262495.94653870142</v>
      </c>
      <c r="L936" s="367" t="s">
        <v>76</v>
      </c>
      <c r="M936" s="54"/>
      <c r="N936" s="54"/>
      <c r="O936" s="765" t="s">
        <v>520</v>
      </c>
      <c r="P936" s="1139" t="s">
        <v>708</v>
      </c>
      <c r="Q936" s="1135">
        <f>+(1980+4475)/2</f>
        <v>3227.5</v>
      </c>
      <c r="R936" s="1127" t="s">
        <v>76</v>
      </c>
      <c r="S936" s="1127">
        <v>1.04</v>
      </c>
      <c r="T936" s="768">
        <f t="shared" si="4"/>
        <v>1</v>
      </c>
      <c r="U936" s="335"/>
    </row>
    <row r="937" spans="1:21" ht="30" customHeight="1" thickBot="1" x14ac:dyDescent="0.3">
      <c r="A937" s="365"/>
      <c r="B937" s="338"/>
      <c r="C937" s="333"/>
      <c r="D937" s="333"/>
      <c r="E937" s="333"/>
      <c r="F937" s="744"/>
      <c r="G937" s="333"/>
      <c r="H937" s="729"/>
      <c r="I937" s="366" t="s">
        <v>300</v>
      </c>
      <c r="J937" s="359" t="s">
        <v>72</v>
      </c>
      <c r="K937" s="243">
        <f>AVERAGE(K935,K936)</f>
        <v>476348.00629894715</v>
      </c>
      <c r="L937" s="367" t="s">
        <v>76</v>
      </c>
      <c r="M937" s="54"/>
      <c r="N937" s="54"/>
      <c r="O937" s="765" t="s">
        <v>339</v>
      </c>
      <c r="P937" s="1134" t="s">
        <v>709</v>
      </c>
      <c r="Q937" s="1135">
        <f>(66.5+(2.67*18))*4</f>
        <v>458.24</v>
      </c>
      <c r="R937" s="1127" t="s">
        <v>76</v>
      </c>
      <c r="S937" s="1127">
        <v>1.21</v>
      </c>
      <c r="T937" s="768">
        <f t="shared" si="4"/>
        <v>1</v>
      </c>
      <c r="U937" s="335"/>
    </row>
    <row r="938" spans="1:21" ht="30" customHeight="1" thickBot="1" x14ac:dyDescent="0.3">
      <c r="A938" s="1180"/>
      <c r="B938" s="1181"/>
      <c r="C938" s="1181"/>
      <c r="D938" s="1181"/>
      <c r="E938" s="1181"/>
      <c r="F938" s="1181"/>
      <c r="G938" s="1181"/>
      <c r="H938" s="1181"/>
      <c r="I938" s="1181"/>
      <c r="J938" s="1181"/>
      <c r="K938" s="1181"/>
      <c r="L938" s="1182"/>
      <c r="M938" s="54"/>
      <c r="N938" s="54"/>
      <c r="O938" s="765" t="s">
        <v>533</v>
      </c>
      <c r="P938" s="1140" t="s">
        <v>710</v>
      </c>
      <c r="Q938" s="1135">
        <v>21.5</v>
      </c>
      <c r="R938" s="1127" t="s">
        <v>76</v>
      </c>
      <c r="S938" s="1136">
        <v>1.1200000000000001</v>
      </c>
      <c r="T938" s="768">
        <f t="shared" si="4"/>
        <v>1</v>
      </c>
      <c r="U938" s="335"/>
    </row>
    <row r="939" spans="1:21" ht="30" customHeight="1" x14ac:dyDescent="0.25">
      <c r="A939" s="327" t="s">
        <v>5</v>
      </c>
      <c r="B939" s="328">
        <v>1741</v>
      </c>
      <c r="C939" s="1218" t="s">
        <v>711</v>
      </c>
      <c r="D939" s="1219"/>
      <c r="E939" s="331" t="s">
        <v>8</v>
      </c>
      <c r="F939" s="332" t="s">
        <v>712</v>
      </c>
      <c r="G939" s="342" t="s">
        <v>74</v>
      </c>
      <c r="H939" s="160">
        <v>1584</v>
      </c>
      <c r="I939" s="331" t="s">
        <v>10</v>
      </c>
      <c r="J939" s="1220" t="s">
        <v>713</v>
      </c>
      <c r="K939" s="1220"/>
      <c r="L939" s="1221"/>
      <c r="M939" s="54"/>
      <c r="N939" s="54"/>
      <c r="O939" s="765" t="s">
        <v>535</v>
      </c>
      <c r="P939" s="1134" t="s">
        <v>714</v>
      </c>
      <c r="Q939" s="1135">
        <v>25.5</v>
      </c>
      <c r="R939" s="1127" t="s">
        <v>205</v>
      </c>
      <c r="S939" s="1136">
        <v>1.1200000000000001</v>
      </c>
      <c r="T939" s="768">
        <f t="shared" si="4"/>
        <v>1</v>
      </c>
      <c r="U939" s="335"/>
    </row>
    <row r="940" spans="1:21" ht="30" customHeight="1" x14ac:dyDescent="0.25">
      <c r="A940" s="356"/>
      <c r="B940" s="1249" t="s">
        <v>491</v>
      </c>
      <c r="C940" s="1249"/>
      <c r="D940" s="1249"/>
      <c r="E940" s="356" t="s">
        <v>116</v>
      </c>
      <c r="F940" s="356" t="s">
        <v>117</v>
      </c>
      <c r="G940" s="1194" t="s">
        <v>118</v>
      </c>
      <c r="H940" s="1195"/>
      <c r="I940" s="356" t="s">
        <v>119</v>
      </c>
      <c r="J940" s="356" t="s">
        <v>120</v>
      </c>
      <c r="K940" s="1236" t="s">
        <v>72</v>
      </c>
      <c r="L940" s="1237"/>
      <c r="M940" s="54"/>
      <c r="N940" s="54"/>
      <c r="O940" s="765">
        <v>85110</v>
      </c>
      <c r="P940" s="1134" t="s">
        <v>715</v>
      </c>
      <c r="Q940" s="1135">
        <v>19.600000000000001</v>
      </c>
      <c r="R940" s="1127" t="s">
        <v>9</v>
      </c>
      <c r="S940" s="1141">
        <f>+'2022 MILCON Inflation Table'!$F$20</f>
        <v>0.95928782471892859</v>
      </c>
      <c r="T940" s="768"/>
      <c r="U940" s="335"/>
    </row>
    <row r="941" spans="1:21" ht="30" customHeight="1" thickBot="1" x14ac:dyDescent="0.3">
      <c r="A941" s="360"/>
      <c r="B941" s="1290" t="s">
        <v>716</v>
      </c>
      <c r="C941" s="1290"/>
      <c r="D941" s="1290"/>
      <c r="E941" s="485"/>
      <c r="F941" s="486"/>
      <c r="G941" s="1183"/>
      <c r="H941" s="1184"/>
      <c r="I941" s="486"/>
      <c r="J941" s="487" t="s">
        <v>716</v>
      </c>
      <c r="K941" s="488" t="s">
        <v>716</v>
      </c>
      <c r="L941" s="486" t="s">
        <v>712</v>
      </c>
      <c r="M941" s="54"/>
      <c r="N941" s="54"/>
      <c r="O941" s="765">
        <v>85110</v>
      </c>
      <c r="P941" s="1134" t="s">
        <v>717</v>
      </c>
      <c r="Q941" s="1135">
        <v>62</v>
      </c>
      <c r="R941" s="1127" t="s">
        <v>9</v>
      </c>
      <c r="S941" s="1141">
        <f>+'2022 MILCON Inflation Table'!$F$20</f>
        <v>0.95928782471892859</v>
      </c>
      <c r="T941" s="768"/>
      <c r="U941" s="335"/>
    </row>
    <row r="942" spans="1:21" ht="30" customHeight="1" thickBot="1" x14ac:dyDescent="0.3">
      <c r="A942" s="1180"/>
      <c r="B942" s="1181"/>
      <c r="C942" s="1181"/>
      <c r="D942" s="1181"/>
      <c r="E942" s="1181"/>
      <c r="F942" s="1181"/>
      <c r="G942" s="1181"/>
      <c r="H942" s="1181"/>
      <c r="I942" s="1181"/>
      <c r="J942" s="1181"/>
      <c r="K942" s="1181"/>
      <c r="L942" s="1182"/>
      <c r="M942" s="54"/>
      <c r="N942" s="54"/>
      <c r="O942" s="765">
        <v>93410</v>
      </c>
      <c r="P942" s="1134" t="s">
        <v>718</v>
      </c>
      <c r="Q942" s="1135">
        <v>8.6999999999999993</v>
      </c>
      <c r="R942" s="1127" t="s">
        <v>25</v>
      </c>
      <c r="S942" s="1141">
        <f>+'2022 MILCON Inflation Table'!$F$20</f>
        <v>0.95928782471892859</v>
      </c>
      <c r="T942" s="770"/>
      <c r="U942" s="335"/>
    </row>
    <row r="943" spans="1:21" ht="30" customHeight="1" x14ac:dyDescent="0.25">
      <c r="A943" s="327" t="s">
        <v>5</v>
      </c>
      <c r="B943" s="328">
        <v>1742</v>
      </c>
      <c r="C943" s="1218" t="s">
        <v>719</v>
      </c>
      <c r="D943" s="1219"/>
      <c r="E943" s="331" t="s">
        <v>8</v>
      </c>
      <c r="F943" s="332" t="s">
        <v>712</v>
      </c>
      <c r="G943" s="342" t="s">
        <v>74</v>
      </c>
      <c r="H943" s="160">
        <v>2969</v>
      </c>
      <c r="I943" s="331" t="s">
        <v>10</v>
      </c>
      <c r="J943" s="1220" t="s">
        <v>713</v>
      </c>
      <c r="K943" s="1220"/>
      <c r="L943" s="1221"/>
      <c r="M943" s="54"/>
      <c r="O943" s="765">
        <v>93410</v>
      </c>
      <c r="P943" s="1134" t="s">
        <v>720</v>
      </c>
      <c r="Q943" s="1135">
        <v>1.2</v>
      </c>
      <c r="R943" s="1127" t="s">
        <v>9</v>
      </c>
      <c r="S943" s="1141">
        <f>+'2022 MILCON Inflation Table'!$F$20</f>
        <v>0.95928782471892859</v>
      </c>
      <c r="T943" s="770"/>
      <c r="U943" s="335"/>
    </row>
    <row r="944" spans="1:21" ht="30" customHeight="1" x14ac:dyDescent="0.25">
      <c r="A944" s="356"/>
      <c r="B944" s="1249" t="s">
        <v>491</v>
      </c>
      <c r="C944" s="1249"/>
      <c r="D944" s="1249"/>
      <c r="E944" s="356" t="s">
        <v>116</v>
      </c>
      <c r="F944" s="356" t="s">
        <v>117</v>
      </c>
      <c r="G944" s="1194" t="s">
        <v>118</v>
      </c>
      <c r="H944" s="1195"/>
      <c r="I944" s="356" t="s">
        <v>119</v>
      </c>
      <c r="J944" s="356" t="s">
        <v>120</v>
      </c>
      <c r="K944" s="1236" t="s">
        <v>72</v>
      </c>
      <c r="L944" s="1237"/>
      <c r="M944" s="54"/>
      <c r="N944" s="54"/>
      <c r="O944" s="765">
        <v>93210</v>
      </c>
      <c r="P944" s="1139" t="s">
        <v>721</v>
      </c>
      <c r="Q944" s="1135">
        <v>48.6</v>
      </c>
      <c r="R944" s="1127" t="s">
        <v>25</v>
      </c>
      <c r="S944" s="1141">
        <f>+'2022 MILCON Inflation Table'!$F$20</f>
        <v>0.95928782471892859</v>
      </c>
      <c r="T944" s="770"/>
      <c r="U944" s="335"/>
    </row>
    <row r="945" spans="1:21" ht="30" customHeight="1" thickBot="1" x14ac:dyDescent="0.3">
      <c r="A945" s="360"/>
      <c r="B945" s="1290" t="s">
        <v>716</v>
      </c>
      <c r="C945" s="1290"/>
      <c r="D945" s="1290"/>
      <c r="E945" s="485"/>
      <c r="F945" s="486"/>
      <c r="G945" s="1183"/>
      <c r="H945" s="1184"/>
      <c r="I945" s="486"/>
      <c r="J945" s="487" t="s">
        <v>716</v>
      </c>
      <c r="K945" s="488" t="s">
        <v>716</v>
      </c>
      <c r="L945" s="486" t="s">
        <v>712</v>
      </c>
      <c r="M945" s="54"/>
      <c r="N945" s="54"/>
      <c r="O945" s="771">
        <v>85110</v>
      </c>
      <c r="P945" s="772" t="s">
        <v>722</v>
      </c>
      <c r="Q945" s="773">
        <v>73</v>
      </c>
      <c r="R945" s="394" t="s">
        <v>9</v>
      </c>
      <c r="S945" s="774">
        <f>+'2022 MILCON Inflation Table'!$F$20</f>
        <v>0.95928782471892859</v>
      </c>
      <c r="T945" s="775"/>
      <c r="U945" s="335"/>
    </row>
    <row r="946" spans="1:21" ht="30" customHeight="1" thickBot="1" x14ac:dyDescent="0.3">
      <c r="A946" s="1180"/>
      <c r="B946" s="1181"/>
      <c r="C946" s="1181"/>
      <c r="D946" s="1181"/>
      <c r="E946" s="1181"/>
      <c r="F946" s="1181"/>
      <c r="G946" s="1181"/>
      <c r="H946" s="1181"/>
      <c r="I946" s="1181"/>
      <c r="J946" s="1181"/>
      <c r="K946" s="1181"/>
      <c r="L946" s="1182"/>
      <c r="M946" s="54"/>
      <c r="N946" s="54"/>
      <c r="O946" s="336"/>
      <c r="P946" s="334"/>
      <c r="Q946" s="335"/>
      <c r="R946" s="336"/>
      <c r="S946" s="336"/>
      <c r="T946" s="336"/>
      <c r="U946" s="335"/>
    </row>
    <row r="947" spans="1:21" ht="30" customHeight="1" x14ac:dyDescent="0.25">
      <c r="A947" s="327" t="s">
        <v>5</v>
      </c>
      <c r="B947" s="328">
        <v>1743</v>
      </c>
      <c r="C947" s="1218" t="s">
        <v>723</v>
      </c>
      <c r="D947" s="1219"/>
      <c r="E947" s="331" t="s">
        <v>8</v>
      </c>
      <c r="F947" s="332" t="s">
        <v>712</v>
      </c>
      <c r="G947" s="342" t="s">
        <v>74</v>
      </c>
      <c r="H947" s="160">
        <v>6300</v>
      </c>
      <c r="I947" s="331" t="s">
        <v>10</v>
      </c>
      <c r="J947" s="1220" t="s">
        <v>713</v>
      </c>
      <c r="K947" s="1220"/>
      <c r="L947" s="1221"/>
      <c r="M947" s="54"/>
      <c r="N947" s="54"/>
      <c r="O947" s="336"/>
      <c r="P947" s="334"/>
      <c r="Q947" s="335"/>
      <c r="R947" s="336"/>
      <c r="S947" s="336"/>
      <c r="T947" s="336"/>
      <c r="U947" s="335"/>
    </row>
    <row r="948" spans="1:21" ht="30" customHeight="1" x14ac:dyDescent="0.25">
      <c r="A948" s="356"/>
      <c r="B948" s="1249" t="s">
        <v>491</v>
      </c>
      <c r="C948" s="1249"/>
      <c r="D948" s="1249"/>
      <c r="E948" s="356" t="s">
        <v>116</v>
      </c>
      <c r="F948" s="356" t="s">
        <v>117</v>
      </c>
      <c r="G948" s="1194" t="s">
        <v>118</v>
      </c>
      <c r="H948" s="1195"/>
      <c r="I948" s="356" t="s">
        <v>119</v>
      </c>
      <c r="J948" s="356" t="s">
        <v>120</v>
      </c>
      <c r="K948" s="1236" t="s">
        <v>72</v>
      </c>
      <c r="L948" s="1237"/>
      <c r="M948" s="54"/>
      <c r="N948" s="54"/>
      <c r="O948" s="336"/>
      <c r="P948" s="334"/>
      <c r="Q948" s="335"/>
      <c r="R948" s="336"/>
      <c r="U948" s="337"/>
    </row>
    <row r="949" spans="1:21" ht="30" customHeight="1" thickBot="1" x14ac:dyDescent="0.3">
      <c r="A949" s="360"/>
      <c r="B949" s="1290" t="s">
        <v>716</v>
      </c>
      <c r="C949" s="1290"/>
      <c r="D949" s="1290"/>
      <c r="E949" s="485"/>
      <c r="F949" s="486"/>
      <c r="G949" s="1183"/>
      <c r="H949" s="1184"/>
      <c r="I949" s="486"/>
      <c r="J949" s="487" t="s">
        <v>716</v>
      </c>
      <c r="K949" s="488" t="s">
        <v>716</v>
      </c>
      <c r="L949" s="486" t="s">
        <v>712</v>
      </c>
      <c r="M949" s="54"/>
      <c r="N949" s="54"/>
      <c r="O949" s="336"/>
      <c r="P949" s="334"/>
      <c r="Q949" s="335"/>
      <c r="R949" s="336"/>
      <c r="U949" s="337"/>
    </row>
    <row r="950" spans="1:21" ht="30" customHeight="1" thickBot="1" x14ac:dyDescent="0.3">
      <c r="A950" s="1180"/>
      <c r="B950" s="1181"/>
      <c r="C950" s="1181"/>
      <c r="D950" s="1181"/>
      <c r="E950" s="1181"/>
      <c r="F950" s="1181"/>
      <c r="G950" s="1181"/>
      <c r="H950" s="1181"/>
      <c r="I950" s="1181"/>
      <c r="J950" s="1181"/>
      <c r="K950" s="1181"/>
      <c r="L950" s="1182"/>
      <c r="M950" s="54"/>
      <c r="O950" s="336"/>
      <c r="P950" s="334"/>
      <c r="Q950" s="335"/>
      <c r="R950" s="336"/>
      <c r="S950" s="337"/>
    </row>
    <row r="951" spans="1:21" ht="30" customHeight="1" x14ac:dyDescent="0.25">
      <c r="A951" s="327" t="s">
        <v>5</v>
      </c>
      <c r="B951" s="328">
        <v>1744</v>
      </c>
      <c r="C951" s="1218" t="s">
        <v>724</v>
      </c>
      <c r="D951" s="1219"/>
      <c r="E951" s="331" t="s">
        <v>8</v>
      </c>
      <c r="F951" s="332" t="s">
        <v>712</v>
      </c>
      <c r="G951" s="342" t="s">
        <v>74</v>
      </c>
      <c r="H951" s="160">
        <v>369</v>
      </c>
      <c r="I951" s="331" t="s">
        <v>10</v>
      </c>
      <c r="J951" s="1220" t="s">
        <v>713</v>
      </c>
      <c r="K951" s="1220"/>
      <c r="L951" s="1221"/>
      <c r="M951" s="54"/>
      <c r="N951" s="54"/>
      <c r="O951" s="336"/>
      <c r="P951" s="334"/>
      <c r="Q951" s="335"/>
      <c r="R951" s="336"/>
      <c r="U951" s="337"/>
    </row>
    <row r="952" spans="1:21" ht="30" customHeight="1" x14ac:dyDescent="0.25">
      <c r="A952" s="356"/>
      <c r="B952" s="1249" t="s">
        <v>491</v>
      </c>
      <c r="C952" s="1249"/>
      <c r="D952" s="1249"/>
      <c r="E952" s="356" t="s">
        <v>116</v>
      </c>
      <c r="F952" s="356" t="s">
        <v>117</v>
      </c>
      <c r="G952" s="1194" t="s">
        <v>118</v>
      </c>
      <c r="H952" s="1195"/>
      <c r="I952" s="356" t="s">
        <v>119</v>
      </c>
      <c r="J952" s="356" t="s">
        <v>120</v>
      </c>
      <c r="K952" s="1236" t="s">
        <v>72</v>
      </c>
      <c r="L952" s="1237"/>
      <c r="M952" s="54"/>
      <c r="N952" s="54"/>
      <c r="O952" s="336"/>
      <c r="P952" s="334"/>
      <c r="Q952" s="335"/>
      <c r="R952" s="336"/>
      <c r="U952" s="337"/>
    </row>
    <row r="953" spans="1:21" ht="30" customHeight="1" thickBot="1" x14ac:dyDescent="0.3">
      <c r="A953" s="360"/>
      <c r="B953" s="1290" t="s">
        <v>716</v>
      </c>
      <c r="C953" s="1290"/>
      <c r="D953" s="1290"/>
      <c r="E953" s="485"/>
      <c r="F953" s="486"/>
      <c r="G953" s="1183"/>
      <c r="H953" s="1184"/>
      <c r="I953" s="486"/>
      <c r="J953" s="487" t="s">
        <v>716</v>
      </c>
      <c r="K953" s="488" t="s">
        <v>716</v>
      </c>
      <c r="L953" s="486" t="s">
        <v>712</v>
      </c>
      <c r="M953" s="54"/>
      <c r="N953" s="54"/>
      <c r="O953" s="336"/>
      <c r="P953" s="334"/>
      <c r="Q953" s="335"/>
      <c r="R953" s="336"/>
      <c r="U953" s="337"/>
    </row>
    <row r="954" spans="1:21" ht="30" customHeight="1" thickBot="1" x14ac:dyDescent="0.3">
      <c r="A954" s="1180"/>
      <c r="B954" s="1181"/>
      <c r="C954" s="1181"/>
      <c r="D954" s="1181"/>
      <c r="E954" s="1181"/>
      <c r="F954" s="1181"/>
      <c r="G954" s="1181"/>
      <c r="H954" s="1181"/>
      <c r="I954" s="1181"/>
      <c r="J954" s="1181"/>
      <c r="K954" s="1181"/>
      <c r="L954" s="1182"/>
      <c r="M954" s="54"/>
      <c r="O954" s="336"/>
      <c r="P954" s="334"/>
      <c r="Q954" s="335"/>
      <c r="R954" s="336"/>
      <c r="U954" s="337"/>
    </row>
    <row r="955" spans="1:21" ht="30" customHeight="1" x14ac:dyDescent="0.25">
      <c r="A955" s="327" t="s">
        <v>5</v>
      </c>
      <c r="B955" s="328">
        <v>1745</v>
      </c>
      <c r="C955" s="1233" t="s">
        <v>725</v>
      </c>
      <c r="D955" s="1234"/>
      <c r="E955" s="331" t="s">
        <v>8</v>
      </c>
      <c r="F955" s="332" t="s">
        <v>712</v>
      </c>
      <c r="G955" s="342" t="s">
        <v>74</v>
      </c>
      <c r="H955" s="166">
        <v>9.4</v>
      </c>
      <c r="I955" s="331" t="s">
        <v>10</v>
      </c>
      <c r="J955" s="1220" t="s">
        <v>3388</v>
      </c>
      <c r="K955" s="1220"/>
      <c r="L955" s="1221"/>
      <c r="M955" s="54"/>
      <c r="N955" s="54"/>
      <c r="O955" s="336"/>
      <c r="P955" s="334"/>
      <c r="Q955" s="335"/>
      <c r="R955" s="336"/>
      <c r="U955" s="337"/>
    </row>
    <row r="956" spans="1:21" ht="30" customHeight="1" x14ac:dyDescent="0.25">
      <c r="A956" s="359" t="s">
        <v>295</v>
      </c>
      <c r="B956" s="1222" t="s">
        <v>326</v>
      </c>
      <c r="C956" s="1235"/>
      <c r="D956" s="1223"/>
      <c r="E956" s="577" t="s">
        <v>116</v>
      </c>
      <c r="F956" s="577" t="s">
        <v>117</v>
      </c>
      <c r="G956" s="1194" t="s">
        <v>118</v>
      </c>
      <c r="H956" s="1195"/>
      <c r="I956" s="356" t="s">
        <v>296</v>
      </c>
      <c r="J956" s="356"/>
      <c r="K956" s="1236" t="s">
        <v>285</v>
      </c>
      <c r="L956" s="1237"/>
      <c r="M956" s="54"/>
      <c r="N956" s="54"/>
      <c r="O956" s="336"/>
      <c r="P956" s="334"/>
      <c r="Q956" s="335"/>
      <c r="R956" s="336"/>
      <c r="U956" s="337"/>
    </row>
    <row r="957" spans="1:21" ht="30" customHeight="1" x14ac:dyDescent="0.25">
      <c r="A957" s="365" t="s">
        <v>726</v>
      </c>
      <c r="B957" s="1209" t="s">
        <v>727</v>
      </c>
      <c r="C957" s="1210"/>
      <c r="D957" s="1211"/>
      <c r="E957" s="716">
        <v>0.28999999999999998</v>
      </c>
      <c r="F957" s="396" t="s">
        <v>205</v>
      </c>
      <c r="G957" s="776">
        <v>43560</v>
      </c>
      <c r="H957" s="690" t="s">
        <v>728</v>
      </c>
      <c r="I957" s="365">
        <v>1.02</v>
      </c>
      <c r="J957" s="365"/>
      <c r="K957" s="752">
        <f>+E957*G957*I957</f>
        <v>12885.048000000001</v>
      </c>
      <c r="L957" s="396" t="s">
        <v>712</v>
      </c>
      <c r="M957" s="110"/>
      <c r="N957" s="54"/>
      <c r="O957" s="336"/>
      <c r="P957" s="334"/>
      <c r="Q957" s="335"/>
      <c r="R957" s="336"/>
      <c r="U957" s="337"/>
    </row>
    <row r="958" spans="1:21" ht="30" customHeight="1" x14ac:dyDescent="0.25">
      <c r="A958" s="365" t="s">
        <v>726</v>
      </c>
      <c r="B958" s="1214" t="s">
        <v>729</v>
      </c>
      <c r="C958" s="1215"/>
      <c r="D958" s="1216"/>
      <c r="E958" s="7">
        <v>0.17</v>
      </c>
      <c r="F958" s="396" t="s">
        <v>205</v>
      </c>
      <c r="G958" s="776">
        <v>43560</v>
      </c>
      <c r="H958" s="690" t="s">
        <v>728</v>
      </c>
      <c r="I958" s="365">
        <v>1.02</v>
      </c>
      <c r="J958" s="365"/>
      <c r="K958" s="752">
        <f>+E958*G958*I958</f>
        <v>7553.304000000001</v>
      </c>
      <c r="L958" s="396" t="s">
        <v>712</v>
      </c>
      <c r="N958" s="54"/>
      <c r="O958" s="336"/>
      <c r="P958" s="334"/>
      <c r="Q958" s="335"/>
      <c r="R958" s="336"/>
      <c r="U958" s="337"/>
    </row>
    <row r="959" spans="1:21" ht="30" customHeight="1" x14ac:dyDescent="0.25">
      <c r="A959" s="365" t="s">
        <v>726</v>
      </c>
      <c r="B959" s="1209" t="s">
        <v>730</v>
      </c>
      <c r="C959" s="1210"/>
      <c r="D959" s="1211"/>
      <c r="E959" s="7">
        <v>0.53</v>
      </c>
      <c r="F959" s="396" t="s">
        <v>205</v>
      </c>
      <c r="G959" s="776">
        <v>43560</v>
      </c>
      <c r="H959" s="690" t="s">
        <v>728</v>
      </c>
      <c r="I959" s="365">
        <v>1.02</v>
      </c>
      <c r="J959" s="365"/>
      <c r="K959" s="752">
        <f>+E959*G959*I959</f>
        <v>23548.536000000004</v>
      </c>
      <c r="L959" s="396" t="s">
        <v>712</v>
      </c>
      <c r="M959" s="54"/>
      <c r="N959" s="54"/>
      <c r="O959" s="336"/>
      <c r="P959" s="334"/>
      <c r="Q959" s="335"/>
      <c r="R959" s="336"/>
      <c r="U959" s="337"/>
    </row>
    <row r="960" spans="1:21" ht="30" customHeight="1" x14ac:dyDescent="0.25">
      <c r="A960" s="366"/>
      <c r="B960" s="1269"/>
      <c r="C960" s="1269"/>
      <c r="D960" s="1269"/>
      <c r="E960" s="247"/>
      <c r="F960" s="365"/>
      <c r="G960" s="365"/>
      <c r="H960" s="365"/>
      <c r="I960" s="365"/>
      <c r="J960" s="365" t="s">
        <v>408</v>
      </c>
      <c r="K960" s="259">
        <f>SUM(K957:K959)</f>
        <v>43986.888000000006</v>
      </c>
      <c r="L960" s="396" t="s">
        <v>712</v>
      </c>
      <c r="M960" s="54"/>
      <c r="N960" s="54"/>
      <c r="O960" s="336"/>
      <c r="P960" s="334"/>
      <c r="Q960" s="335"/>
      <c r="R960" s="336"/>
      <c r="U960" s="337"/>
    </row>
    <row r="961" spans="1:21" ht="30" customHeight="1" x14ac:dyDescent="0.25">
      <c r="A961" s="365"/>
      <c r="B961" s="578"/>
      <c r="C961" s="578"/>
      <c r="D961" s="578"/>
      <c r="E961" s="247"/>
      <c r="F961" s="1272" t="s">
        <v>303</v>
      </c>
      <c r="G961" s="1283" t="s">
        <v>304</v>
      </c>
      <c r="H961" s="1283"/>
      <c r="I961" s="1283"/>
      <c r="J961" s="1283"/>
      <c r="K961" s="250">
        <v>1.07</v>
      </c>
      <c r="L961" s="365"/>
      <c r="M961" s="54"/>
      <c r="N961" s="54"/>
      <c r="O961" s="336"/>
      <c r="P961" s="334"/>
      <c r="Q961" s="335"/>
      <c r="R961" s="336"/>
      <c r="U961" s="337"/>
    </row>
    <row r="962" spans="1:21" ht="30" customHeight="1" x14ac:dyDescent="0.25">
      <c r="A962" s="365"/>
      <c r="B962" s="578"/>
      <c r="C962" s="578"/>
      <c r="D962" s="578"/>
      <c r="E962" s="247"/>
      <c r="F962" s="1273"/>
      <c r="G962" s="1284" t="s">
        <v>438</v>
      </c>
      <c r="H962" s="1284"/>
      <c r="I962" s="1284"/>
      <c r="J962" s="1284"/>
      <c r="K962" s="250">
        <v>1.08</v>
      </c>
      <c r="L962" s="365"/>
      <c r="M962" s="54"/>
      <c r="N962" s="54"/>
      <c r="O962" s="336"/>
      <c r="P962" s="334"/>
      <c r="Q962" s="335"/>
      <c r="R962" s="336"/>
      <c r="U962" s="337"/>
    </row>
    <row r="963" spans="1:21" ht="30" customHeight="1" x14ac:dyDescent="0.25">
      <c r="A963" s="366"/>
      <c r="B963" s="365"/>
      <c r="C963" s="366"/>
      <c r="D963" s="366"/>
      <c r="E963" s="366"/>
      <c r="F963" s="366"/>
      <c r="G963" s="366"/>
      <c r="H963" s="366"/>
      <c r="I963" s="366"/>
      <c r="J963" s="365" t="s">
        <v>72</v>
      </c>
      <c r="K963" s="246">
        <f>+K960*K961/K962</f>
        <v>43579.602000000006</v>
      </c>
      <c r="L963" s="396" t="s">
        <v>712</v>
      </c>
      <c r="M963" s="54"/>
      <c r="N963" s="54"/>
      <c r="O963" s="336"/>
      <c r="P963" s="334"/>
      <c r="Q963" s="335"/>
      <c r="R963" s="336"/>
      <c r="U963" s="337"/>
    </row>
    <row r="964" spans="1:21" ht="30" customHeight="1" x14ac:dyDescent="0.25">
      <c r="A964" s="366"/>
      <c r="B964" s="365"/>
      <c r="C964" s="366"/>
      <c r="D964" s="366"/>
      <c r="E964" s="366"/>
      <c r="F964" s="366"/>
      <c r="G964" s="580" t="s">
        <v>306</v>
      </c>
      <c r="H964" s="366"/>
      <c r="I964" s="366"/>
      <c r="J964" s="521">
        <f>VLOOKUP(B955,'Mil Cost Premiums for PUCs'!$A$4:$R$277,18,FALSE)</f>
        <v>1.0209999999999999</v>
      </c>
      <c r="K964" s="246">
        <f>+K963*J964</f>
        <v>44494.773642</v>
      </c>
      <c r="L964" s="365" t="s">
        <v>712</v>
      </c>
      <c r="M964" s="54"/>
      <c r="N964" s="54"/>
      <c r="O964" s="336"/>
      <c r="P964" s="334"/>
      <c r="Q964" s="335"/>
      <c r="R964" s="336"/>
      <c r="U964" s="337"/>
    </row>
    <row r="965" spans="1:21" ht="30" customHeight="1" thickBot="1" x14ac:dyDescent="0.3">
      <c r="A965" s="365"/>
      <c r="B965" s="365"/>
      <c r="C965" s="366"/>
      <c r="D965" s="366"/>
      <c r="E965" s="366"/>
      <c r="F965" s="366"/>
      <c r="G965" s="1222" t="s">
        <v>439</v>
      </c>
      <c r="H965" s="1223"/>
      <c r="I965" s="366"/>
      <c r="J965" s="521">
        <v>1.0833999999999999</v>
      </c>
      <c r="K965" s="246">
        <f>K964*J965</f>
        <v>48205.637763742794</v>
      </c>
      <c r="L965" s="365" t="s">
        <v>712</v>
      </c>
      <c r="N965" s="54"/>
      <c r="O965" s="336"/>
      <c r="P965" s="334"/>
      <c r="Q965" s="335"/>
      <c r="R965" s="336"/>
      <c r="U965" s="337"/>
    </row>
    <row r="966" spans="1:21" ht="30" customHeight="1" thickBot="1" x14ac:dyDescent="0.3">
      <c r="A966" s="1180"/>
      <c r="B966" s="1181"/>
      <c r="C966" s="1181"/>
      <c r="D966" s="1181"/>
      <c r="E966" s="1181"/>
      <c r="F966" s="1181"/>
      <c r="G966" s="1181"/>
      <c r="H966" s="1181"/>
      <c r="I966" s="1181"/>
      <c r="J966" s="1181"/>
      <c r="K966" s="1181"/>
      <c r="L966" s="1182"/>
      <c r="M966" s="54"/>
      <c r="N966" s="54"/>
      <c r="O966" s="336"/>
      <c r="P966" s="334"/>
      <c r="Q966" s="335"/>
      <c r="R966" s="336"/>
      <c r="U966" s="337"/>
    </row>
    <row r="967" spans="1:21" ht="30" customHeight="1" x14ac:dyDescent="0.25">
      <c r="A967" s="327" t="s">
        <v>5</v>
      </c>
      <c r="B967" s="328">
        <v>1750</v>
      </c>
      <c r="C967" s="1251" t="s">
        <v>731</v>
      </c>
      <c r="D967" s="1252"/>
      <c r="E967" s="331" t="s">
        <v>8</v>
      </c>
      <c r="F967" s="332" t="s">
        <v>732</v>
      </c>
      <c r="G967" s="346" t="s">
        <v>733</v>
      </c>
      <c r="H967" s="711">
        <v>32</v>
      </c>
      <c r="I967" s="331" t="s">
        <v>10</v>
      </c>
      <c r="J967" s="1339" t="s">
        <v>734</v>
      </c>
      <c r="K967" s="1339"/>
      <c r="L967" s="1340"/>
      <c r="M967" s="54"/>
      <c r="O967" s="336"/>
      <c r="P967" s="334"/>
      <c r="Q967" s="335"/>
      <c r="R967" s="336"/>
      <c r="U967" s="337"/>
    </row>
    <row r="968" spans="1:21" ht="30" customHeight="1" x14ac:dyDescent="0.25">
      <c r="A968" s="356" t="s">
        <v>735</v>
      </c>
      <c r="B968" s="1222" t="s">
        <v>326</v>
      </c>
      <c r="C968" s="1235"/>
      <c r="D968" s="1223"/>
      <c r="E968" s="577" t="s">
        <v>116</v>
      </c>
      <c r="F968" s="577" t="s">
        <v>117</v>
      </c>
      <c r="G968" s="1194" t="s">
        <v>118</v>
      </c>
      <c r="H968" s="1195"/>
      <c r="I968" s="633" t="s">
        <v>296</v>
      </c>
      <c r="J968" s="633" t="s">
        <v>303</v>
      </c>
      <c r="K968" s="1236" t="s">
        <v>285</v>
      </c>
      <c r="L968" s="1237"/>
      <c r="M968" s="110"/>
      <c r="N968" s="54"/>
      <c r="O968" s="336"/>
      <c r="P968" s="334"/>
      <c r="Q968" s="335"/>
      <c r="R968" s="336"/>
      <c r="U968" s="337"/>
    </row>
    <row r="969" spans="1:21" ht="30" customHeight="1" x14ac:dyDescent="0.25">
      <c r="A969" s="365" t="s">
        <v>684</v>
      </c>
      <c r="B969" s="1209" t="s">
        <v>736</v>
      </c>
      <c r="C969" s="1210"/>
      <c r="D969" s="1211"/>
      <c r="E969" s="256">
        <f>+Q924</f>
        <v>9.6300000000000008</v>
      </c>
      <c r="F969" s="365" t="s">
        <v>205</v>
      </c>
      <c r="G969" s="661">
        <f>7*62</f>
        <v>434</v>
      </c>
      <c r="H969" s="695" t="s">
        <v>737</v>
      </c>
      <c r="I969" s="251">
        <f>+S924</f>
        <v>1.23</v>
      </c>
      <c r="J969" s="251">
        <f>+T924</f>
        <v>1</v>
      </c>
      <c r="K969" s="247">
        <f>+E969*G969*I969*J969</f>
        <v>5140.6866</v>
      </c>
      <c r="L969" s="365" t="s">
        <v>732</v>
      </c>
      <c r="N969" s="54"/>
      <c r="O969" s="336"/>
      <c r="P969" s="334"/>
      <c r="Q969" s="335"/>
      <c r="R969" s="336"/>
      <c r="U969" s="337"/>
    </row>
    <row r="970" spans="1:21" ht="30" customHeight="1" x14ac:dyDescent="0.25">
      <c r="A970" s="365" t="s">
        <v>301</v>
      </c>
      <c r="B970" s="1209" t="s">
        <v>691</v>
      </c>
      <c r="C970" s="1210"/>
      <c r="D970" s="1211"/>
      <c r="E970" s="256">
        <f>+(339+540)/2</f>
        <v>439.5</v>
      </c>
      <c r="F970" s="661" t="s">
        <v>76</v>
      </c>
      <c r="G970" s="661">
        <v>7</v>
      </c>
      <c r="H970" s="695" t="s">
        <v>738</v>
      </c>
      <c r="I970" s="251">
        <f>+S928</f>
        <v>1.1000000000000001</v>
      </c>
      <c r="J970" s="251">
        <f>+T928</f>
        <v>1</v>
      </c>
      <c r="K970" s="247">
        <f>+E970*G970*I970*J970</f>
        <v>3384.15</v>
      </c>
      <c r="L970" s="365" t="s">
        <v>732</v>
      </c>
      <c r="M970" s="54"/>
      <c r="N970" s="54"/>
      <c r="O970" s="336"/>
      <c r="P970" s="334"/>
      <c r="Q970" s="335"/>
      <c r="R970" s="336"/>
      <c r="U970" s="337"/>
    </row>
    <row r="971" spans="1:21" ht="30" customHeight="1" x14ac:dyDescent="0.25">
      <c r="A971" s="365" t="s">
        <v>301</v>
      </c>
      <c r="B971" s="1209" t="s">
        <v>696</v>
      </c>
      <c r="C971" s="1210"/>
      <c r="D971" s="1211"/>
      <c r="E971" s="256">
        <f>Q930</f>
        <v>362.5</v>
      </c>
      <c r="F971" s="661" t="s">
        <v>76</v>
      </c>
      <c r="G971" s="661">
        <v>7</v>
      </c>
      <c r="H971" s="695" t="s">
        <v>738</v>
      </c>
      <c r="I971" s="251">
        <f>+S930</f>
        <v>1.1000000000000001</v>
      </c>
      <c r="J971" s="251">
        <f>+T930</f>
        <v>1</v>
      </c>
      <c r="K971" s="247">
        <f>+E971*G971*I971*J971</f>
        <v>2791.25</v>
      </c>
      <c r="L971" s="365" t="s">
        <v>732</v>
      </c>
      <c r="M971" s="54"/>
      <c r="N971" s="54"/>
      <c r="O971" s="336"/>
      <c r="P971" s="334"/>
      <c r="Q971" s="335"/>
      <c r="R971" s="336"/>
      <c r="U971" s="337"/>
    </row>
    <row r="972" spans="1:21" ht="30" customHeight="1" x14ac:dyDescent="0.25">
      <c r="A972" s="365" t="s">
        <v>698</v>
      </c>
      <c r="B972" s="1209" t="s">
        <v>699</v>
      </c>
      <c r="C972" s="1210"/>
      <c r="D972" s="1211"/>
      <c r="E972" s="256">
        <f>Q932</f>
        <v>145.58000000000001</v>
      </c>
      <c r="F972" s="661" t="s">
        <v>76</v>
      </c>
      <c r="G972" s="661">
        <f>4*7</f>
        <v>28</v>
      </c>
      <c r="H972" s="695" t="s">
        <v>738</v>
      </c>
      <c r="I972" s="251">
        <f>+S932</f>
        <v>1.1000000000000001</v>
      </c>
      <c r="J972" s="251">
        <f>+T932</f>
        <v>1</v>
      </c>
      <c r="K972" s="247">
        <f>+E972*G972*I972*J972</f>
        <v>4483.8640000000005</v>
      </c>
      <c r="L972" s="365" t="s">
        <v>732</v>
      </c>
      <c r="M972" s="54"/>
      <c r="N972" s="54"/>
      <c r="O972" s="336"/>
      <c r="P972" s="334"/>
      <c r="Q972" s="335"/>
      <c r="R972" s="336"/>
      <c r="U972" s="337"/>
    </row>
    <row r="973" spans="1:21" ht="30" customHeight="1" x14ac:dyDescent="0.25">
      <c r="A973" s="365" t="s">
        <v>702</v>
      </c>
      <c r="B973" s="1209" t="s">
        <v>739</v>
      </c>
      <c r="C973" s="1210"/>
      <c r="D973" s="1211"/>
      <c r="E973" s="256">
        <f>Q933</f>
        <v>19.62</v>
      </c>
      <c r="F973" s="661" t="s">
        <v>40</v>
      </c>
      <c r="G973" s="753">
        <v>2653</v>
      </c>
      <c r="H973" s="695" t="s">
        <v>740</v>
      </c>
      <c r="I973" s="251">
        <f>+S933</f>
        <v>1.1000000000000001</v>
      </c>
      <c r="J973" s="251">
        <f>+T933</f>
        <v>1</v>
      </c>
      <c r="K973" s="247">
        <f>+E973*G973*I973*J973</f>
        <v>57257.046000000002</v>
      </c>
      <c r="L973" s="365" t="s">
        <v>732</v>
      </c>
      <c r="M973" s="54"/>
      <c r="N973" s="54"/>
      <c r="O973" s="336"/>
      <c r="P973" s="334"/>
      <c r="Q973" s="335"/>
      <c r="R973" s="336"/>
      <c r="U973" s="337"/>
    </row>
    <row r="974" spans="1:21" ht="30" customHeight="1" x14ac:dyDescent="0.25">
      <c r="A974" s="365" t="s">
        <v>339</v>
      </c>
      <c r="B974" s="1209" t="s">
        <v>741</v>
      </c>
      <c r="C974" s="1210"/>
      <c r="D974" s="1211"/>
      <c r="E974" s="256">
        <f>+Q937</f>
        <v>458.24</v>
      </c>
      <c r="F974" s="661" t="s">
        <v>76</v>
      </c>
      <c r="G974" s="661"/>
      <c r="H974" s="695"/>
      <c r="I974" s="251">
        <f>S937</f>
        <v>1.21</v>
      </c>
      <c r="J974" s="251">
        <f>+T937</f>
        <v>1</v>
      </c>
      <c r="K974" s="247">
        <f>+E974*J974*I974</f>
        <v>554.47040000000004</v>
      </c>
      <c r="L974" s="365" t="s">
        <v>732</v>
      </c>
      <c r="M974" s="54"/>
      <c r="N974" s="54"/>
      <c r="O974" s="336"/>
      <c r="P974" s="334"/>
      <c r="Q974" s="335"/>
      <c r="R974" s="336"/>
      <c r="U974" s="337"/>
    </row>
    <row r="975" spans="1:21" ht="30" customHeight="1" x14ac:dyDescent="0.25">
      <c r="A975" s="365">
        <v>93410</v>
      </c>
      <c r="B975" s="1209" t="s">
        <v>742</v>
      </c>
      <c r="C975" s="1210"/>
      <c r="D975" s="1211"/>
      <c r="E975" s="256">
        <f>+Q942</f>
        <v>8.6999999999999993</v>
      </c>
      <c r="F975" s="661" t="s">
        <v>25</v>
      </c>
      <c r="G975" s="696">
        <v>213.375</v>
      </c>
      <c r="H975" s="695" t="s">
        <v>743</v>
      </c>
      <c r="I975" s="286">
        <f>+'2022 MILCON Inflation Table'!F21</f>
        <v>0.94047825952836139</v>
      </c>
      <c r="J975" s="251"/>
      <c r="K975" s="247">
        <f>+E975*G975*I975</f>
        <v>1745.8685730537177</v>
      </c>
      <c r="L975" s="365" t="s">
        <v>732</v>
      </c>
      <c r="M975" s="54"/>
      <c r="N975" s="54"/>
      <c r="O975" s="336"/>
      <c r="P975" s="334"/>
      <c r="Q975" s="335"/>
      <c r="R975" s="336"/>
      <c r="U975" s="337"/>
    </row>
    <row r="976" spans="1:21" ht="30" customHeight="1" x14ac:dyDescent="0.25">
      <c r="A976" s="365">
        <v>93210</v>
      </c>
      <c r="B976" s="1209" t="s">
        <v>744</v>
      </c>
      <c r="C976" s="1210"/>
      <c r="D976" s="1211"/>
      <c r="E976" s="256">
        <f>Q944</f>
        <v>48.6</v>
      </c>
      <c r="F976" s="661" t="s">
        <v>25</v>
      </c>
      <c r="G976" s="696">
        <v>12.78125</v>
      </c>
      <c r="H976" s="695" t="s">
        <v>743</v>
      </c>
      <c r="I976" s="286">
        <f>+I975</f>
        <v>0.94047825952836139</v>
      </c>
      <c r="J976" s="251"/>
      <c r="K976" s="247">
        <f>+E976*G976*I976</f>
        <v>584.19570487340786</v>
      </c>
      <c r="L976" s="365" t="s">
        <v>732</v>
      </c>
      <c r="M976" s="54"/>
      <c r="N976" s="54"/>
      <c r="O976" s="336"/>
      <c r="P976" s="334"/>
      <c r="Q976" s="335"/>
      <c r="R976" s="336"/>
      <c r="U976" s="337"/>
    </row>
    <row r="977" spans="1:21" ht="30" customHeight="1" x14ac:dyDescent="0.25">
      <c r="A977" s="365"/>
      <c r="B977" s="1281"/>
      <c r="C977" s="1281"/>
      <c r="D977" s="1281"/>
      <c r="E977" s="259"/>
      <c r="F977" s="365"/>
      <c r="G977" s="398"/>
      <c r="H977" s="662"/>
      <c r="I977" s="365"/>
      <c r="J977" s="365" t="s">
        <v>408</v>
      </c>
      <c r="K977" s="247">
        <f>SUM(K969:K976)</f>
        <v>75941.531277927119</v>
      </c>
      <c r="L977" s="365" t="s">
        <v>732</v>
      </c>
      <c r="M977" s="54"/>
      <c r="N977" s="54"/>
      <c r="O977" s="336"/>
      <c r="P977" s="334"/>
      <c r="Q977" s="335"/>
      <c r="R977" s="336"/>
      <c r="U977" s="337"/>
    </row>
    <row r="978" spans="1:21" ht="30" customHeight="1" x14ac:dyDescent="0.25">
      <c r="A978" s="1172" t="s">
        <v>745</v>
      </c>
      <c r="B978" s="1173"/>
      <c r="C978" s="1173"/>
      <c r="D978" s="1174"/>
      <c r="E978" s="366"/>
      <c r="F978" s="366"/>
      <c r="G978" s="366"/>
      <c r="H978" s="366"/>
      <c r="I978" s="366"/>
      <c r="J978" s="365" t="s">
        <v>72</v>
      </c>
      <c r="K978" s="246">
        <f>+K977</f>
        <v>75941.531277927119</v>
      </c>
      <c r="L978" s="365" t="s">
        <v>732</v>
      </c>
      <c r="M978" s="54"/>
      <c r="N978" s="54"/>
      <c r="O978" s="336"/>
      <c r="P978" s="334"/>
      <c r="Q978" s="335"/>
      <c r="R978" s="336"/>
      <c r="U978" s="337"/>
    </row>
    <row r="979" spans="1:21" ht="30" customHeight="1" thickBot="1" x14ac:dyDescent="0.3">
      <c r="A979" s="1336"/>
      <c r="B979" s="1337"/>
      <c r="C979" s="1337"/>
      <c r="D979" s="1338"/>
      <c r="E979" s="366"/>
      <c r="F979" s="366"/>
      <c r="G979" s="580" t="s">
        <v>306</v>
      </c>
      <c r="H979" s="366"/>
      <c r="I979" s="366"/>
      <c r="J979" s="521">
        <f>VLOOKUP(B967,'Mil Cost Premiums for PUCs'!$A$4:$R$277,18,FALSE)</f>
        <v>1.0485669999999998</v>
      </c>
      <c r="K979" s="246">
        <f>+K978*J979</f>
        <v>79629.783627502184</v>
      </c>
      <c r="L979" s="365" t="s">
        <v>732</v>
      </c>
      <c r="M979" s="54"/>
      <c r="N979" s="54"/>
      <c r="O979" s="336"/>
      <c r="P979" s="334"/>
      <c r="Q979" s="335"/>
      <c r="R979" s="336"/>
      <c r="U979" s="337"/>
    </row>
    <row r="980" spans="1:21" ht="30" customHeight="1" thickBot="1" x14ac:dyDescent="0.3">
      <c r="A980" s="1180"/>
      <c r="B980" s="1181"/>
      <c r="C980" s="1181"/>
      <c r="D980" s="1181"/>
      <c r="E980" s="1181"/>
      <c r="F980" s="1181"/>
      <c r="G980" s="1181"/>
      <c r="H980" s="1181"/>
      <c r="I980" s="1181"/>
      <c r="J980" s="1181"/>
      <c r="K980" s="1181"/>
      <c r="L980" s="1182"/>
      <c r="M980" s="54"/>
      <c r="O980" s="336"/>
      <c r="P980" s="334"/>
      <c r="Q980" s="335"/>
      <c r="R980" s="336"/>
      <c r="U980" s="337"/>
    </row>
    <row r="981" spans="1:21" ht="60" customHeight="1" x14ac:dyDescent="0.25">
      <c r="A981" s="327" t="s">
        <v>5</v>
      </c>
      <c r="B981" s="328">
        <v>1751</v>
      </c>
      <c r="C981" s="1251" t="s">
        <v>746</v>
      </c>
      <c r="D981" s="1252"/>
      <c r="E981" s="331" t="s">
        <v>8</v>
      </c>
      <c r="F981" s="332" t="s">
        <v>732</v>
      </c>
      <c r="G981" s="346" t="s">
        <v>747</v>
      </c>
      <c r="H981" s="711">
        <v>32</v>
      </c>
      <c r="I981" s="331" t="s">
        <v>10</v>
      </c>
      <c r="J981" s="1339" t="s">
        <v>734</v>
      </c>
      <c r="K981" s="1339"/>
      <c r="L981" s="1340"/>
      <c r="M981" s="54"/>
      <c r="N981" s="54"/>
      <c r="O981" s="336"/>
      <c r="P981" s="334"/>
      <c r="Q981" s="335"/>
      <c r="R981" s="336"/>
      <c r="U981" s="337"/>
    </row>
    <row r="982" spans="1:21" ht="30" customHeight="1" x14ac:dyDescent="0.25">
      <c r="A982" s="356" t="s">
        <v>735</v>
      </c>
      <c r="B982" s="1222" t="s">
        <v>326</v>
      </c>
      <c r="C982" s="1235"/>
      <c r="D982" s="1223"/>
      <c r="E982" s="577" t="s">
        <v>116</v>
      </c>
      <c r="F982" s="577" t="s">
        <v>117</v>
      </c>
      <c r="G982" s="1194" t="s">
        <v>118</v>
      </c>
      <c r="H982" s="1195"/>
      <c r="I982" s="633" t="s">
        <v>296</v>
      </c>
      <c r="J982" s="633" t="s">
        <v>303</v>
      </c>
      <c r="K982" s="1236" t="s">
        <v>285</v>
      </c>
      <c r="L982" s="1237"/>
      <c r="N982" s="54"/>
      <c r="O982" s="336"/>
      <c r="P982" s="334"/>
      <c r="Q982" s="335"/>
      <c r="R982" s="336"/>
      <c r="U982" s="337"/>
    </row>
    <row r="983" spans="1:21" ht="30" customHeight="1" x14ac:dyDescent="0.25">
      <c r="A983" s="365" t="s">
        <v>339</v>
      </c>
      <c r="B983" s="1281" t="s">
        <v>709</v>
      </c>
      <c r="C983" s="1281"/>
      <c r="D983" s="1281"/>
      <c r="E983" s="256">
        <f>+Q937</f>
        <v>458.24</v>
      </c>
      <c r="F983" s="661" t="s">
        <v>76</v>
      </c>
      <c r="G983" s="661"/>
      <c r="H983" s="695"/>
      <c r="I983" s="251">
        <f>+S923</f>
        <v>1.21</v>
      </c>
      <c r="J983" s="251">
        <f>+T923</f>
        <v>1</v>
      </c>
      <c r="K983" s="247">
        <f>+E983*J983*I983</f>
        <v>554.47040000000004</v>
      </c>
      <c r="L983" s="365" t="s">
        <v>732</v>
      </c>
      <c r="M983" s="54"/>
      <c r="N983" s="54"/>
      <c r="O983" s="336"/>
      <c r="P983" s="334"/>
      <c r="Q983" s="335"/>
      <c r="R983" s="336"/>
      <c r="U983" s="337"/>
    </row>
    <row r="984" spans="1:21" ht="30" customHeight="1" x14ac:dyDescent="0.25">
      <c r="A984" s="365" t="s">
        <v>533</v>
      </c>
      <c r="B984" s="1281" t="s">
        <v>710</v>
      </c>
      <c r="C984" s="1281"/>
      <c r="D984" s="1281"/>
      <c r="E984" s="255">
        <f>+Q938</f>
        <v>21.5</v>
      </c>
      <c r="F984" s="661" t="s">
        <v>76</v>
      </c>
      <c r="G984" s="661">
        <v>4</v>
      </c>
      <c r="H984" s="695" t="s">
        <v>748</v>
      </c>
      <c r="I984" s="251">
        <f>+S938</f>
        <v>1.1200000000000001</v>
      </c>
      <c r="J984" s="251">
        <f>+T938</f>
        <v>1</v>
      </c>
      <c r="K984" s="247">
        <f>+E984*G984*I984*J984</f>
        <v>96.320000000000007</v>
      </c>
      <c r="L984" s="365" t="s">
        <v>732</v>
      </c>
      <c r="M984" s="54"/>
      <c r="N984" s="54"/>
      <c r="O984" s="336"/>
      <c r="P984" s="334"/>
      <c r="Q984" s="335"/>
      <c r="R984" s="336"/>
      <c r="U984" s="337"/>
    </row>
    <row r="985" spans="1:21" ht="30" customHeight="1" x14ac:dyDescent="0.25">
      <c r="A985" s="365" t="s">
        <v>702</v>
      </c>
      <c r="B985" s="1281" t="s">
        <v>703</v>
      </c>
      <c r="C985" s="1281"/>
      <c r="D985" s="1281"/>
      <c r="E985" s="256">
        <f>+Q933</f>
        <v>19.62</v>
      </c>
      <c r="F985" s="661" t="s">
        <v>40</v>
      </c>
      <c r="G985" s="661">
        <v>224</v>
      </c>
      <c r="H985" s="695" t="s">
        <v>740</v>
      </c>
      <c r="I985" s="251">
        <f>+S933</f>
        <v>1.1000000000000001</v>
      </c>
      <c r="J985" s="251">
        <f>+T933</f>
        <v>1</v>
      </c>
      <c r="K985" s="247">
        <f>+E985*G985*I985*J985</f>
        <v>4834.3680000000004</v>
      </c>
      <c r="L985" s="365" t="s">
        <v>732</v>
      </c>
      <c r="M985" s="54"/>
      <c r="N985" s="54"/>
      <c r="O985" s="336"/>
      <c r="P985" s="334"/>
      <c r="Q985" s="335"/>
      <c r="R985" s="336"/>
      <c r="U985" s="337"/>
    </row>
    <row r="986" spans="1:21" ht="30" customHeight="1" x14ac:dyDescent="0.25">
      <c r="A986" s="365">
        <v>93410</v>
      </c>
      <c r="B986" s="1281" t="s">
        <v>749</v>
      </c>
      <c r="C986" s="1281"/>
      <c r="D986" s="1281"/>
      <c r="E986" s="256">
        <f>+Q942</f>
        <v>8.6999999999999993</v>
      </c>
      <c r="F986" s="661" t="s">
        <v>25</v>
      </c>
      <c r="G986" s="696">
        <v>60.5</v>
      </c>
      <c r="H986" s="695" t="s">
        <v>743</v>
      </c>
      <c r="I986" s="286">
        <v>0.9405</v>
      </c>
      <c r="J986" s="365"/>
      <c r="K986" s="247">
        <f>+E986*G986*I986</f>
        <v>495.03217499999994</v>
      </c>
      <c r="L986" s="365" t="s">
        <v>732</v>
      </c>
      <c r="M986" s="54"/>
      <c r="N986" s="54"/>
      <c r="O986" s="336"/>
      <c r="P986" s="334"/>
      <c r="Q986" s="335"/>
      <c r="R986" s="336"/>
      <c r="U986" s="337"/>
    </row>
    <row r="987" spans="1:21" ht="30" customHeight="1" x14ac:dyDescent="0.25">
      <c r="A987" s="365">
        <v>93210</v>
      </c>
      <c r="B987" s="1281" t="s">
        <v>750</v>
      </c>
      <c r="C987" s="1281"/>
      <c r="D987" s="1281"/>
      <c r="E987" s="256">
        <f>Q944</f>
        <v>48.6</v>
      </c>
      <c r="F987" s="661" t="s">
        <v>25</v>
      </c>
      <c r="G987" s="696">
        <v>12.09375</v>
      </c>
      <c r="H987" s="695" t="s">
        <v>743</v>
      </c>
      <c r="I987" s="286">
        <v>0.9405</v>
      </c>
      <c r="J987" s="365"/>
      <c r="K987" s="247">
        <f>+E987*G987*I987</f>
        <v>552.78475312500007</v>
      </c>
      <c r="L987" s="365" t="s">
        <v>732</v>
      </c>
      <c r="M987" s="54"/>
      <c r="N987" s="54"/>
      <c r="O987" s="336"/>
      <c r="P987" s="334"/>
      <c r="Q987" s="335"/>
      <c r="R987" s="336"/>
      <c r="U987" s="337"/>
    </row>
    <row r="988" spans="1:21" ht="30" customHeight="1" x14ac:dyDescent="0.25">
      <c r="A988" s="1172" t="s">
        <v>745</v>
      </c>
      <c r="B988" s="1173"/>
      <c r="C988" s="1173"/>
      <c r="D988" s="1174"/>
      <c r="E988" s="247"/>
      <c r="F988" s="365"/>
      <c r="G988" s="366"/>
      <c r="H988" s="662"/>
      <c r="I988" s="758"/>
      <c r="J988" s="365" t="s">
        <v>408</v>
      </c>
      <c r="K988" s="247">
        <f>SUM(K983:K987)</f>
        <v>6532.9753281250005</v>
      </c>
      <c r="L988" s="365" t="s">
        <v>732</v>
      </c>
      <c r="M988" s="54"/>
      <c r="N988" s="54"/>
      <c r="O988" s="336"/>
      <c r="P988" s="334"/>
      <c r="Q988" s="335"/>
      <c r="R988" s="336"/>
      <c r="U988" s="337"/>
    </row>
    <row r="989" spans="1:21" ht="30" customHeight="1" thickBot="1" x14ac:dyDescent="0.3">
      <c r="A989" s="1336"/>
      <c r="B989" s="1337"/>
      <c r="C989" s="1337"/>
      <c r="D989" s="1338"/>
      <c r="E989" s="366"/>
      <c r="F989" s="366"/>
      <c r="G989" s="580" t="s">
        <v>306</v>
      </c>
      <c r="H989" s="366"/>
      <c r="I989" s="366"/>
      <c r="J989" s="521">
        <f>VLOOKUP(B981,'Mil Cost Premiums for PUCs'!$A$4:$R$277,18,FALSE)</f>
        <v>1.0485669999999998</v>
      </c>
      <c r="K989" s="246">
        <f>+K988*J989</f>
        <v>6850.2623408860463</v>
      </c>
      <c r="L989" s="365" t="s">
        <v>732</v>
      </c>
      <c r="M989" s="54"/>
      <c r="N989" s="54"/>
      <c r="O989" s="336"/>
      <c r="P989" s="334"/>
      <c r="Q989" s="335"/>
      <c r="R989" s="336"/>
      <c r="U989" s="337"/>
    </row>
    <row r="990" spans="1:21" ht="30" customHeight="1" thickBot="1" x14ac:dyDescent="0.3">
      <c r="A990" s="1180"/>
      <c r="B990" s="1181"/>
      <c r="C990" s="1181"/>
      <c r="D990" s="1181"/>
      <c r="E990" s="1181"/>
      <c r="F990" s="1181"/>
      <c r="G990" s="1181"/>
      <c r="H990" s="1181"/>
      <c r="I990" s="1181"/>
      <c r="J990" s="1181"/>
      <c r="K990" s="1181"/>
      <c r="L990" s="1182"/>
      <c r="M990" s="54"/>
      <c r="N990" s="54"/>
      <c r="O990" s="336"/>
      <c r="P990" s="334"/>
      <c r="Q990" s="335"/>
      <c r="R990" s="336"/>
      <c r="U990" s="337"/>
    </row>
    <row r="991" spans="1:21" ht="60" customHeight="1" x14ac:dyDescent="0.25">
      <c r="A991" s="327" t="s">
        <v>5</v>
      </c>
      <c r="B991" s="328">
        <v>1752</v>
      </c>
      <c r="C991" s="1251" t="s">
        <v>751</v>
      </c>
      <c r="D991" s="1252"/>
      <c r="E991" s="331" t="s">
        <v>8</v>
      </c>
      <c r="F991" s="332" t="s">
        <v>732</v>
      </c>
      <c r="G991" s="346" t="s">
        <v>752</v>
      </c>
      <c r="H991" s="711">
        <v>32</v>
      </c>
      <c r="I991" s="331" t="s">
        <v>10</v>
      </c>
      <c r="J991" s="1339" t="s">
        <v>753</v>
      </c>
      <c r="K991" s="1339"/>
      <c r="L991" s="1340"/>
      <c r="M991" s="54"/>
      <c r="N991" s="54"/>
      <c r="O991" s="336"/>
      <c r="P991" s="334"/>
      <c r="Q991" s="335"/>
      <c r="R991" s="336"/>
      <c r="U991" s="337"/>
    </row>
    <row r="992" spans="1:21" ht="30" customHeight="1" x14ac:dyDescent="0.25">
      <c r="A992" s="356" t="s">
        <v>735</v>
      </c>
      <c r="B992" s="1222" t="s">
        <v>326</v>
      </c>
      <c r="C992" s="1235"/>
      <c r="D992" s="1223"/>
      <c r="E992" s="577" t="s">
        <v>116</v>
      </c>
      <c r="F992" s="577" t="s">
        <v>117</v>
      </c>
      <c r="G992" s="1194" t="s">
        <v>118</v>
      </c>
      <c r="H992" s="1195"/>
      <c r="I992" s="356" t="s">
        <v>296</v>
      </c>
      <c r="J992" s="633" t="s">
        <v>303</v>
      </c>
      <c r="K992" s="1236" t="s">
        <v>285</v>
      </c>
      <c r="L992" s="1237"/>
      <c r="M992" s="54"/>
      <c r="O992" s="336"/>
      <c r="P992" s="334"/>
      <c r="Q992" s="335"/>
      <c r="R992" s="336"/>
      <c r="U992" s="337"/>
    </row>
    <row r="993" spans="1:21" ht="30" customHeight="1" x14ac:dyDescent="0.25">
      <c r="A993" s="365" t="s">
        <v>684</v>
      </c>
      <c r="B993" s="1209" t="s">
        <v>754</v>
      </c>
      <c r="C993" s="1210"/>
      <c r="D993" s="1211"/>
      <c r="E993" s="256">
        <f>+Q924</f>
        <v>9.6300000000000008</v>
      </c>
      <c r="F993" s="365" t="s">
        <v>205</v>
      </c>
      <c r="G993" s="661">
        <f>3*62</f>
        <v>186</v>
      </c>
      <c r="H993" s="695" t="s">
        <v>737</v>
      </c>
      <c r="I993" s="706">
        <f>+S924</f>
        <v>1.23</v>
      </c>
      <c r="J993" s="706">
        <f>+T924</f>
        <v>1</v>
      </c>
      <c r="K993" s="247">
        <f>+E993*G993*I993*J993</f>
        <v>2203.1514000000002</v>
      </c>
      <c r="L993" s="365" t="s">
        <v>732</v>
      </c>
      <c r="M993" s="54"/>
      <c r="N993" s="54"/>
      <c r="O993" s="336"/>
      <c r="P993" s="334"/>
      <c r="Q993" s="335"/>
      <c r="R993" s="336"/>
      <c r="U993" s="337"/>
    </row>
    <row r="994" spans="1:21" ht="30" customHeight="1" x14ac:dyDescent="0.25">
      <c r="A994" s="365" t="s">
        <v>301</v>
      </c>
      <c r="B994" s="1209" t="s">
        <v>691</v>
      </c>
      <c r="C994" s="1210"/>
      <c r="D994" s="1211"/>
      <c r="E994" s="256">
        <f>+Q928</f>
        <v>504.5</v>
      </c>
      <c r="F994" s="661" t="s">
        <v>76</v>
      </c>
      <c r="G994" s="661">
        <v>3</v>
      </c>
      <c r="H994" s="695" t="s">
        <v>738</v>
      </c>
      <c r="I994" s="706">
        <f>+S928</f>
        <v>1.1000000000000001</v>
      </c>
      <c r="J994" s="706">
        <f>+T928</f>
        <v>1</v>
      </c>
      <c r="K994" s="247">
        <f>+E994*G994*I994*J994</f>
        <v>1664.8500000000001</v>
      </c>
      <c r="L994" s="365" t="s">
        <v>732</v>
      </c>
      <c r="M994" s="110"/>
      <c r="N994" s="54"/>
      <c r="O994" s="336"/>
      <c r="P994" s="334"/>
      <c r="Q994" s="335"/>
      <c r="R994" s="336"/>
      <c r="U994" s="337"/>
    </row>
    <row r="995" spans="1:21" ht="30" customHeight="1" x14ac:dyDescent="0.25">
      <c r="A995" s="365" t="s">
        <v>301</v>
      </c>
      <c r="B995" s="1209" t="s">
        <v>696</v>
      </c>
      <c r="C995" s="1210"/>
      <c r="D995" s="1211"/>
      <c r="E995" s="256">
        <f>+Q930</f>
        <v>362.5</v>
      </c>
      <c r="F995" s="661" t="s">
        <v>76</v>
      </c>
      <c r="G995" s="661">
        <v>3</v>
      </c>
      <c r="H995" s="695" t="s">
        <v>738</v>
      </c>
      <c r="I995" s="706">
        <f>+S930</f>
        <v>1.1000000000000001</v>
      </c>
      <c r="J995" s="706">
        <f>+T930</f>
        <v>1</v>
      </c>
      <c r="K995" s="247">
        <f>+E995*G995*I995*J995</f>
        <v>1196.25</v>
      </c>
      <c r="L995" s="365" t="s">
        <v>732</v>
      </c>
      <c r="N995" s="54"/>
      <c r="O995" s="336"/>
      <c r="P995" s="334"/>
      <c r="Q995" s="335"/>
      <c r="R995" s="336"/>
      <c r="U995" s="337"/>
    </row>
    <row r="996" spans="1:21" ht="30" customHeight="1" x14ac:dyDescent="0.25">
      <c r="A996" s="365" t="s">
        <v>698</v>
      </c>
      <c r="B996" s="1209" t="s">
        <v>699</v>
      </c>
      <c r="C996" s="1210"/>
      <c r="D996" s="1211"/>
      <c r="E996" s="256">
        <f>+Q932</f>
        <v>145.58000000000001</v>
      </c>
      <c r="F996" s="661" t="s">
        <v>76</v>
      </c>
      <c r="G996" s="661">
        <v>12</v>
      </c>
      <c r="H996" s="695" t="s">
        <v>738</v>
      </c>
      <c r="I996" s="706">
        <f>+S932</f>
        <v>1.1000000000000001</v>
      </c>
      <c r="J996" s="706">
        <f>+T932</f>
        <v>1</v>
      </c>
      <c r="K996" s="247">
        <f>+E996*G996*I996*J996</f>
        <v>1921.6560000000002</v>
      </c>
      <c r="L996" s="365" t="s">
        <v>732</v>
      </c>
      <c r="M996" s="54"/>
      <c r="N996" s="54"/>
      <c r="O996" s="336"/>
      <c r="P996" s="334"/>
      <c r="Q996" s="335"/>
      <c r="R996" s="336"/>
      <c r="U996" s="337"/>
    </row>
    <row r="997" spans="1:21" ht="30" customHeight="1" x14ac:dyDescent="0.25">
      <c r="A997" s="365" t="s">
        <v>702</v>
      </c>
      <c r="B997" s="1209" t="s">
        <v>739</v>
      </c>
      <c r="C997" s="1210"/>
      <c r="D997" s="1211"/>
      <c r="E997" s="256">
        <f>+Q933</f>
        <v>19.62</v>
      </c>
      <c r="F997" s="661" t="s">
        <v>40</v>
      </c>
      <c r="G997" s="753">
        <v>2653</v>
      </c>
      <c r="H997" s="695" t="s">
        <v>740</v>
      </c>
      <c r="I997" s="706">
        <f>+S933</f>
        <v>1.1000000000000001</v>
      </c>
      <c r="J997" s="706">
        <f>+T933</f>
        <v>1</v>
      </c>
      <c r="K997" s="247">
        <f>+E997*G997*I997*J997</f>
        <v>57257.046000000002</v>
      </c>
      <c r="L997" s="365" t="s">
        <v>732</v>
      </c>
      <c r="M997" s="54"/>
      <c r="N997" s="54"/>
      <c r="O997" s="336"/>
      <c r="P997" s="334"/>
      <c r="Q997" s="335"/>
      <c r="R997" s="336"/>
      <c r="U997" s="337"/>
    </row>
    <row r="998" spans="1:21" ht="30" customHeight="1" x14ac:dyDescent="0.25">
      <c r="A998" s="365" t="s">
        <v>339</v>
      </c>
      <c r="B998" s="1209" t="s">
        <v>709</v>
      </c>
      <c r="C998" s="1210"/>
      <c r="D998" s="1211"/>
      <c r="E998" s="256">
        <f>+Q937</f>
        <v>458.24</v>
      </c>
      <c r="F998" s="661" t="s">
        <v>76</v>
      </c>
      <c r="G998" s="661"/>
      <c r="H998" s="695"/>
      <c r="I998" s="706">
        <f>+S923</f>
        <v>1.21</v>
      </c>
      <c r="J998" s="706">
        <f>+T923</f>
        <v>1</v>
      </c>
      <c r="K998" s="247">
        <f>+E998*J998*I998</f>
        <v>554.47040000000004</v>
      </c>
      <c r="L998" s="365" t="s">
        <v>732</v>
      </c>
      <c r="M998" s="54"/>
      <c r="N998" s="54"/>
      <c r="O998" s="336"/>
      <c r="P998" s="334"/>
      <c r="Q998" s="335"/>
      <c r="R998" s="336"/>
      <c r="U998" s="337"/>
    </row>
    <row r="999" spans="1:21" ht="30" customHeight="1" x14ac:dyDescent="0.25">
      <c r="A999" s="365">
        <v>93410</v>
      </c>
      <c r="B999" s="1209" t="s">
        <v>755</v>
      </c>
      <c r="C999" s="1210"/>
      <c r="D999" s="1211"/>
      <c r="E999" s="256">
        <f>+Q942</f>
        <v>8.6999999999999993</v>
      </c>
      <c r="F999" s="661" t="s">
        <v>25</v>
      </c>
      <c r="G999" s="696">
        <v>277.9375</v>
      </c>
      <c r="H999" s="695" t="s">
        <v>743</v>
      </c>
      <c r="I999" s="286">
        <v>0.9405</v>
      </c>
      <c r="J999" s="365"/>
      <c r="K999" s="247">
        <f>+E999*G999*I999</f>
        <v>2274.1819031249997</v>
      </c>
      <c r="L999" s="365" t="s">
        <v>732</v>
      </c>
      <c r="M999" s="54"/>
      <c r="N999" s="54"/>
      <c r="O999" s="336"/>
      <c r="P999" s="334"/>
      <c r="Q999" s="335"/>
      <c r="R999" s="336"/>
      <c r="U999" s="337"/>
    </row>
    <row r="1000" spans="1:21" ht="30" customHeight="1" x14ac:dyDescent="0.25">
      <c r="A1000" s="365">
        <v>93210</v>
      </c>
      <c r="B1000" s="1209" t="s">
        <v>756</v>
      </c>
      <c r="C1000" s="1210"/>
      <c r="D1000" s="1211"/>
      <c r="E1000" s="256">
        <f>+Q944</f>
        <v>48.6</v>
      </c>
      <c r="F1000" s="661" t="s">
        <v>25</v>
      </c>
      <c r="G1000" s="696">
        <v>32.625</v>
      </c>
      <c r="H1000" s="695" t="s">
        <v>743</v>
      </c>
      <c r="I1000" s="286">
        <v>0.9405</v>
      </c>
      <c r="J1000" s="365"/>
      <c r="K1000" s="247">
        <f>+E1000*G1000*I1000</f>
        <v>1491.2332875</v>
      </c>
      <c r="L1000" s="365" t="s">
        <v>732</v>
      </c>
      <c r="M1000" s="54"/>
      <c r="N1000" s="54"/>
      <c r="O1000" s="336"/>
      <c r="P1000" s="334"/>
      <c r="Q1000" s="335"/>
      <c r="R1000" s="336"/>
      <c r="U1000" s="337"/>
    </row>
    <row r="1001" spans="1:21" ht="30" customHeight="1" x14ac:dyDescent="0.25">
      <c r="A1001" s="1172" t="s">
        <v>745</v>
      </c>
      <c r="B1001" s="1173"/>
      <c r="C1001" s="1173"/>
      <c r="D1001" s="1174"/>
      <c r="E1001" s="247"/>
      <c r="F1001" s="365"/>
      <c r="G1001" s="366"/>
      <c r="H1001" s="662"/>
      <c r="I1001" s="365"/>
      <c r="J1001" s="365" t="s">
        <v>408</v>
      </c>
      <c r="K1001" s="247">
        <f>SUM(K993:K1000)</f>
        <v>68562.838990624994</v>
      </c>
      <c r="L1001" s="365" t="s">
        <v>732</v>
      </c>
      <c r="M1001" s="54"/>
      <c r="O1001" s="336"/>
      <c r="P1001" s="334"/>
      <c r="Q1001" s="335"/>
      <c r="R1001" s="336"/>
      <c r="U1001" s="337"/>
    </row>
    <row r="1002" spans="1:21" ht="30" customHeight="1" thickBot="1" x14ac:dyDescent="0.3">
      <c r="A1002" s="1336"/>
      <c r="B1002" s="1337"/>
      <c r="C1002" s="1337"/>
      <c r="D1002" s="1338"/>
      <c r="E1002" s="366"/>
      <c r="F1002" s="366"/>
      <c r="G1002" s="580" t="s">
        <v>306</v>
      </c>
      <c r="H1002" s="366"/>
      <c r="I1002" s="366"/>
      <c r="J1002" s="521">
        <f>VLOOKUP(B991,'Mil Cost Premiums for PUCs'!$A$4:$R$277,18,FALSE)</f>
        <v>1.0485669999999998</v>
      </c>
      <c r="K1002" s="246">
        <f>+K1001*J1002</f>
        <v>71892.730391882666</v>
      </c>
      <c r="L1002" s="365" t="s">
        <v>732</v>
      </c>
      <c r="M1002" s="54"/>
      <c r="N1002" s="54"/>
      <c r="O1002" s="336"/>
      <c r="P1002" s="334"/>
      <c r="Q1002" s="335"/>
      <c r="R1002" s="336"/>
      <c r="U1002" s="337"/>
    </row>
    <row r="1003" spans="1:21" ht="30" customHeight="1" thickBot="1" x14ac:dyDescent="0.3">
      <c r="A1003" s="1180"/>
      <c r="B1003" s="1181"/>
      <c r="C1003" s="1181"/>
      <c r="D1003" s="1181"/>
      <c r="E1003" s="1181"/>
      <c r="F1003" s="1181"/>
      <c r="G1003" s="1181"/>
      <c r="H1003" s="1181"/>
      <c r="I1003" s="1181"/>
      <c r="J1003" s="1181"/>
      <c r="K1003" s="1181"/>
      <c r="L1003" s="1182"/>
      <c r="M1003" s="54"/>
      <c r="N1003" s="54"/>
      <c r="O1003" s="336"/>
      <c r="P1003" s="334"/>
      <c r="Q1003" s="335"/>
      <c r="R1003" s="336"/>
      <c r="U1003" s="337"/>
    </row>
    <row r="1004" spans="1:21" ht="60" customHeight="1" x14ac:dyDescent="0.25">
      <c r="A1004" s="327" t="s">
        <v>5</v>
      </c>
      <c r="B1004" s="328">
        <v>1753</v>
      </c>
      <c r="C1004" s="1251" t="s">
        <v>757</v>
      </c>
      <c r="D1004" s="1252"/>
      <c r="E1004" s="331" t="s">
        <v>8</v>
      </c>
      <c r="F1004" s="332" t="s">
        <v>732</v>
      </c>
      <c r="G1004" s="346" t="s">
        <v>758</v>
      </c>
      <c r="H1004" s="711">
        <v>16</v>
      </c>
      <c r="I1004" s="331" t="s">
        <v>10</v>
      </c>
      <c r="J1004" s="1339" t="s">
        <v>734</v>
      </c>
      <c r="K1004" s="1339"/>
      <c r="L1004" s="1340"/>
      <c r="M1004" s="54"/>
      <c r="N1004" s="54"/>
      <c r="O1004" s="336"/>
      <c r="P1004" s="334"/>
      <c r="Q1004" s="335"/>
      <c r="R1004" s="336"/>
      <c r="U1004" s="337"/>
    </row>
    <row r="1005" spans="1:21" ht="30" customHeight="1" x14ac:dyDescent="0.25">
      <c r="A1005" s="356" t="s">
        <v>735</v>
      </c>
      <c r="B1005" s="1222" t="s">
        <v>326</v>
      </c>
      <c r="C1005" s="1235"/>
      <c r="D1005" s="1223"/>
      <c r="E1005" s="577" t="s">
        <v>116</v>
      </c>
      <c r="F1005" s="577" t="s">
        <v>117</v>
      </c>
      <c r="G1005" s="1194" t="s">
        <v>118</v>
      </c>
      <c r="H1005" s="1195"/>
      <c r="I1005" s="356" t="s">
        <v>296</v>
      </c>
      <c r="J1005" s="633" t="s">
        <v>303</v>
      </c>
      <c r="K1005" s="1236" t="s">
        <v>285</v>
      </c>
      <c r="L1005" s="1237"/>
      <c r="M1005" s="54"/>
      <c r="N1005" s="54"/>
      <c r="O1005" s="336"/>
      <c r="P1005" s="334"/>
      <c r="Q1005" s="335"/>
      <c r="R1005" s="336"/>
      <c r="U1005" s="337"/>
    </row>
    <row r="1006" spans="1:21" ht="30" customHeight="1" x14ac:dyDescent="0.25">
      <c r="A1006" s="365" t="s">
        <v>684</v>
      </c>
      <c r="B1006" s="1209" t="s">
        <v>759</v>
      </c>
      <c r="C1006" s="1210"/>
      <c r="D1006" s="1211"/>
      <c r="E1006" s="256">
        <f>+Q924</f>
        <v>9.6300000000000008</v>
      </c>
      <c r="F1006" s="365" t="s">
        <v>205</v>
      </c>
      <c r="G1006" s="661">
        <f>7*62</f>
        <v>434</v>
      </c>
      <c r="H1006" s="695" t="s">
        <v>737</v>
      </c>
      <c r="I1006" s="706">
        <f>+S924</f>
        <v>1.23</v>
      </c>
      <c r="J1006" s="706">
        <f>+T924</f>
        <v>1</v>
      </c>
      <c r="K1006" s="247">
        <f>+E1006*G1006*I1006*J1006</f>
        <v>5140.6866</v>
      </c>
      <c r="L1006" s="365" t="s">
        <v>732</v>
      </c>
      <c r="M1006" s="110"/>
      <c r="N1006" s="54"/>
      <c r="O1006" s="336"/>
      <c r="P1006" s="334"/>
      <c r="Q1006" s="335"/>
      <c r="R1006" s="336"/>
      <c r="U1006" s="337"/>
    </row>
    <row r="1007" spans="1:21" ht="30" customHeight="1" x14ac:dyDescent="0.25">
      <c r="A1007" s="365" t="s">
        <v>301</v>
      </c>
      <c r="B1007" s="1209" t="s">
        <v>691</v>
      </c>
      <c r="C1007" s="1210"/>
      <c r="D1007" s="1211"/>
      <c r="E1007" s="256">
        <f>+Q928</f>
        <v>504.5</v>
      </c>
      <c r="F1007" s="661" t="s">
        <v>76</v>
      </c>
      <c r="G1007" s="661">
        <v>7</v>
      </c>
      <c r="H1007" s="695" t="s">
        <v>738</v>
      </c>
      <c r="I1007" s="706">
        <f>+S928</f>
        <v>1.1000000000000001</v>
      </c>
      <c r="J1007" s="706">
        <f>+T928</f>
        <v>1</v>
      </c>
      <c r="K1007" s="247">
        <f>+E1007*G1007*I1007*J1007</f>
        <v>3884.65</v>
      </c>
      <c r="L1007" s="365" t="s">
        <v>732</v>
      </c>
      <c r="N1007" s="54"/>
      <c r="O1007" s="336"/>
      <c r="P1007" s="334"/>
      <c r="Q1007" s="335"/>
      <c r="R1007" s="336"/>
      <c r="U1007" s="337"/>
    </row>
    <row r="1008" spans="1:21" ht="30" customHeight="1" x14ac:dyDescent="0.25">
      <c r="A1008" s="365" t="s">
        <v>301</v>
      </c>
      <c r="B1008" s="1209" t="s">
        <v>696</v>
      </c>
      <c r="C1008" s="1210"/>
      <c r="D1008" s="1211"/>
      <c r="E1008" s="256">
        <f>+Q930</f>
        <v>362.5</v>
      </c>
      <c r="F1008" s="661" t="s">
        <v>76</v>
      </c>
      <c r="G1008" s="661">
        <v>7</v>
      </c>
      <c r="H1008" s="695" t="s">
        <v>738</v>
      </c>
      <c r="I1008" s="706">
        <f>+S930</f>
        <v>1.1000000000000001</v>
      </c>
      <c r="J1008" s="706">
        <f>+T930</f>
        <v>1</v>
      </c>
      <c r="K1008" s="247">
        <f>+E1008*G1008*I1008*J1008</f>
        <v>2791.25</v>
      </c>
      <c r="L1008" s="365" t="s">
        <v>732</v>
      </c>
      <c r="M1008" s="54"/>
      <c r="N1008" s="54"/>
      <c r="O1008" s="336"/>
      <c r="P1008" s="334"/>
      <c r="Q1008" s="335"/>
      <c r="R1008" s="336"/>
      <c r="U1008" s="337"/>
    </row>
    <row r="1009" spans="1:21" ht="30" customHeight="1" x14ac:dyDescent="0.25">
      <c r="A1009" s="365" t="s">
        <v>698</v>
      </c>
      <c r="B1009" s="1209" t="s">
        <v>699</v>
      </c>
      <c r="C1009" s="1210"/>
      <c r="D1009" s="1211"/>
      <c r="E1009" s="256">
        <f>+Q932</f>
        <v>145.58000000000001</v>
      </c>
      <c r="F1009" s="661" t="s">
        <v>76</v>
      </c>
      <c r="G1009" s="661">
        <v>28</v>
      </c>
      <c r="H1009" s="695" t="s">
        <v>738</v>
      </c>
      <c r="I1009" s="706">
        <f>+S932</f>
        <v>1.1000000000000001</v>
      </c>
      <c r="J1009" s="706">
        <f>+T932</f>
        <v>1</v>
      </c>
      <c r="K1009" s="247">
        <f>+E1009*G1009*I1009*J1009</f>
        <v>4483.8640000000005</v>
      </c>
      <c r="L1009" s="365" t="s">
        <v>732</v>
      </c>
      <c r="M1009" s="54"/>
      <c r="N1009" s="54"/>
      <c r="O1009" s="336"/>
      <c r="P1009" s="334"/>
      <c r="Q1009" s="335"/>
      <c r="R1009" s="336"/>
      <c r="U1009" s="337"/>
    </row>
    <row r="1010" spans="1:21" ht="30" customHeight="1" x14ac:dyDescent="0.25">
      <c r="A1010" s="365" t="s">
        <v>702</v>
      </c>
      <c r="B1010" s="1209" t="s">
        <v>760</v>
      </c>
      <c r="C1010" s="1210"/>
      <c r="D1010" s="1211"/>
      <c r="E1010" s="256">
        <f>+Q933</f>
        <v>19.62</v>
      </c>
      <c r="F1010" s="661" t="s">
        <v>40</v>
      </c>
      <c r="G1010" s="753">
        <f>574*7</f>
        <v>4018</v>
      </c>
      <c r="H1010" s="695" t="s">
        <v>740</v>
      </c>
      <c r="I1010" s="706">
        <f>+S933</f>
        <v>1.1000000000000001</v>
      </c>
      <c r="J1010" s="706">
        <f>+T933</f>
        <v>1</v>
      </c>
      <c r="K1010" s="247">
        <f>+E1010*G1010*I1010*J1010</f>
        <v>86716.47600000001</v>
      </c>
      <c r="L1010" s="365" t="s">
        <v>732</v>
      </c>
      <c r="M1010" s="54"/>
      <c r="N1010" s="54"/>
      <c r="O1010" s="336"/>
      <c r="P1010" s="334"/>
      <c r="Q1010" s="335"/>
      <c r="R1010" s="336"/>
      <c r="U1010" s="337"/>
    </row>
    <row r="1011" spans="1:21" ht="30" customHeight="1" x14ac:dyDescent="0.25">
      <c r="A1011" s="365" t="s">
        <v>339</v>
      </c>
      <c r="B1011" s="1209" t="s">
        <v>709</v>
      </c>
      <c r="C1011" s="1210"/>
      <c r="D1011" s="1211"/>
      <c r="E1011" s="256">
        <f>+Q937</f>
        <v>458.24</v>
      </c>
      <c r="F1011" s="661" t="s">
        <v>76</v>
      </c>
      <c r="G1011" s="753"/>
      <c r="H1011" s="695"/>
      <c r="I1011" s="706">
        <f>+S923</f>
        <v>1.21</v>
      </c>
      <c r="J1011" s="706">
        <f>+T923</f>
        <v>1</v>
      </c>
      <c r="K1011" s="247">
        <f>+E1011*J1011*I1011</f>
        <v>554.47040000000004</v>
      </c>
      <c r="L1011" s="365" t="s">
        <v>732</v>
      </c>
      <c r="M1011" s="54"/>
      <c r="N1011" s="54"/>
      <c r="O1011" s="336"/>
      <c r="P1011" s="334"/>
      <c r="Q1011" s="335"/>
      <c r="R1011" s="336"/>
      <c r="U1011" s="337"/>
    </row>
    <row r="1012" spans="1:21" ht="30" customHeight="1" x14ac:dyDescent="0.25">
      <c r="A1012" s="365">
        <v>93410</v>
      </c>
      <c r="B1012" s="1209" t="s">
        <v>761</v>
      </c>
      <c r="C1012" s="1210"/>
      <c r="D1012" s="1211"/>
      <c r="E1012" s="256">
        <f>+Q942</f>
        <v>8.6999999999999993</v>
      </c>
      <c r="F1012" s="661" t="s">
        <v>25</v>
      </c>
      <c r="G1012" s="696">
        <v>277.9375</v>
      </c>
      <c r="H1012" s="695" t="s">
        <v>743</v>
      </c>
      <c r="I1012" s="286">
        <v>0.9405</v>
      </c>
      <c r="J1012" s="365"/>
      <c r="K1012" s="247">
        <f>+E1012*G1012*I1012</f>
        <v>2274.1819031249997</v>
      </c>
      <c r="L1012" s="365" t="s">
        <v>732</v>
      </c>
      <c r="M1012" s="54"/>
      <c r="N1012" s="54"/>
      <c r="O1012" s="336"/>
      <c r="P1012" s="334"/>
      <c r="Q1012" s="335"/>
      <c r="R1012" s="336"/>
      <c r="U1012" s="337"/>
    </row>
    <row r="1013" spans="1:21" ht="30" customHeight="1" x14ac:dyDescent="0.25">
      <c r="A1013" s="365">
        <v>93210</v>
      </c>
      <c r="B1013" s="1209" t="s">
        <v>762</v>
      </c>
      <c r="C1013" s="1210"/>
      <c r="D1013" s="1211"/>
      <c r="E1013" s="256">
        <f>+Q944</f>
        <v>48.6</v>
      </c>
      <c r="F1013" s="661" t="s">
        <v>25</v>
      </c>
      <c r="G1013" s="696">
        <v>27.8125</v>
      </c>
      <c r="H1013" s="695" t="s">
        <v>743</v>
      </c>
      <c r="I1013" s="286">
        <v>0.9405</v>
      </c>
      <c r="J1013" s="365"/>
      <c r="K1013" s="247">
        <f>+E1013*G1013*I1013</f>
        <v>1271.2620937500001</v>
      </c>
      <c r="L1013" s="365" t="s">
        <v>732</v>
      </c>
      <c r="M1013" s="54"/>
      <c r="N1013" s="54"/>
      <c r="O1013" s="336"/>
      <c r="P1013" s="334"/>
      <c r="Q1013" s="335"/>
      <c r="R1013" s="336"/>
      <c r="U1013" s="337"/>
    </row>
    <row r="1014" spans="1:21" ht="30" customHeight="1" x14ac:dyDescent="0.25">
      <c r="A1014" s="1172" t="s">
        <v>745</v>
      </c>
      <c r="B1014" s="1173"/>
      <c r="C1014" s="1173"/>
      <c r="D1014" s="1174"/>
      <c r="E1014" s="247"/>
      <c r="F1014" s="365"/>
      <c r="G1014" s="366"/>
      <c r="H1014" s="662"/>
      <c r="I1014" s="365"/>
      <c r="J1014" s="365" t="s">
        <v>408</v>
      </c>
      <c r="K1014" s="247">
        <f>SUM(K1006:K1013)</f>
        <v>107116.84099687502</v>
      </c>
      <c r="L1014" s="365" t="s">
        <v>732</v>
      </c>
      <c r="M1014" s="54"/>
      <c r="N1014" s="54"/>
      <c r="O1014" s="336"/>
      <c r="P1014" s="334"/>
      <c r="Q1014" s="335"/>
      <c r="R1014" s="336"/>
      <c r="U1014" s="337"/>
    </row>
    <row r="1015" spans="1:21" ht="30" customHeight="1" thickBot="1" x14ac:dyDescent="0.3">
      <c r="A1015" s="1336"/>
      <c r="B1015" s="1337"/>
      <c r="C1015" s="1337"/>
      <c r="D1015" s="1338"/>
      <c r="E1015" s="366"/>
      <c r="F1015" s="366"/>
      <c r="G1015" s="580" t="s">
        <v>306</v>
      </c>
      <c r="H1015" s="366"/>
      <c r="I1015" s="366"/>
      <c r="J1015" s="521">
        <f>VLOOKUP(B1004,'Mil Cost Premiums for PUCs'!$A$4:$R$277,18,FALSE)</f>
        <v>1.0485669999999998</v>
      </c>
      <c r="K1015" s="246">
        <f>+K1014*J1015</f>
        <v>112319.18461357022</v>
      </c>
      <c r="L1015" s="365" t="s">
        <v>732</v>
      </c>
      <c r="M1015" s="110"/>
      <c r="N1015" s="54"/>
      <c r="O1015" s="336"/>
      <c r="P1015" s="334"/>
      <c r="Q1015" s="335"/>
      <c r="R1015" s="336"/>
      <c r="U1015" s="337"/>
    </row>
    <row r="1016" spans="1:21" ht="30" customHeight="1" thickBot="1" x14ac:dyDescent="0.3">
      <c r="A1016" s="1180"/>
      <c r="B1016" s="1181"/>
      <c r="C1016" s="1181"/>
      <c r="D1016" s="1181"/>
      <c r="E1016" s="1181"/>
      <c r="F1016" s="1181"/>
      <c r="G1016" s="1181"/>
      <c r="H1016" s="1181"/>
      <c r="I1016" s="1181"/>
      <c r="J1016" s="1181"/>
      <c r="K1016" s="1181"/>
      <c r="L1016" s="1182"/>
      <c r="N1016" s="110"/>
      <c r="O1016" s="336"/>
      <c r="P1016" s="334"/>
      <c r="Q1016" s="335"/>
      <c r="R1016" s="336"/>
      <c r="U1016" s="337"/>
    </row>
    <row r="1017" spans="1:21" ht="60" customHeight="1" x14ac:dyDescent="0.25">
      <c r="A1017" s="349" t="s">
        <v>5</v>
      </c>
      <c r="B1017" s="350">
        <v>1754</v>
      </c>
      <c r="C1017" s="1151" t="s">
        <v>763</v>
      </c>
      <c r="D1017" s="1152"/>
      <c r="E1017" s="351" t="s">
        <v>8</v>
      </c>
      <c r="F1017" s="352" t="s">
        <v>732</v>
      </c>
      <c r="G1017" s="346" t="s">
        <v>733</v>
      </c>
      <c r="H1017" s="777">
        <v>32</v>
      </c>
      <c r="I1017" s="351" t="s">
        <v>10</v>
      </c>
      <c r="J1017" s="1220" t="s">
        <v>764</v>
      </c>
      <c r="K1017" s="1220"/>
      <c r="L1017" s="1221"/>
      <c r="M1017" s="54"/>
      <c r="O1017" s="336"/>
      <c r="P1017" s="334"/>
      <c r="Q1017" s="335"/>
      <c r="R1017" s="336"/>
      <c r="U1017" s="337"/>
    </row>
    <row r="1018" spans="1:21" ht="30" customHeight="1" x14ac:dyDescent="0.25">
      <c r="A1018" s="356" t="s">
        <v>735</v>
      </c>
      <c r="B1018" s="1222" t="s">
        <v>326</v>
      </c>
      <c r="C1018" s="1235"/>
      <c r="D1018" s="1223"/>
      <c r="E1018" s="577" t="s">
        <v>116</v>
      </c>
      <c r="F1018" s="577" t="s">
        <v>117</v>
      </c>
      <c r="G1018" s="1194" t="s">
        <v>118</v>
      </c>
      <c r="H1018" s="1195"/>
      <c r="I1018" s="356" t="s">
        <v>296</v>
      </c>
      <c r="J1018" s="633" t="s">
        <v>303</v>
      </c>
      <c r="K1018" s="1236" t="s">
        <v>285</v>
      </c>
      <c r="L1018" s="1237"/>
      <c r="M1018" s="54"/>
      <c r="N1018" s="54"/>
      <c r="O1018" s="336"/>
      <c r="P1018" s="334"/>
      <c r="Q1018" s="335"/>
      <c r="R1018" s="336"/>
      <c r="U1018" s="337"/>
    </row>
    <row r="1019" spans="1:21" ht="30" customHeight="1" x14ac:dyDescent="0.25">
      <c r="A1019" s="365" t="s">
        <v>684</v>
      </c>
      <c r="B1019" s="1209" t="s">
        <v>765</v>
      </c>
      <c r="C1019" s="1210"/>
      <c r="D1019" s="1211"/>
      <c r="E1019" s="256">
        <f>+Q924</f>
        <v>9.6300000000000008</v>
      </c>
      <c r="F1019" s="365" t="s">
        <v>205</v>
      </c>
      <c r="G1019" s="661">
        <f>2*62</f>
        <v>124</v>
      </c>
      <c r="H1019" s="695" t="s">
        <v>737</v>
      </c>
      <c r="I1019" s="706">
        <f>+S924</f>
        <v>1.23</v>
      </c>
      <c r="J1019" s="706">
        <f>+T924</f>
        <v>1</v>
      </c>
      <c r="K1019" s="247">
        <f>+E1019*G1019*I1019*J1019</f>
        <v>1468.7676000000001</v>
      </c>
      <c r="L1019" s="365" t="s">
        <v>732</v>
      </c>
      <c r="M1019" s="54"/>
      <c r="N1019" s="54"/>
      <c r="O1019" s="336"/>
      <c r="P1019" s="334"/>
      <c r="Q1019" s="335"/>
      <c r="R1019" s="336"/>
      <c r="U1019" s="337"/>
    </row>
    <row r="1020" spans="1:21" ht="30" customHeight="1" x14ac:dyDescent="0.25">
      <c r="A1020" s="365" t="s">
        <v>301</v>
      </c>
      <c r="B1020" s="1209" t="s">
        <v>696</v>
      </c>
      <c r="C1020" s="1210"/>
      <c r="D1020" s="1211"/>
      <c r="E1020" s="256">
        <f>+Q930</f>
        <v>362.5</v>
      </c>
      <c r="F1020" s="661" t="s">
        <v>76</v>
      </c>
      <c r="G1020" s="661">
        <v>2</v>
      </c>
      <c r="H1020" s="695" t="s">
        <v>738</v>
      </c>
      <c r="I1020" s="706">
        <f>+S930</f>
        <v>1.1000000000000001</v>
      </c>
      <c r="J1020" s="706">
        <f>+T930</f>
        <v>1</v>
      </c>
      <c r="K1020" s="247">
        <f>+E1020*G1020*I1020*J1020</f>
        <v>797.50000000000011</v>
      </c>
      <c r="L1020" s="365" t="s">
        <v>732</v>
      </c>
      <c r="M1020" s="54"/>
      <c r="N1020" s="54"/>
      <c r="O1020" s="336"/>
      <c r="P1020" s="334"/>
      <c r="Q1020" s="335"/>
      <c r="R1020" s="336"/>
      <c r="U1020" s="337"/>
    </row>
    <row r="1021" spans="1:21" ht="30" customHeight="1" x14ac:dyDescent="0.25">
      <c r="A1021" s="365" t="s">
        <v>698</v>
      </c>
      <c r="B1021" s="1209" t="s">
        <v>699</v>
      </c>
      <c r="C1021" s="1210"/>
      <c r="D1021" s="1211"/>
      <c r="E1021" s="256">
        <f>+Q932</f>
        <v>145.58000000000001</v>
      </c>
      <c r="F1021" s="661" t="s">
        <v>76</v>
      </c>
      <c r="G1021" s="661">
        <v>4</v>
      </c>
      <c r="H1021" s="695" t="s">
        <v>738</v>
      </c>
      <c r="I1021" s="706">
        <f>+S932</f>
        <v>1.1000000000000001</v>
      </c>
      <c r="J1021" s="706">
        <f>+T932</f>
        <v>1</v>
      </c>
      <c r="K1021" s="247">
        <f>+E1021*G1021*I1021*J1021</f>
        <v>640.55200000000013</v>
      </c>
      <c r="L1021" s="365" t="s">
        <v>732</v>
      </c>
      <c r="M1021" s="54"/>
      <c r="N1021" s="54"/>
      <c r="O1021" s="336"/>
      <c r="P1021" s="334"/>
      <c r="Q1021" s="335"/>
      <c r="R1021" s="336"/>
      <c r="U1021" s="337"/>
    </row>
    <row r="1022" spans="1:21" ht="30" customHeight="1" x14ac:dyDescent="0.25">
      <c r="A1022" s="365" t="s">
        <v>702</v>
      </c>
      <c r="B1022" s="1209" t="s">
        <v>766</v>
      </c>
      <c r="C1022" s="1210"/>
      <c r="D1022" s="1211"/>
      <c r="E1022" s="256">
        <f>+Q933</f>
        <v>19.62</v>
      </c>
      <c r="F1022" s="661" t="s">
        <v>40</v>
      </c>
      <c r="G1022" s="661">
        <v>82</v>
      </c>
      <c r="H1022" s="695" t="s">
        <v>740</v>
      </c>
      <c r="I1022" s="706">
        <f>+S933</f>
        <v>1.1000000000000001</v>
      </c>
      <c r="J1022" s="706">
        <f>+T933</f>
        <v>1</v>
      </c>
      <c r="K1022" s="247">
        <f>+E1022*G1022*I1022*J1022</f>
        <v>1769.7240000000004</v>
      </c>
      <c r="L1022" s="365" t="s">
        <v>732</v>
      </c>
      <c r="M1022" s="54"/>
      <c r="N1022" s="54"/>
      <c r="O1022" s="336"/>
      <c r="P1022" s="334"/>
      <c r="Q1022" s="335"/>
      <c r="R1022" s="336"/>
      <c r="U1022" s="337"/>
    </row>
    <row r="1023" spans="1:21" ht="30" customHeight="1" x14ac:dyDescent="0.25">
      <c r="A1023" s="365" t="s">
        <v>339</v>
      </c>
      <c r="B1023" s="1209" t="s">
        <v>709</v>
      </c>
      <c r="C1023" s="1210"/>
      <c r="D1023" s="1211"/>
      <c r="E1023" s="256">
        <f>+Q937</f>
        <v>458.24</v>
      </c>
      <c r="F1023" s="661" t="s">
        <v>76</v>
      </c>
      <c r="G1023" s="661"/>
      <c r="H1023" s="695"/>
      <c r="I1023" s="706">
        <f>+S923</f>
        <v>1.21</v>
      </c>
      <c r="J1023" s="706">
        <f>+T923</f>
        <v>1</v>
      </c>
      <c r="K1023" s="247">
        <f>+E1023*J1023*I1023</f>
        <v>554.47040000000004</v>
      </c>
      <c r="L1023" s="365" t="s">
        <v>732</v>
      </c>
      <c r="M1023" s="54"/>
      <c r="N1023" s="54"/>
      <c r="O1023" s="336"/>
      <c r="P1023" s="334"/>
      <c r="Q1023" s="335"/>
      <c r="R1023" s="336"/>
      <c r="U1023" s="337"/>
    </row>
    <row r="1024" spans="1:21" ht="30" customHeight="1" x14ac:dyDescent="0.25">
      <c r="A1024" s="365">
        <v>93410</v>
      </c>
      <c r="B1024" s="1209" t="s">
        <v>767</v>
      </c>
      <c r="C1024" s="1210"/>
      <c r="D1024" s="1211"/>
      <c r="E1024" s="256">
        <f>+Q942</f>
        <v>8.6999999999999993</v>
      </c>
      <c r="F1024" s="661" t="s">
        <v>25</v>
      </c>
      <c r="G1024" s="753">
        <f>4096/32</f>
        <v>128</v>
      </c>
      <c r="H1024" s="695" t="s">
        <v>743</v>
      </c>
      <c r="I1024" s="286">
        <v>0.9405</v>
      </c>
      <c r="J1024" s="365"/>
      <c r="K1024" s="247">
        <f>+E1024*G1024*I1024</f>
        <v>1047.3407999999999</v>
      </c>
      <c r="L1024" s="365" t="s">
        <v>732</v>
      </c>
      <c r="M1024" s="54"/>
      <c r="N1024" s="54"/>
      <c r="O1024" s="336"/>
      <c r="P1024" s="334"/>
      <c r="Q1024" s="335"/>
      <c r="R1024" s="336"/>
      <c r="U1024" s="337"/>
    </row>
    <row r="1025" spans="1:21" ht="30" customHeight="1" x14ac:dyDescent="0.25">
      <c r="A1025" s="365">
        <v>93210</v>
      </c>
      <c r="B1025" s="1209" t="s">
        <v>768</v>
      </c>
      <c r="C1025" s="1210"/>
      <c r="D1025" s="1211"/>
      <c r="E1025" s="256">
        <f>+Q944</f>
        <v>48.6</v>
      </c>
      <c r="F1025" s="661" t="s">
        <v>25</v>
      </c>
      <c r="G1025" s="696">
        <v>12.78125</v>
      </c>
      <c r="H1025" s="695" t="s">
        <v>743</v>
      </c>
      <c r="I1025" s="286">
        <v>0.9405</v>
      </c>
      <c r="J1025" s="365"/>
      <c r="K1025" s="247">
        <f>+E1025*G1025*I1025</f>
        <v>584.209209375</v>
      </c>
      <c r="L1025" s="365" t="s">
        <v>732</v>
      </c>
      <c r="M1025" s="54"/>
      <c r="N1025" s="54"/>
      <c r="O1025" s="336"/>
      <c r="P1025" s="334"/>
      <c r="Q1025" s="335"/>
      <c r="R1025" s="336"/>
      <c r="U1025" s="337"/>
    </row>
    <row r="1026" spans="1:21" ht="30" customHeight="1" x14ac:dyDescent="0.25">
      <c r="A1026" s="1172" t="s">
        <v>745</v>
      </c>
      <c r="B1026" s="1173"/>
      <c r="C1026" s="1173"/>
      <c r="D1026" s="1174"/>
      <c r="E1026" s="247"/>
      <c r="F1026" s="365"/>
      <c r="G1026" s="366"/>
      <c r="H1026" s="662"/>
      <c r="I1026" s="365"/>
      <c r="J1026" s="365" t="s">
        <v>408</v>
      </c>
      <c r="K1026" s="247">
        <f>SUM(K1019:K1025)</f>
        <v>6862.5640093750008</v>
      </c>
      <c r="L1026" s="365" t="s">
        <v>732</v>
      </c>
      <c r="M1026" s="54"/>
      <c r="N1026" s="54"/>
      <c r="O1026" s="336"/>
      <c r="P1026" s="334"/>
      <c r="Q1026" s="335"/>
      <c r="R1026" s="336"/>
      <c r="U1026" s="337"/>
    </row>
    <row r="1027" spans="1:21" ht="30" customHeight="1" thickBot="1" x14ac:dyDescent="0.3">
      <c r="A1027" s="1336"/>
      <c r="B1027" s="1337"/>
      <c r="C1027" s="1337"/>
      <c r="D1027" s="1338"/>
      <c r="E1027" s="366"/>
      <c r="F1027" s="366"/>
      <c r="G1027" s="580" t="s">
        <v>306</v>
      </c>
      <c r="H1027" s="366"/>
      <c r="I1027" s="366"/>
      <c r="J1027" s="521">
        <f>VLOOKUP(B1017,'Mil Cost Premiums for PUCs'!$A$4:$R$277,18,FALSE)</f>
        <v>1.0485669999999998</v>
      </c>
      <c r="K1027" s="246">
        <f>+K1026*J1027</f>
        <v>7195.8581556183153</v>
      </c>
      <c r="L1027" s="365" t="s">
        <v>732</v>
      </c>
      <c r="M1027" s="54"/>
      <c r="N1027" s="54"/>
      <c r="O1027" s="336"/>
      <c r="P1027" s="334"/>
      <c r="Q1027" s="335"/>
      <c r="R1027" s="336"/>
      <c r="U1027" s="337"/>
    </row>
    <row r="1028" spans="1:21" ht="30" customHeight="1" thickBot="1" x14ac:dyDescent="0.3">
      <c r="A1028" s="1180"/>
      <c r="B1028" s="1181"/>
      <c r="C1028" s="1181"/>
      <c r="D1028" s="1181"/>
      <c r="E1028" s="1181"/>
      <c r="F1028" s="1181"/>
      <c r="G1028" s="1181"/>
      <c r="H1028" s="1181"/>
      <c r="I1028" s="1181"/>
      <c r="J1028" s="1181"/>
      <c r="K1028" s="1181"/>
      <c r="L1028" s="1182"/>
      <c r="M1028" s="54"/>
      <c r="N1028" s="54"/>
      <c r="O1028" s="336"/>
      <c r="P1028" s="334"/>
      <c r="Q1028" s="335"/>
      <c r="R1028" s="336"/>
      <c r="U1028" s="337"/>
    </row>
    <row r="1029" spans="1:21" ht="60" customHeight="1" x14ac:dyDescent="0.25">
      <c r="A1029" s="327" t="s">
        <v>5</v>
      </c>
      <c r="B1029" s="328">
        <v>1755</v>
      </c>
      <c r="C1029" s="1251" t="s">
        <v>769</v>
      </c>
      <c r="D1029" s="1252"/>
      <c r="E1029" s="331" t="s">
        <v>8</v>
      </c>
      <c r="F1029" s="332" t="s">
        <v>732</v>
      </c>
      <c r="G1029" s="346" t="s">
        <v>733</v>
      </c>
      <c r="H1029" s="711">
        <v>32</v>
      </c>
      <c r="I1029" s="331" t="s">
        <v>10</v>
      </c>
      <c r="J1029" s="1220" t="s">
        <v>764</v>
      </c>
      <c r="K1029" s="1220"/>
      <c r="L1029" s="1221"/>
      <c r="M1029" s="54"/>
      <c r="O1029" s="336"/>
      <c r="P1029" s="334"/>
      <c r="Q1029" s="335"/>
      <c r="R1029" s="336"/>
      <c r="U1029" s="337"/>
    </row>
    <row r="1030" spans="1:21" ht="30" customHeight="1" x14ac:dyDescent="0.25">
      <c r="A1030" s="356" t="s">
        <v>735</v>
      </c>
      <c r="B1030" s="1222" t="s">
        <v>326</v>
      </c>
      <c r="C1030" s="1235"/>
      <c r="D1030" s="1223"/>
      <c r="E1030" s="577" t="s">
        <v>116</v>
      </c>
      <c r="F1030" s="577" t="s">
        <v>117</v>
      </c>
      <c r="G1030" s="1194" t="s">
        <v>118</v>
      </c>
      <c r="H1030" s="1195"/>
      <c r="I1030" s="633" t="s">
        <v>296</v>
      </c>
      <c r="J1030" s="633" t="s">
        <v>303</v>
      </c>
      <c r="K1030" s="1236" t="s">
        <v>285</v>
      </c>
      <c r="L1030" s="1237"/>
      <c r="M1030" s="54"/>
      <c r="N1030" s="54"/>
      <c r="O1030" s="336"/>
      <c r="P1030" s="334"/>
      <c r="Q1030" s="335"/>
      <c r="R1030" s="336"/>
      <c r="U1030" s="337"/>
    </row>
    <row r="1031" spans="1:21" ht="30" customHeight="1" x14ac:dyDescent="0.25">
      <c r="A1031" s="365" t="s">
        <v>301</v>
      </c>
      <c r="B1031" s="1209" t="s">
        <v>696</v>
      </c>
      <c r="C1031" s="1210"/>
      <c r="D1031" s="1211"/>
      <c r="E1031" s="256">
        <f>+Q930</f>
        <v>362.5</v>
      </c>
      <c r="F1031" s="661" t="s">
        <v>76</v>
      </c>
      <c r="G1031" s="661">
        <v>1</v>
      </c>
      <c r="H1031" s="695" t="s">
        <v>738</v>
      </c>
      <c r="I1031" s="706">
        <f>+S930</f>
        <v>1.1000000000000001</v>
      </c>
      <c r="J1031" s="706">
        <f>+T930</f>
        <v>1</v>
      </c>
      <c r="K1031" s="247">
        <f>+E1031*G1031*I1031*J1031</f>
        <v>398.75000000000006</v>
      </c>
      <c r="L1031" s="365" t="s">
        <v>732</v>
      </c>
      <c r="M1031" s="110"/>
      <c r="N1031" s="54"/>
      <c r="O1031" s="336"/>
      <c r="P1031" s="334"/>
      <c r="Q1031" s="335"/>
      <c r="R1031" s="336"/>
      <c r="U1031" s="337"/>
    </row>
    <row r="1032" spans="1:21" ht="30" customHeight="1" x14ac:dyDescent="0.25">
      <c r="A1032" s="365" t="s">
        <v>698</v>
      </c>
      <c r="B1032" s="1209" t="s">
        <v>699</v>
      </c>
      <c r="C1032" s="1210"/>
      <c r="D1032" s="1211"/>
      <c r="E1032" s="256">
        <f>+Q932</f>
        <v>145.58000000000001</v>
      </c>
      <c r="F1032" s="661" t="s">
        <v>76</v>
      </c>
      <c r="G1032" s="661">
        <v>4</v>
      </c>
      <c r="H1032" s="695" t="s">
        <v>738</v>
      </c>
      <c r="I1032" s="706">
        <f>+S932</f>
        <v>1.1000000000000001</v>
      </c>
      <c r="J1032" s="706">
        <f>+T932</f>
        <v>1</v>
      </c>
      <c r="K1032" s="247">
        <f>+E1032*G1032*I1032*J1032</f>
        <v>640.55200000000013</v>
      </c>
      <c r="L1032" s="365" t="s">
        <v>732</v>
      </c>
      <c r="N1032" s="54"/>
      <c r="O1032" s="336"/>
      <c r="P1032" s="334"/>
      <c r="Q1032" s="335"/>
      <c r="R1032" s="336"/>
      <c r="U1032" s="337"/>
    </row>
    <row r="1033" spans="1:21" ht="30" customHeight="1" x14ac:dyDescent="0.25">
      <c r="A1033" s="365" t="s">
        <v>702</v>
      </c>
      <c r="B1033" s="1209" t="s">
        <v>770</v>
      </c>
      <c r="C1033" s="1210"/>
      <c r="D1033" s="1211"/>
      <c r="E1033" s="256">
        <f>+Q934</f>
        <v>16.75</v>
      </c>
      <c r="F1033" s="661" t="s">
        <v>40</v>
      </c>
      <c r="G1033" s="661">
        <v>525</v>
      </c>
      <c r="H1033" s="695" t="s">
        <v>740</v>
      </c>
      <c r="I1033" s="706">
        <f>+S934</f>
        <v>1.1000000000000001</v>
      </c>
      <c r="J1033" s="706">
        <f>+T934</f>
        <v>1</v>
      </c>
      <c r="K1033" s="247">
        <f>+E1033*G1033*I1033*J1033</f>
        <v>9673.125</v>
      </c>
      <c r="L1033" s="365" t="s">
        <v>732</v>
      </c>
      <c r="M1033" s="54"/>
      <c r="N1033" s="54"/>
      <c r="O1033" s="336"/>
      <c r="P1033" s="334"/>
      <c r="Q1033" s="335"/>
      <c r="R1033" s="336"/>
      <c r="U1033" s="337"/>
    </row>
    <row r="1034" spans="1:21" ht="30" customHeight="1" x14ac:dyDescent="0.25">
      <c r="A1034" s="365">
        <v>93410</v>
      </c>
      <c r="B1034" s="1209" t="s">
        <v>771</v>
      </c>
      <c r="C1034" s="1210"/>
      <c r="D1034" s="1211"/>
      <c r="E1034" s="256">
        <f>+Q942</f>
        <v>8.6999999999999993</v>
      </c>
      <c r="F1034" s="661" t="s">
        <v>25</v>
      </c>
      <c r="G1034" s="696">
        <v>277.9375</v>
      </c>
      <c r="H1034" s="695" t="s">
        <v>743</v>
      </c>
      <c r="I1034" s="286">
        <v>0.9405</v>
      </c>
      <c r="J1034" s="365"/>
      <c r="K1034" s="247">
        <f>+E1034*G1034*I1034</f>
        <v>2274.1819031249997</v>
      </c>
      <c r="L1034" s="365" t="s">
        <v>732</v>
      </c>
      <c r="M1034" s="54"/>
      <c r="N1034" s="54"/>
      <c r="O1034" s="336"/>
      <c r="P1034" s="334"/>
      <c r="Q1034" s="335"/>
      <c r="R1034" s="336"/>
      <c r="U1034" s="337"/>
    </row>
    <row r="1035" spans="1:21" ht="30" customHeight="1" x14ac:dyDescent="0.25">
      <c r="A1035" s="1172" t="s">
        <v>745</v>
      </c>
      <c r="B1035" s="1173"/>
      <c r="C1035" s="1173"/>
      <c r="D1035" s="1174"/>
      <c r="E1035" s="247"/>
      <c r="F1035" s="365"/>
      <c r="G1035" s="366"/>
      <c r="H1035" s="662"/>
      <c r="I1035" s="365"/>
      <c r="J1035" s="365" t="s">
        <v>408</v>
      </c>
      <c r="K1035" s="247">
        <f>SUM(K1031:K1034)</f>
        <v>12986.608903124999</v>
      </c>
      <c r="L1035" s="365" t="s">
        <v>732</v>
      </c>
      <c r="M1035" s="54"/>
      <c r="N1035" s="54"/>
      <c r="O1035" s="336"/>
      <c r="P1035" s="334"/>
      <c r="Q1035" s="335"/>
      <c r="R1035" s="336"/>
      <c r="U1035" s="337"/>
    </row>
    <row r="1036" spans="1:21" ht="30" customHeight="1" thickBot="1" x14ac:dyDescent="0.3">
      <c r="A1036" s="1336"/>
      <c r="B1036" s="1337"/>
      <c r="C1036" s="1337"/>
      <c r="D1036" s="1338"/>
      <c r="E1036" s="366"/>
      <c r="F1036" s="366"/>
      <c r="G1036" s="580" t="s">
        <v>306</v>
      </c>
      <c r="H1036" s="366"/>
      <c r="I1036" s="366"/>
      <c r="J1036" s="521">
        <f>VLOOKUP(B1029,'Mil Cost Premiums for PUCs'!$A$4:$R$277,18,FALSE)</f>
        <v>1.0485669999999998</v>
      </c>
      <c r="K1036" s="246">
        <f>+K1035*J1036</f>
        <v>13617.329537723068</v>
      </c>
      <c r="L1036" s="365" t="s">
        <v>732</v>
      </c>
      <c r="M1036" s="54"/>
      <c r="N1036" s="54"/>
      <c r="O1036" s="336"/>
      <c r="P1036" s="334"/>
      <c r="Q1036" s="335"/>
      <c r="R1036" s="336"/>
      <c r="U1036" s="337"/>
    </row>
    <row r="1037" spans="1:21" ht="30" customHeight="1" thickBot="1" x14ac:dyDescent="0.3">
      <c r="A1037" s="1180"/>
      <c r="B1037" s="1181"/>
      <c r="C1037" s="1181"/>
      <c r="D1037" s="1181"/>
      <c r="E1037" s="1181"/>
      <c r="F1037" s="1181"/>
      <c r="G1037" s="1181"/>
      <c r="H1037" s="1181"/>
      <c r="I1037" s="1181"/>
      <c r="J1037" s="1181"/>
      <c r="K1037" s="1181"/>
      <c r="L1037" s="1182"/>
      <c r="M1037" s="54"/>
      <c r="N1037" s="54"/>
      <c r="O1037" s="336"/>
      <c r="P1037" s="334"/>
      <c r="Q1037" s="335"/>
      <c r="R1037" s="336"/>
      <c r="U1037" s="337"/>
    </row>
    <row r="1038" spans="1:21" ht="60" customHeight="1" x14ac:dyDescent="0.25">
      <c r="A1038" s="327" t="s">
        <v>5</v>
      </c>
      <c r="B1038" s="328">
        <v>1756</v>
      </c>
      <c r="C1038" s="1251" t="s">
        <v>772</v>
      </c>
      <c r="D1038" s="1252"/>
      <c r="E1038" s="331" t="s">
        <v>8</v>
      </c>
      <c r="F1038" s="332" t="s">
        <v>732</v>
      </c>
      <c r="G1038" s="346" t="s">
        <v>773</v>
      </c>
      <c r="H1038" s="711">
        <v>4</v>
      </c>
      <c r="I1038" s="331" t="s">
        <v>10</v>
      </c>
      <c r="J1038" s="1220" t="s">
        <v>764</v>
      </c>
      <c r="K1038" s="1220"/>
      <c r="L1038" s="1221"/>
      <c r="M1038" s="54"/>
      <c r="N1038" s="54"/>
      <c r="O1038" s="336"/>
      <c r="P1038" s="334"/>
      <c r="Q1038" s="335"/>
      <c r="R1038" s="336"/>
      <c r="U1038" s="337"/>
    </row>
    <row r="1039" spans="1:21" ht="30" customHeight="1" x14ac:dyDescent="0.25">
      <c r="A1039" s="356" t="s">
        <v>735</v>
      </c>
      <c r="B1039" s="1222" t="s">
        <v>326</v>
      </c>
      <c r="C1039" s="1235"/>
      <c r="D1039" s="1223"/>
      <c r="E1039" s="577" t="s">
        <v>116</v>
      </c>
      <c r="F1039" s="577" t="s">
        <v>117</v>
      </c>
      <c r="G1039" s="1194" t="s">
        <v>118</v>
      </c>
      <c r="H1039" s="1195"/>
      <c r="I1039" s="356" t="s">
        <v>296</v>
      </c>
      <c r="J1039" s="633" t="s">
        <v>303</v>
      </c>
      <c r="K1039" s="1236" t="s">
        <v>285</v>
      </c>
      <c r="L1039" s="1237"/>
      <c r="M1039" s="54"/>
      <c r="N1039" s="54"/>
      <c r="O1039" s="336"/>
      <c r="P1039" s="334"/>
      <c r="Q1039" s="335"/>
      <c r="R1039" s="336"/>
      <c r="U1039" s="337"/>
    </row>
    <row r="1040" spans="1:21" ht="30" customHeight="1" x14ac:dyDescent="0.25">
      <c r="A1040" s="356"/>
      <c r="B1040" s="1281" t="s">
        <v>774</v>
      </c>
      <c r="C1040" s="1281"/>
      <c r="D1040" s="1281"/>
      <c r="E1040" s="577"/>
      <c r="F1040" s="577"/>
      <c r="G1040" s="750"/>
      <c r="H1040" s="751"/>
      <c r="I1040" s="398"/>
      <c r="J1040" s="398"/>
      <c r="K1040" s="577"/>
      <c r="L1040" s="577"/>
      <c r="M1040" s="54"/>
      <c r="N1040" s="54"/>
      <c r="O1040" s="336"/>
      <c r="P1040" s="334"/>
      <c r="Q1040" s="335"/>
      <c r="R1040" s="336"/>
      <c r="U1040" s="337"/>
    </row>
    <row r="1041" spans="1:21" ht="30" customHeight="1" x14ac:dyDescent="0.25">
      <c r="A1041" s="365" t="s">
        <v>684</v>
      </c>
      <c r="B1041" s="1281" t="s">
        <v>775</v>
      </c>
      <c r="C1041" s="1281"/>
      <c r="D1041" s="1281"/>
      <c r="E1041" s="256">
        <f>+Q924</f>
        <v>9.6300000000000008</v>
      </c>
      <c r="F1041" s="365" t="s">
        <v>205</v>
      </c>
      <c r="G1041" s="661">
        <f>4*62</f>
        <v>248</v>
      </c>
      <c r="H1041" s="695" t="s">
        <v>737</v>
      </c>
      <c r="I1041" s="706">
        <f>+S924</f>
        <v>1.23</v>
      </c>
      <c r="J1041" s="706">
        <f>+T924</f>
        <v>1</v>
      </c>
      <c r="K1041" s="247">
        <f t="shared" ref="K1041:K1049" si="5">+E1041*G1041*I1041*J1041</f>
        <v>2937.5352000000003</v>
      </c>
      <c r="L1041" s="365" t="s">
        <v>732</v>
      </c>
      <c r="M1041" s="54"/>
      <c r="N1041" s="54"/>
      <c r="O1041" s="336"/>
      <c r="P1041" s="334"/>
      <c r="Q1041" s="335"/>
      <c r="R1041" s="336"/>
      <c r="U1041" s="337"/>
    </row>
    <row r="1042" spans="1:21" ht="30" customHeight="1" x14ac:dyDescent="0.25">
      <c r="A1042" s="365" t="s">
        <v>533</v>
      </c>
      <c r="B1042" s="1281" t="s">
        <v>776</v>
      </c>
      <c r="C1042" s="1281"/>
      <c r="D1042" s="1281"/>
      <c r="E1042" s="256">
        <f>+Q926</f>
        <v>20.25</v>
      </c>
      <c r="F1042" s="365" t="s">
        <v>205</v>
      </c>
      <c r="G1042" s="661">
        <f>80.7*6</f>
        <v>484.20000000000005</v>
      </c>
      <c r="H1042" s="695" t="s">
        <v>737</v>
      </c>
      <c r="I1042" s="706">
        <f>+S926</f>
        <v>1.1200000000000001</v>
      </c>
      <c r="J1042" s="706">
        <f>+T926</f>
        <v>1</v>
      </c>
      <c r="K1042" s="247">
        <f t="shared" si="5"/>
        <v>10981.656000000003</v>
      </c>
      <c r="L1042" s="365" t="s">
        <v>732</v>
      </c>
      <c r="M1042" s="54"/>
      <c r="N1042" s="54"/>
      <c r="O1042" s="336"/>
      <c r="P1042" s="334"/>
      <c r="Q1042" s="335"/>
      <c r="R1042" s="336"/>
      <c r="U1042" s="337"/>
    </row>
    <row r="1043" spans="1:21" ht="30" customHeight="1" x14ac:dyDescent="0.25">
      <c r="A1043" s="365" t="s">
        <v>301</v>
      </c>
      <c r="B1043" s="1281" t="s">
        <v>691</v>
      </c>
      <c r="C1043" s="1281"/>
      <c r="D1043" s="1281"/>
      <c r="E1043" s="256">
        <f>+Q928</f>
        <v>504.5</v>
      </c>
      <c r="F1043" s="661" t="s">
        <v>76</v>
      </c>
      <c r="G1043" s="661">
        <v>10</v>
      </c>
      <c r="H1043" s="695" t="s">
        <v>738</v>
      </c>
      <c r="I1043" s="706">
        <f>+S928</f>
        <v>1.1000000000000001</v>
      </c>
      <c r="J1043" s="706">
        <f>+T928</f>
        <v>1</v>
      </c>
      <c r="K1043" s="247">
        <f t="shared" si="5"/>
        <v>5549.5</v>
      </c>
      <c r="L1043" s="365" t="s">
        <v>732</v>
      </c>
      <c r="M1043" s="110"/>
      <c r="N1043" s="54"/>
      <c r="O1043" s="336"/>
      <c r="P1043" s="334"/>
      <c r="Q1043" s="335"/>
      <c r="R1043" s="336"/>
      <c r="U1043" s="337"/>
    </row>
    <row r="1044" spans="1:21" ht="30" customHeight="1" x14ac:dyDescent="0.25">
      <c r="A1044" s="365" t="s">
        <v>520</v>
      </c>
      <c r="B1044" s="1281" t="s">
        <v>706</v>
      </c>
      <c r="C1044" s="1281"/>
      <c r="D1044" s="1281"/>
      <c r="E1044" s="256">
        <f>+Q935</f>
        <v>21.1</v>
      </c>
      <c r="F1044" s="661" t="s">
        <v>40</v>
      </c>
      <c r="G1044" s="661">
        <f>6*50</f>
        <v>300</v>
      </c>
      <c r="H1044" s="695" t="s">
        <v>740</v>
      </c>
      <c r="I1044" s="706">
        <f>+S935</f>
        <v>1.04</v>
      </c>
      <c r="J1044" s="706">
        <f>+T935</f>
        <v>1</v>
      </c>
      <c r="K1044" s="247">
        <f t="shared" si="5"/>
        <v>6583.2</v>
      </c>
      <c r="L1044" s="365" t="s">
        <v>732</v>
      </c>
      <c r="N1044" s="54"/>
      <c r="O1044" s="336"/>
      <c r="P1044" s="334"/>
      <c r="Q1044" s="335"/>
      <c r="R1044" s="336"/>
      <c r="U1044" s="337"/>
    </row>
    <row r="1045" spans="1:21" ht="30" customHeight="1" x14ac:dyDescent="0.25">
      <c r="A1045" s="365" t="s">
        <v>520</v>
      </c>
      <c r="B1045" s="1281" t="s">
        <v>777</v>
      </c>
      <c r="C1045" s="1281"/>
      <c r="D1045" s="1281"/>
      <c r="E1045" s="256">
        <f>+Q936</f>
        <v>3227.5</v>
      </c>
      <c r="F1045" s="661" t="s">
        <v>76</v>
      </c>
      <c r="G1045" s="661">
        <v>6</v>
      </c>
      <c r="H1045" s="695" t="s">
        <v>748</v>
      </c>
      <c r="I1045" s="706">
        <f>+S936</f>
        <v>1.04</v>
      </c>
      <c r="J1045" s="706">
        <f>+T936</f>
        <v>1</v>
      </c>
      <c r="K1045" s="247">
        <f t="shared" si="5"/>
        <v>20139.600000000002</v>
      </c>
      <c r="L1045" s="365" t="s">
        <v>732</v>
      </c>
      <c r="M1045" s="54"/>
      <c r="N1045" s="54"/>
      <c r="O1045" s="336"/>
      <c r="P1045" s="334"/>
      <c r="Q1045" s="335"/>
      <c r="R1045" s="336"/>
      <c r="U1045" s="337"/>
    </row>
    <row r="1046" spans="1:21" ht="30" customHeight="1" x14ac:dyDescent="0.25">
      <c r="A1046" s="365" t="s">
        <v>301</v>
      </c>
      <c r="B1046" s="1281" t="s">
        <v>696</v>
      </c>
      <c r="C1046" s="1281"/>
      <c r="D1046" s="1281"/>
      <c r="E1046" s="256">
        <f>+Q930</f>
        <v>362.5</v>
      </c>
      <c r="F1046" s="661" t="s">
        <v>76</v>
      </c>
      <c r="G1046" s="661">
        <v>10</v>
      </c>
      <c r="H1046" s="695" t="s">
        <v>738</v>
      </c>
      <c r="I1046" s="706">
        <f>+S930</f>
        <v>1.1000000000000001</v>
      </c>
      <c r="J1046" s="706">
        <f>+T930</f>
        <v>1</v>
      </c>
      <c r="K1046" s="247">
        <f t="shared" si="5"/>
        <v>3987.5000000000005</v>
      </c>
      <c r="L1046" s="365" t="s">
        <v>732</v>
      </c>
      <c r="M1046" s="54"/>
      <c r="N1046" s="54"/>
      <c r="O1046" s="336"/>
      <c r="P1046" s="334"/>
      <c r="Q1046" s="335"/>
      <c r="R1046" s="336"/>
      <c r="U1046" s="337"/>
    </row>
    <row r="1047" spans="1:21" ht="30" customHeight="1" x14ac:dyDescent="0.25">
      <c r="A1047" s="365" t="s">
        <v>698</v>
      </c>
      <c r="B1047" s="1281" t="s">
        <v>778</v>
      </c>
      <c r="C1047" s="1281"/>
      <c r="D1047" s="1281"/>
      <c r="E1047" s="256">
        <f>+Q932</f>
        <v>145.58000000000001</v>
      </c>
      <c r="F1047" s="661" t="s">
        <v>76</v>
      </c>
      <c r="G1047" s="661">
        <v>40</v>
      </c>
      <c r="H1047" s="695" t="s">
        <v>738</v>
      </c>
      <c r="I1047" s="706">
        <f>+S932</f>
        <v>1.1000000000000001</v>
      </c>
      <c r="J1047" s="706">
        <f>+T932</f>
        <v>1</v>
      </c>
      <c r="K1047" s="247">
        <f t="shared" si="5"/>
        <v>6405.5200000000013</v>
      </c>
      <c r="L1047" s="365" t="s">
        <v>732</v>
      </c>
      <c r="M1047" s="54"/>
      <c r="N1047" s="117"/>
      <c r="O1047" s="336"/>
      <c r="P1047" s="334"/>
      <c r="Q1047" s="335"/>
      <c r="R1047" s="336"/>
      <c r="U1047" s="337"/>
    </row>
    <row r="1048" spans="1:21" s="778" customFormat="1" ht="30" customHeight="1" x14ac:dyDescent="0.25">
      <c r="A1048" s="365" t="s">
        <v>702</v>
      </c>
      <c r="B1048" s="1281" t="s">
        <v>779</v>
      </c>
      <c r="C1048" s="1281"/>
      <c r="D1048" s="1281"/>
      <c r="E1048" s="256">
        <f>+Q933</f>
        <v>19.62</v>
      </c>
      <c r="F1048" s="661" t="s">
        <v>40</v>
      </c>
      <c r="G1048" s="753">
        <v>6412</v>
      </c>
      <c r="H1048" s="695" t="s">
        <v>740</v>
      </c>
      <c r="I1048" s="706">
        <f>+S933</f>
        <v>1.1000000000000001</v>
      </c>
      <c r="J1048" s="706">
        <f>+T933</f>
        <v>1</v>
      </c>
      <c r="K1048" s="247">
        <f t="shared" si="5"/>
        <v>138383.78400000001</v>
      </c>
      <c r="L1048" s="365" t="s">
        <v>732</v>
      </c>
      <c r="M1048" s="54"/>
      <c r="Q1048" s="779"/>
    </row>
    <row r="1049" spans="1:21" ht="30" customHeight="1" x14ac:dyDescent="0.25">
      <c r="A1049" s="365" t="s">
        <v>339</v>
      </c>
      <c r="B1049" s="1209" t="s">
        <v>780</v>
      </c>
      <c r="C1049" s="1210"/>
      <c r="D1049" s="1211"/>
      <c r="E1049" s="255">
        <f>+Q927</f>
        <v>5.29</v>
      </c>
      <c r="F1049" s="661" t="s">
        <v>205</v>
      </c>
      <c r="G1049" s="661">
        <f>32*9</f>
        <v>288</v>
      </c>
      <c r="H1049" s="695" t="s">
        <v>737</v>
      </c>
      <c r="I1049" s="706">
        <f>+S923</f>
        <v>1.21</v>
      </c>
      <c r="J1049" s="706">
        <f>+T927</f>
        <v>1</v>
      </c>
      <c r="K1049" s="247">
        <f t="shared" si="5"/>
        <v>1843.4592</v>
      </c>
      <c r="L1049" s="365" t="s">
        <v>732</v>
      </c>
      <c r="M1049" s="54"/>
      <c r="N1049" s="54"/>
      <c r="O1049" s="336"/>
      <c r="P1049" s="334"/>
      <c r="Q1049" s="335"/>
      <c r="R1049" s="336"/>
      <c r="U1049" s="337"/>
    </row>
    <row r="1050" spans="1:21" ht="30" customHeight="1" x14ac:dyDescent="0.25">
      <c r="A1050" s="365">
        <v>93410</v>
      </c>
      <c r="B1050" s="1209" t="s">
        <v>781</v>
      </c>
      <c r="C1050" s="1210"/>
      <c r="D1050" s="1211"/>
      <c r="E1050" s="256">
        <f>+Q942</f>
        <v>8.6999999999999993</v>
      </c>
      <c r="F1050" s="661" t="s">
        <v>25</v>
      </c>
      <c r="G1050" s="696">
        <v>261.5</v>
      </c>
      <c r="H1050" s="695" t="s">
        <v>743</v>
      </c>
      <c r="I1050" s="286">
        <v>0.9405</v>
      </c>
      <c r="J1050" s="706"/>
      <c r="K1050" s="247">
        <f>+E1050*G1050*I1050</f>
        <v>2139.6845249999997</v>
      </c>
      <c r="L1050" s="365" t="s">
        <v>732</v>
      </c>
      <c r="M1050" s="54"/>
      <c r="N1050" s="54"/>
      <c r="O1050" s="336"/>
      <c r="P1050" s="334"/>
      <c r="Q1050" s="335"/>
      <c r="R1050" s="336"/>
      <c r="U1050" s="337"/>
    </row>
    <row r="1051" spans="1:21" ht="30" customHeight="1" x14ac:dyDescent="0.25">
      <c r="A1051" s="1172" t="s">
        <v>745</v>
      </c>
      <c r="B1051" s="1173"/>
      <c r="C1051" s="1173"/>
      <c r="D1051" s="1174"/>
      <c r="E1051" s="247"/>
      <c r="F1051" s="365"/>
      <c r="G1051" s="366"/>
      <c r="H1051" s="662"/>
      <c r="I1051" s="365"/>
      <c r="J1051" s="365" t="s">
        <v>408</v>
      </c>
      <c r="K1051" s="247">
        <f>SUM(K1041:K1050)</f>
        <v>198951.43892500002</v>
      </c>
      <c r="L1051" s="365" t="s">
        <v>732</v>
      </c>
      <c r="M1051" s="54"/>
      <c r="N1051" s="54"/>
      <c r="O1051" s="336"/>
      <c r="P1051" s="334"/>
      <c r="Q1051" s="335"/>
      <c r="R1051" s="336"/>
      <c r="U1051" s="337"/>
    </row>
    <row r="1052" spans="1:21" ht="30" customHeight="1" thickBot="1" x14ac:dyDescent="0.3">
      <c r="A1052" s="1336"/>
      <c r="B1052" s="1337"/>
      <c r="C1052" s="1337"/>
      <c r="D1052" s="1338"/>
      <c r="E1052" s="366"/>
      <c r="F1052" s="366"/>
      <c r="G1052" s="580" t="s">
        <v>306</v>
      </c>
      <c r="H1052" s="366"/>
      <c r="I1052" s="366"/>
      <c r="J1052" s="521">
        <f>VLOOKUP(B1038,'Mil Cost Premiums for PUCs'!$A$4:$R$277,18,FALSE)</f>
        <v>1.0485669999999998</v>
      </c>
      <c r="K1052" s="246">
        <f>+K1051*J1052</f>
        <v>208613.91345927046</v>
      </c>
      <c r="L1052" s="365" t="s">
        <v>732</v>
      </c>
      <c r="M1052" s="54"/>
      <c r="N1052" s="54"/>
      <c r="O1052" s="336"/>
      <c r="P1052" s="334"/>
      <c r="Q1052" s="335"/>
      <c r="R1052" s="336"/>
      <c r="U1052" s="337"/>
    </row>
    <row r="1053" spans="1:21" ht="30" customHeight="1" thickBot="1" x14ac:dyDescent="0.3">
      <c r="A1053" s="1180"/>
      <c r="B1053" s="1181"/>
      <c r="C1053" s="1181"/>
      <c r="D1053" s="1181"/>
      <c r="E1053" s="1181"/>
      <c r="F1053" s="1181"/>
      <c r="G1053" s="1181"/>
      <c r="H1053" s="1181"/>
      <c r="I1053" s="1181"/>
      <c r="J1053" s="1181"/>
      <c r="K1053" s="1181"/>
      <c r="L1053" s="1182"/>
      <c r="M1053" s="54"/>
      <c r="N1053" s="54"/>
      <c r="O1053" s="336"/>
      <c r="P1053" s="334"/>
      <c r="Q1053" s="335"/>
      <c r="R1053" s="336"/>
      <c r="U1053" s="337"/>
    </row>
    <row r="1054" spans="1:21" ht="60" customHeight="1" x14ac:dyDescent="0.25">
      <c r="A1054" s="327" t="s">
        <v>5</v>
      </c>
      <c r="B1054" s="328">
        <v>1757</v>
      </c>
      <c r="C1054" s="1251" t="s">
        <v>782</v>
      </c>
      <c r="D1054" s="1252"/>
      <c r="E1054" s="331" t="s">
        <v>8</v>
      </c>
      <c r="F1054" s="332" t="s">
        <v>732</v>
      </c>
      <c r="G1054" s="346" t="s">
        <v>783</v>
      </c>
      <c r="H1054" s="711">
        <v>15</v>
      </c>
      <c r="I1054" s="331" t="s">
        <v>10</v>
      </c>
      <c r="J1054" s="1220" t="s">
        <v>784</v>
      </c>
      <c r="K1054" s="1220"/>
      <c r="L1054" s="1221"/>
      <c r="M1054" s="54"/>
      <c r="N1054" s="54"/>
      <c r="O1054" s="336"/>
      <c r="P1054" s="334"/>
      <c r="Q1054" s="335"/>
      <c r="R1054" s="336"/>
      <c r="U1054" s="337"/>
    </row>
    <row r="1055" spans="1:21" ht="30" customHeight="1" x14ac:dyDescent="0.25">
      <c r="A1055" s="356" t="s">
        <v>735</v>
      </c>
      <c r="B1055" s="1222" t="s">
        <v>326</v>
      </c>
      <c r="C1055" s="1235"/>
      <c r="D1055" s="1223"/>
      <c r="E1055" s="577" t="s">
        <v>116</v>
      </c>
      <c r="F1055" s="577" t="s">
        <v>117</v>
      </c>
      <c r="G1055" s="1194" t="s">
        <v>118</v>
      </c>
      <c r="H1055" s="1195"/>
      <c r="I1055" s="356" t="s">
        <v>296</v>
      </c>
      <c r="J1055" s="633" t="s">
        <v>303</v>
      </c>
      <c r="K1055" s="1236" t="s">
        <v>285</v>
      </c>
      <c r="L1055" s="1237"/>
      <c r="M1055" s="54"/>
      <c r="N1055" s="54"/>
      <c r="O1055" s="336"/>
      <c r="P1055" s="334"/>
      <c r="Q1055" s="335"/>
      <c r="R1055" s="336"/>
      <c r="U1055" s="337"/>
    </row>
    <row r="1056" spans="1:21" ht="30" customHeight="1" x14ac:dyDescent="0.25">
      <c r="A1056" s="365" t="s">
        <v>684</v>
      </c>
      <c r="B1056" s="1209" t="s">
        <v>785</v>
      </c>
      <c r="C1056" s="1210"/>
      <c r="D1056" s="1211"/>
      <c r="E1056" s="256">
        <f>+Q924</f>
        <v>9.6300000000000008</v>
      </c>
      <c r="F1056" s="365" t="s">
        <v>205</v>
      </c>
      <c r="G1056" s="661">
        <f>8*62</f>
        <v>496</v>
      </c>
      <c r="H1056" s="695" t="s">
        <v>737</v>
      </c>
      <c r="I1056" s="706">
        <f>+S924</f>
        <v>1.23</v>
      </c>
      <c r="J1056" s="706">
        <f>+T924</f>
        <v>1</v>
      </c>
      <c r="K1056" s="247">
        <f>+E1056*G1056*I1056*J1056</f>
        <v>5875.0704000000005</v>
      </c>
      <c r="L1056" s="365" t="s">
        <v>732</v>
      </c>
      <c r="M1056" s="54"/>
      <c r="O1056" s="336"/>
      <c r="P1056" s="334"/>
      <c r="Q1056" s="335"/>
      <c r="R1056" s="336"/>
      <c r="U1056" s="337"/>
    </row>
    <row r="1057" spans="1:21" ht="30" customHeight="1" x14ac:dyDescent="0.25">
      <c r="A1057" s="365" t="s">
        <v>301</v>
      </c>
      <c r="B1057" s="1209" t="s">
        <v>691</v>
      </c>
      <c r="C1057" s="1210"/>
      <c r="D1057" s="1211"/>
      <c r="E1057" s="256">
        <f>+Q928</f>
        <v>504.5</v>
      </c>
      <c r="F1057" s="661" t="s">
        <v>76</v>
      </c>
      <c r="G1057" s="661">
        <v>8</v>
      </c>
      <c r="H1057" s="695" t="s">
        <v>738</v>
      </c>
      <c r="I1057" s="706">
        <f>+S928</f>
        <v>1.1000000000000001</v>
      </c>
      <c r="J1057" s="706">
        <f>+T928</f>
        <v>1</v>
      </c>
      <c r="K1057" s="247">
        <f>+E1057*G1057*I1057*J1057</f>
        <v>4439.6000000000004</v>
      </c>
      <c r="L1057" s="365" t="s">
        <v>732</v>
      </c>
      <c r="M1057" s="54"/>
      <c r="N1057" s="54"/>
      <c r="O1057" s="336"/>
      <c r="P1057" s="334"/>
      <c r="Q1057" s="335"/>
      <c r="R1057" s="336"/>
      <c r="U1057" s="337"/>
    </row>
    <row r="1058" spans="1:21" ht="30" customHeight="1" x14ac:dyDescent="0.25">
      <c r="A1058" s="365" t="s">
        <v>301</v>
      </c>
      <c r="B1058" s="1209" t="s">
        <v>696</v>
      </c>
      <c r="C1058" s="1210"/>
      <c r="D1058" s="1211"/>
      <c r="E1058" s="256">
        <f>+Q930</f>
        <v>362.5</v>
      </c>
      <c r="F1058" s="661" t="s">
        <v>76</v>
      </c>
      <c r="G1058" s="661">
        <v>8</v>
      </c>
      <c r="H1058" s="695" t="s">
        <v>738</v>
      </c>
      <c r="I1058" s="706">
        <f>+S930</f>
        <v>1.1000000000000001</v>
      </c>
      <c r="J1058" s="706">
        <f>+T930</f>
        <v>1</v>
      </c>
      <c r="K1058" s="247">
        <f>+E1058*G1058*I1058*J1058</f>
        <v>3190.0000000000005</v>
      </c>
      <c r="L1058" s="365" t="s">
        <v>732</v>
      </c>
      <c r="M1058" s="54"/>
      <c r="N1058" s="54"/>
      <c r="O1058" s="336"/>
      <c r="P1058" s="334"/>
      <c r="Q1058" s="335"/>
      <c r="R1058" s="336"/>
      <c r="U1058" s="337"/>
    </row>
    <row r="1059" spans="1:21" ht="30" customHeight="1" x14ac:dyDescent="0.25">
      <c r="A1059" s="365" t="s">
        <v>698</v>
      </c>
      <c r="B1059" s="1209" t="s">
        <v>699</v>
      </c>
      <c r="C1059" s="1210"/>
      <c r="D1059" s="1211"/>
      <c r="E1059" s="256">
        <f>+Q932</f>
        <v>145.58000000000001</v>
      </c>
      <c r="F1059" s="661" t="s">
        <v>76</v>
      </c>
      <c r="G1059" s="661">
        <v>32</v>
      </c>
      <c r="H1059" s="695" t="s">
        <v>738</v>
      </c>
      <c r="I1059" s="706">
        <f>+S932</f>
        <v>1.1000000000000001</v>
      </c>
      <c r="J1059" s="706">
        <f>+T932</f>
        <v>1</v>
      </c>
      <c r="K1059" s="247">
        <f>+E1059*G1059*I1059*J1059</f>
        <v>5124.4160000000011</v>
      </c>
      <c r="L1059" s="365" t="s">
        <v>732</v>
      </c>
      <c r="M1059" s="54"/>
      <c r="N1059" s="54"/>
      <c r="O1059" s="336"/>
      <c r="P1059" s="334"/>
      <c r="Q1059" s="335"/>
      <c r="R1059" s="336"/>
      <c r="U1059" s="337"/>
    </row>
    <row r="1060" spans="1:21" ht="30" customHeight="1" x14ac:dyDescent="0.25">
      <c r="A1060" s="365" t="s">
        <v>702</v>
      </c>
      <c r="B1060" s="1209" t="s">
        <v>786</v>
      </c>
      <c r="C1060" s="1210"/>
      <c r="D1060" s="1211"/>
      <c r="E1060" s="256">
        <f>+Q933</f>
        <v>19.62</v>
      </c>
      <c r="F1060" s="661" t="s">
        <v>40</v>
      </c>
      <c r="G1060" s="661">
        <f>8*101</f>
        <v>808</v>
      </c>
      <c r="H1060" s="695" t="s">
        <v>740</v>
      </c>
      <c r="I1060" s="706">
        <f>+S933</f>
        <v>1.1000000000000001</v>
      </c>
      <c r="J1060" s="706">
        <f>+T933</f>
        <v>1</v>
      </c>
      <c r="K1060" s="247">
        <f>+E1060*G1060*I1060*J1060</f>
        <v>17438.256000000001</v>
      </c>
      <c r="L1060" s="365" t="s">
        <v>732</v>
      </c>
      <c r="M1060" s="54"/>
      <c r="N1060" s="54"/>
      <c r="O1060" s="336"/>
      <c r="P1060" s="334"/>
      <c r="Q1060" s="335"/>
      <c r="R1060" s="336"/>
      <c r="U1060" s="337"/>
    </row>
    <row r="1061" spans="1:21" ht="30" customHeight="1" x14ac:dyDescent="0.25">
      <c r="A1061" s="365">
        <v>93210</v>
      </c>
      <c r="B1061" s="1209" t="s">
        <v>787</v>
      </c>
      <c r="C1061" s="1210"/>
      <c r="D1061" s="1211"/>
      <c r="E1061" s="256">
        <f>+Q944</f>
        <v>48.6</v>
      </c>
      <c r="F1061" s="661" t="s">
        <v>25</v>
      </c>
      <c r="G1061" s="696">
        <v>27.8125</v>
      </c>
      <c r="H1061" s="695" t="s">
        <v>743</v>
      </c>
      <c r="I1061" s="286">
        <v>0.9405</v>
      </c>
      <c r="J1061" s="365"/>
      <c r="K1061" s="247">
        <f>+E1061*G1061*I1061</f>
        <v>1271.2620937500001</v>
      </c>
      <c r="L1061" s="365" t="s">
        <v>732</v>
      </c>
      <c r="M1061" s="54"/>
      <c r="N1061" s="54"/>
      <c r="O1061" s="336"/>
      <c r="P1061" s="334"/>
      <c r="Q1061" s="335"/>
      <c r="R1061" s="336"/>
      <c r="U1061" s="337"/>
    </row>
    <row r="1062" spans="1:21" ht="30" customHeight="1" x14ac:dyDescent="0.25">
      <c r="A1062" s="365">
        <v>93410</v>
      </c>
      <c r="B1062" s="1209" t="s">
        <v>788</v>
      </c>
      <c r="C1062" s="1210"/>
      <c r="D1062" s="1211"/>
      <c r="E1062" s="256">
        <f>+Q942</f>
        <v>8.6999999999999993</v>
      </c>
      <c r="F1062" s="661" t="s">
        <v>25</v>
      </c>
      <c r="G1062" s="696">
        <f>2.61*8</f>
        <v>20.88</v>
      </c>
      <c r="H1062" s="695" t="s">
        <v>743</v>
      </c>
      <c r="I1062" s="286">
        <v>0.9405</v>
      </c>
      <c r="J1062" s="365"/>
      <c r="K1062" s="247">
        <f>+E1062*G1062*I1062</f>
        <v>170.84746799999999</v>
      </c>
      <c r="L1062" s="365" t="s">
        <v>732</v>
      </c>
      <c r="M1062" s="68"/>
      <c r="N1062" s="54"/>
      <c r="O1062" s="336"/>
      <c r="P1062" s="334"/>
      <c r="Q1062" s="335"/>
      <c r="R1062" s="336"/>
      <c r="U1062" s="337"/>
    </row>
    <row r="1063" spans="1:21" ht="30" customHeight="1" x14ac:dyDescent="0.25">
      <c r="A1063" s="1172" t="s">
        <v>745</v>
      </c>
      <c r="B1063" s="1173"/>
      <c r="C1063" s="1173"/>
      <c r="D1063" s="1174"/>
      <c r="E1063" s="247"/>
      <c r="F1063" s="365"/>
      <c r="G1063" s="366"/>
      <c r="H1063" s="662"/>
      <c r="I1063" s="365"/>
      <c r="J1063" s="365" t="s">
        <v>408</v>
      </c>
      <c r="K1063" s="247">
        <f>SUM(K1056:K1062)</f>
        <v>37509.451961750005</v>
      </c>
      <c r="L1063" s="365" t="s">
        <v>732</v>
      </c>
      <c r="M1063" s="778"/>
      <c r="N1063" s="54"/>
      <c r="O1063" s="336"/>
      <c r="P1063" s="334"/>
      <c r="Q1063" s="335"/>
      <c r="R1063" s="336"/>
      <c r="U1063" s="337"/>
    </row>
    <row r="1064" spans="1:21" ht="30" customHeight="1" thickBot="1" x14ac:dyDescent="0.3">
      <c r="A1064" s="1336"/>
      <c r="B1064" s="1337"/>
      <c r="C1064" s="1337"/>
      <c r="D1064" s="1338"/>
      <c r="E1064" s="366"/>
      <c r="F1064" s="366"/>
      <c r="G1064" s="580" t="s">
        <v>306</v>
      </c>
      <c r="H1064" s="366"/>
      <c r="I1064" s="366"/>
      <c r="J1064" s="521">
        <f>VLOOKUP(B1054,'Mil Cost Premiums for PUCs'!$A$4:$R$277,18,FALSE)</f>
        <v>1.0485669999999998</v>
      </c>
      <c r="K1064" s="246">
        <f>+K1063*J1064</f>
        <v>39331.173515176313</v>
      </c>
      <c r="L1064" s="365" t="s">
        <v>732</v>
      </c>
      <c r="M1064" s="54"/>
      <c r="N1064" s="110"/>
      <c r="O1064" s="336"/>
      <c r="P1064" s="334"/>
      <c r="Q1064" s="335"/>
      <c r="R1064" s="336"/>
      <c r="U1064" s="337"/>
    </row>
    <row r="1065" spans="1:21" ht="30" customHeight="1" thickBot="1" x14ac:dyDescent="0.3">
      <c r="A1065" s="1180"/>
      <c r="B1065" s="1181"/>
      <c r="C1065" s="1181"/>
      <c r="D1065" s="1181"/>
      <c r="E1065" s="1181"/>
      <c r="F1065" s="1181"/>
      <c r="G1065" s="1181"/>
      <c r="H1065" s="1181"/>
      <c r="I1065" s="1181"/>
      <c r="J1065" s="1181"/>
      <c r="K1065" s="1181"/>
      <c r="L1065" s="1182"/>
      <c r="M1065" s="54"/>
      <c r="P1065" s="334"/>
      <c r="Q1065" s="335"/>
      <c r="R1065" s="336"/>
      <c r="U1065" s="337"/>
    </row>
    <row r="1066" spans="1:21" ht="60" customHeight="1" x14ac:dyDescent="0.25">
      <c r="A1066" s="327" t="s">
        <v>5</v>
      </c>
      <c r="B1066" s="328">
        <v>1758</v>
      </c>
      <c r="C1066" s="1251" t="s">
        <v>789</v>
      </c>
      <c r="D1066" s="1252"/>
      <c r="E1066" s="331" t="s">
        <v>8</v>
      </c>
      <c r="F1066" s="332" t="s">
        <v>732</v>
      </c>
      <c r="G1066" s="346" t="s">
        <v>790</v>
      </c>
      <c r="H1066" s="711">
        <v>10</v>
      </c>
      <c r="I1066" s="331" t="s">
        <v>10</v>
      </c>
      <c r="J1066" s="1220" t="s">
        <v>764</v>
      </c>
      <c r="K1066" s="1220"/>
      <c r="L1066" s="1221"/>
      <c r="M1066" s="54"/>
      <c r="N1066" s="54"/>
      <c r="P1066" s="334"/>
      <c r="Q1066" s="335"/>
      <c r="R1066" s="336"/>
      <c r="U1066" s="337"/>
    </row>
    <row r="1067" spans="1:21" ht="30" customHeight="1" x14ac:dyDescent="0.25">
      <c r="A1067" s="356" t="s">
        <v>735</v>
      </c>
      <c r="B1067" s="1222" t="s">
        <v>326</v>
      </c>
      <c r="C1067" s="1235"/>
      <c r="D1067" s="1223"/>
      <c r="E1067" s="577" t="s">
        <v>116</v>
      </c>
      <c r="F1067" s="577" t="s">
        <v>117</v>
      </c>
      <c r="G1067" s="1194" t="s">
        <v>118</v>
      </c>
      <c r="H1067" s="1195"/>
      <c r="I1067" s="356" t="s">
        <v>296</v>
      </c>
      <c r="J1067" s="633" t="s">
        <v>303</v>
      </c>
      <c r="K1067" s="1236" t="s">
        <v>285</v>
      </c>
      <c r="L1067" s="1237"/>
      <c r="M1067" s="54"/>
      <c r="N1067" s="54"/>
      <c r="O1067" s="336"/>
      <c r="P1067" s="334"/>
      <c r="Q1067" s="335"/>
      <c r="R1067" s="336"/>
      <c r="U1067" s="337"/>
    </row>
    <row r="1068" spans="1:21" ht="30" customHeight="1" x14ac:dyDescent="0.25">
      <c r="A1068" s="356"/>
      <c r="B1068" s="1281" t="s">
        <v>791</v>
      </c>
      <c r="C1068" s="1281"/>
      <c r="D1068" s="1281"/>
      <c r="E1068" s="577"/>
      <c r="F1068" s="577"/>
      <c r="G1068" s="750"/>
      <c r="H1068" s="751"/>
      <c r="I1068" s="398"/>
      <c r="J1068" s="398"/>
      <c r="K1068" s="577"/>
      <c r="L1068" s="577"/>
      <c r="M1068" s="54"/>
      <c r="N1068" s="54"/>
      <c r="O1068" s="336"/>
      <c r="P1068" s="334"/>
      <c r="Q1068" s="335"/>
      <c r="R1068" s="336"/>
      <c r="U1068" s="337"/>
    </row>
    <row r="1069" spans="1:21" ht="30" customHeight="1" x14ac:dyDescent="0.25">
      <c r="A1069" s="365" t="s">
        <v>684</v>
      </c>
      <c r="B1069" s="1281" t="s">
        <v>792</v>
      </c>
      <c r="C1069" s="1281"/>
      <c r="D1069" s="1281"/>
      <c r="E1069" s="256">
        <f>+Q924</f>
        <v>9.6300000000000008</v>
      </c>
      <c r="F1069" s="365" t="s">
        <v>205</v>
      </c>
      <c r="G1069" s="753">
        <f>3*62</f>
        <v>186</v>
      </c>
      <c r="H1069" s="695" t="s">
        <v>737</v>
      </c>
      <c r="I1069" s="706">
        <f>+S924</f>
        <v>1.23</v>
      </c>
      <c r="J1069" s="706">
        <f>+T924</f>
        <v>1</v>
      </c>
      <c r="K1069" s="247">
        <f t="shared" ref="K1069:K1079" si="6">+E1069*G1069*I1069*J1069</f>
        <v>2203.1514000000002</v>
      </c>
      <c r="L1069" s="365" t="s">
        <v>732</v>
      </c>
      <c r="M1069" s="54"/>
      <c r="N1069" s="54"/>
      <c r="O1069" s="336"/>
      <c r="P1069" s="334"/>
      <c r="Q1069" s="335"/>
      <c r="R1069" s="336"/>
      <c r="U1069" s="337"/>
    </row>
    <row r="1070" spans="1:21" ht="30" customHeight="1" x14ac:dyDescent="0.25">
      <c r="A1070" s="365" t="s">
        <v>684</v>
      </c>
      <c r="B1070" s="1281" t="s">
        <v>793</v>
      </c>
      <c r="C1070" s="1281"/>
      <c r="D1070" s="1281"/>
      <c r="E1070" s="256">
        <f>+Q924</f>
        <v>9.6300000000000008</v>
      </c>
      <c r="F1070" s="365" t="s">
        <v>205</v>
      </c>
      <c r="G1070" s="753">
        <f>5*94</f>
        <v>470</v>
      </c>
      <c r="H1070" s="695" t="s">
        <v>737</v>
      </c>
      <c r="I1070" s="706">
        <f t="shared" ref="I1070:J1072" si="7">+S924</f>
        <v>1.23</v>
      </c>
      <c r="J1070" s="706">
        <f t="shared" si="7"/>
        <v>1</v>
      </c>
      <c r="K1070" s="247">
        <f t="shared" si="6"/>
        <v>5567.1030000000001</v>
      </c>
      <c r="L1070" s="365" t="s">
        <v>732</v>
      </c>
      <c r="M1070" s="110"/>
      <c r="N1070" s="54"/>
      <c r="O1070" s="336"/>
      <c r="P1070" s="334"/>
      <c r="Q1070" s="335"/>
      <c r="R1070" s="336"/>
      <c r="U1070" s="337"/>
    </row>
    <row r="1071" spans="1:21" ht="30" customHeight="1" x14ac:dyDescent="0.25">
      <c r="A1071" s="365" t="s">
        <v>684</v>
      </c>
      <c r="B1071" s="1281" t="s">
        <v>794</v>
      </c>
      <c r="C1071" s="1281"/>
      <c r="D1071" s="1281"/>
      <c r="E1071" s="256">
        <f>+Q925</f>
        <v>11.77</v>
      </c>
      <c r="F1071" s="365" t="s">
        <v>205</v>
      </c>
      <c r="G1071" s="753">
        <f>2*468</f>
        <v>936</v>
      </c>
      <c r="H1071" s="695" t="s">
        <v>737</v>
      </c>
      <c r="I1071" s="706">
        <f t="shared" si="7"/>
        <v>1.23</v>
      </c>
      <c r="J1071" s="706">
        <f t="shared" si="7"/>
        <v>1</v>
      </c>
      <c r="K1071" s="247">
        <f t="shared" si="6"/>
        <v>13550.5656</v>
      </c>
      <c r="L1071" s="365" t="s">
        <v>732</v>
      </c>
      <c r="N1071" s="54"/>
      <c r="O1071" s="336"/>
      <c r="P1071" s="334"/>
      <c r="Q1071" s="335"/>
      <c r="R1071" s="336"/>
      <c r="U1071" s="337"/>
    </row>
    <row r="1072" spans="1:21" ht="30" customHeight="1" x14ac:dyDescent="0.25">
      <c r="A1072" s="365" t="s">
        <v>533</v>
      </c>
      <c r="B1072" s="1281" t="s">
        <v>795</v>
      </c>
      <c r="C1072" s="1281"/>
      <c r="D1072" s="1281"/>
      <c r="E1072" s="256">
        <f>+Q926</f>
        <v>20.25</v>
      </c>
      <c r="F1072" s="365" t="s">
        <v>205</v>
      </c>
      <c r="G1072" s="780">
        <f>80.7*2</f>
        <v>161.4</v>
      </c>
      <c r="H1072" s="695" t="s">
        <v>737</v>
      </c>
      <c r="I1072" s="706">
        <f t="shared" si="7"/>
        <v>1.1200000000000001</v>
      </c>
      <c r="J1072" s="706">
        <f t="shared" si="7"/>
        <v>1</v>
      </c>
      <c r="K1072" s="247">
        <f t="shared" si="6"/>
        <v>3660.5520000000001</v>
      </c>
      <c r="L1072" s="365" t="s">
        <v>732</v>
      </c>
      <c r="M1072" s="54"/>
      <c r="N1072" s="54"/>
      <c r="O1072" s="336"/>
      <c r="P1072" s="334"/>
      <c r="Q1072" s="335"/>
      <c r="R1072" s="336"/>
      <c r="U1072" s="337"/>
    </row>
    <row r="1073" spans="1:21" ht="30" customHeight="1" x14ac:dyDescent="0.25">
      <c r="A1073" s="365" t="s">
        <v>301</v>
      </c>
      <c r="B1073" s="1281" t="s">
        <v>694</v>
      </c>
      <c r="C1073" s="1281"/>
      <c r="D1073" s="1281"/>
      <c r="E1073" s="256">
        <f>+Q929</f>
        <v>920</v>
      </c>
      <c r="F1073" s="661" t="s">
        <v>76</v>
      </c>
      <c r="G1073" s="753">
        <v>12</v>
      </c>
      <c r="H1073" s="695" t="s">
        <v>738</v>
      </c>
      <c r="I1073" s="706">
        <f>+S929</f>
        <v>1.1000000000000001</v>
      </c>
      <c r="J1073" s="706">
        <f>+T929</f>
        <v>1</v>
      </c>
      <c r="K1073" s="247">
        <f t="shared" si="6"/>
        <v>12144.000000000002</v>
      </c>
      <c r="L1073" s="365" t="s">
        <v>732</v>
      </c>
      <c r="M1073" s="54"/>
      <c r="N1073" s="54"/>
      <c r="O1073" s="781"/>
      <c r="P1073" s="334"/>
      <c r="Q1073" s="335"/>
      <c r="R1073" s="336"/>
      <c r="U1073" s="337"/>
    </row>
    <row r="1074" spans="1:21" ht="30" customHeight="1" x14ac:dyDescent="0.25">
      <c r="A1074" s="365" t="s">
        <v>520</v>
      </c>
      <c r="B1074" s="1281" t="s">
        <v>706</v>
      </c>
      <c r="C1074" s="1281"/>
      <c r="D1074" s="1281"/>
      <c r="E1074" s="256">
        <f>+Q935</f>
        <v>21.1</v>
      </c>
      <c r="F1074" s="661" t="s">
        <v>40</v>
      </c>
      <c r="G1074" s="753">
        <f>2*50</f>
        <v>100</v>
      </c>
      <c r="H1074" s="695" t="s">
        <v>740</v>
      </c>
      <c r="I1074" s="706">
        <f>+S935</f>
        <v>1.04</v>
      </c>
      <c r="J1074" s="706">
        <f>+T935</f>
        <v>1</v>
      </c>
      <c r="K1074" s="247">
        <f t="shared" si="6"/>
        <v>2194.4</v>
      </c>
      <c r="L1074" s="365" t="s">
        <v>732</v>
      </c>
      <c r="M1074" s="54"/>
      <c r="N1074" s="54"/>
      <c r="O1074" s="781"/>
      <c r="P1074" s="334"/>
      <c r="Q1074" s="335"/>
      <c r="R1074" s="336"/>
      <c r="U1074" s="337"/>
    </row>
    <row r="1075" spans="1:21" ht="30" customHeight="1" x14ac:dyDescent="0.25">
      <c r="A1075" s="365" t="s">
        <v>520</v>
      </c>
      <c r="B1075" s="1281" t="s">
        <v>777</v>
      </c>
      <c r="C1075" s="1281"/>
      <c r="D1075" s="1281"/>
      <c r="E1075" s="256">
        <f>+Q936</f>
        <v>3227.5</v>
      </c>
      <c r="F1075" s="661" t="s">
        <v>76</v>
      </c>
      <c r="G1075" s="753">
        <v>2</v>
      </c>
      <c r="H1075" s="695" t="s">
        <v>748</v>
      </c>
      <c r="I1075" s="706">
        <f>+S936</f>
        <v>1.04</v>
      </c>
      <c r="J1075" s="706">
        <f>+T936</f>
        <v>1</v>
      </c>
      <c r="K1075" s="247">
        <f t="shared" si="6"/>
        <v>6713.2</v>
      </c>
      <c r="L1075" s="365" t="s">
        <v>732</v>
      </c>
      <c r="M1075" s="54"/>
      <c r="N1075" s="54"/>
      <c r="O1075" s="781"/>
      <c r="P1075" s="334"/>
      <c r="Q1075" s="335"/>
      <c r="R1075" s="336"/>
      <c r="U1075" s="337"/>
    </row>
    <row r="1076" spans="1:21" ht="30" customHeight="1" x14ac:dyDescent="0.25">
      <c r="A1076" s="365" t="s">
        <v>301</v>
      </c>
      <c r="B1076" s="1281" t="s">
        <v>796</v>
      </c>
      <c r="C1076" s="1281"/>
      <c r="D1076" s="1281"/>
      <c r="E1076" s="256">
        <f>+Q931</f>
        <v>1125</v>
      </c>
      <c r="F1076" s="661" t="s">
        <v>76</v>
      </c>
      <c r="G1076" s="753">
        <v>12</v>
      </c>
      <c r="H1076" s="695" t="s">
        <v>738</v>
      </c>
      <c r="I1076" s="706">
        <f t="shared" ref="I1076:J1078" si="8">+S931</f>
        <v>1.1000000000000001</v>
      </c>
      <c r="J1076" s="706">
        <f>+T931</f>
        <v>1</v>
      </c>
      <c r="K1076" s="247">
        <f t="shared" si="6"/>
        <v>14850.000000000002</v>
      </c>
      <c r="L1076" s="365" t="s">
        <v>732</v>
      </c>
      <c r="M1076" s="54"/>
      <c r="N1076" s="54"/>
      <c r="O1076" s="781"/>
      <c r="P1076" s="334"/>
      <c r="Q1076" s="335"/>
      <c r="R1076" s="336"/>
      <c r="U1076" s="337"/>
    </row>
    <row r="1077" spans="1:21" ht="30" customHeight="1" x14ac:dyDescent="0.25">
      <c r="A1077" s="365" t="s">
        <v>698</v>
      </c>
      <c r="B1077" s="1281" t="s">
        <v>797</v>
      </c>
      <c r="C1077" s="1281"/>
      <c r="D1077" s="1281"/>
      <c r="E1077" s="256">
        <f>+Q932</f>
        <v>145.58000000000001</v>
      </c>
      <c r="F1077" s="661" t="s">
        <v>76</v>
      </c>
      <c r="G1077" s="753">
        <f>5*12</f>
        <v>60</v>
      </c>
      <c r="H1077" s="695" t="s">
        <v>738</v>
      </c>
      <c r="I1077" s="706">
        <f t="shared" si="8"/>
        <v>1.1000000000000001</v>
      </c>
      <c r="J1077" s="706">
        <f t="shared" si="8"/>
        <v>1</v>
      </c>
      <c r="K1077" s="247">
        <f t="shared" si="6"/>
        <v>9608.2800000000025</v>
      </c>
      <c r="L1077" s="365" t="s">
        <v>732</v>
      </c>
      <c r="M1077" s="54"/>
      <c r="N1077" s="54"/>
      <c r="O1077" s="336"/>
      <c r="P1077" s="334"/>
      <c r="Q1077" s="335"/>
      <c r="R1077" s="336"/>
      <c r="U1077" s="337"/>
    </row>
    <row r="1078" spans="1:21" ht="30" customHeight="1" x14ac:dyDescent="0.25">
      <c r="A1078" s="365" t="s">
        <v>702</v>
      </c>
      <c r="B1078" s="1209" t="s">
        <v>798</v>
      </c>
      <c r="C1078" s="1210"/>
      <c r="D1078" s="1211"/>
      <c r="E1078" s="256">
        <f>+Q933</f>
        <v>19.62</v>
      </c>
      <c r="F1078" s="661" t="s">
        <v>40</v>
      </c>
      <c r="G1078" s="753">
        <v>2961</v>
      </c>
      <c r="H1078" s="695" t="s">
        <v>740</v>
      </c>
      <c r="I1078" s="706">
        <f t="shared" si="8"/>
        <v>1.1000000000000001</v>
      </c>
      <c r="J1078" s="706">
        <f t="shared" si="8"/>
        <v>1</v>
      </c>
      <c r="K1078" s="247">
        <f t="shared" si="6"/>
        <v>63904.302000000003</v>
      </c>
      <c r="L1078" s="365" t="s">
        <v>732</v>
      </c>
      <c r="M1078" s="54"/>
      <c r="N1078" s="54"/>
      <c r="O1078" s="336"/>
      <c r="P1078" s="334"/>
      <c r="Q1078" s="335"/>
      <c r="R1078" s="336"/>
      <c r="U1078" s="337"/>
    </row>
    <row r="1079" spans="1:21" ht="30" customHeight="1" x14ac:dyDescent="0.25">
      <c r="A1079" s="365" t="s">
        <v>339</v>
      </c>
      <c r="B1079" s="1209" t="s">
        <v>780</v>
      </c>
      <c r="C1079" s="1210"/>
      <c r="D1079" s="1211"/>
      <c r="E1079" s="255">
        <f>+Q927</f>
        <v>5.29</v>
      </c>
      <c r="F1079" s="661" t="s">
        <v>205</v>
      </c>
      <c r="G1079" s="753">
        <f>32*9</f>
        <v>288</v>
      </c>
      <c r="H1079" s="695" t="s">
        <v>737</v>
      </c>
      <c r="I1079" s="706">
        <f>+S923</f>
        <v>1.21</v>
      </c>
      <c r="J1079" s="706">
        <f>+T927</f>
        <v>1</v>
      </c>
      <c r="K1079" s="247">
        <f t="shared" si="6"/>
        <v>1843.4592</v>
      </c>
      <c r="L1079" s="365" t="s">
        <v>732</v>
      </c>
      <c r="M1079" s="110"/>
      <c r="N1079" s="54"/>
      <c r="O1079" s="336"/>
      <c r="P1079" s="334"/>
      <c r="Q1079" s="335"/>
      <c r="R1079" s="336"/>
      <c r="U1079" s="337"/>
    </row>
    <row r="1080" spans="1:21" ht="30" customHeight="1" x14ac:dyDescent="0.25">
      <c r="A1080" s="365">
        <v>93410</v>
      </c>
      <c r="B1080" s="1209" t="s">
        <v>799</v>
      </c>
      <c r="C1080" s="1210"/>
      <c r="D1080" s="1211"/>
      <c r="E1080" s="256">
        <f>+Q942</f>
        <v>8.6999999999999993</v>
      </c>
      <c r="F1080" s="661" t="s">
        <v>25</v>
      </c>
      <c r="G1080" s="780">
        <v>39.200000000000003</v>
      </c>
      <c r="H1080" s="695" t="s">
        <v>743</v>
      </c>
      <c r="I1080" s="286">
        <v>0.9405</v>
      </c>
      <c r="J1080" s="706"/>
      <c r="K1080" s="247">
        <f>+E1080*G1080*I1080</f>
        <v>320.74812000000003</v>
      </c>
      <c r="L1080" s="365" t="s">
        <v>732</v>
      </c>
      <c r="N1080" s="54"/>
      <c r="O1080" s="336"/>
      <c r="P1080" s="334"/>
      <c r="Q1080" s="335"/>
      <c r="R1080" s="336"/>
      <c r="U1080" s="337"/>
    </row>
    <row r="1081" spans="1:21" ht="30" customHeight="1" x14ac:dyDescent="0.25">
      <c r="A1081" s="365">
        <v>93210</v>
      </c>
      <c r="B1081" s="1209" t="s">
        <v>800</v>
      </c>
      <c r="C1081" s="1210"/>
      <c r="D1081" s="1211"/>
      <c r="E1081" s="256">
        <f>+Q944</f>
        <v>48.6</v>
      </c>
      <c r="F1081" s="661" t="s">
        <v>25</v>
      </c>
      <c r="G1081" s="780">
        <v>3.9</v>
      </c>
      <c r="H1081" s="695" t="s">
        <v>743</v>
      </c>
      <c r="I1081" s="286">
        <v>0.9405</v>
      </c>
      <c r="J1081" s="706"/>
      <c r="K1081" s="247">
        <f>+E1081*G1081*I1081</f>
        <v>178.26237</v>
      </c>
      <c r="L1081" s="365" t="s">
        <v>732</v>
      </c>
      <c r="M1081" s="54"/>
      <c r="N1081" s="54"/>
      <c r="O1081" s="336"/>
      <c r="P1081" s="334"/>
      <c r="Q1081" s="335"/>
      <c r="R1081" s="336"/>
      <c r="U1081" s="337"/>
    </row>
    <row r="1082" spans="1:21" ht="30" customHeight="1" x14ac:dyDescent="0.25">
      <c r="A1082" s="1172" t="s">
        <v>745</v>
      </c>
      <c r="B1082" s="1173"/>
      <c r="C1082" s="1173"/>
      <c r="D1082" s="1174"/>
      <c r="E1082" s="247"/>
      <c r="F1082" s="365"/>
      <c r="G1082" s="366"/>
      <c r="H1082" s="662"/>
      <c r="I1082" s="365"/>
      <c r="J1082" s="365" t="s">
        <v>408</v>
      </c>
      <c r="K1082" s="247">
        <f>SUM(K1069:K1080)</f>
        <v>136559.76132000002</v>
      </c>
      <c r="L1082" s="365" t="s">
        <v>732</v>
      </c>
      <c r="M1082" s="54"/>
      <c r="O1082" s="336"/>
      <c r="P1082" s="334"/>
      <c r="Q1082" s="335"/>
      <c r="R1082" s="336"/>
      <c r="U1082" s="337"/>
    </row>
    <row r="1083" spans="1:21" ht="30" customHeight="1" thickBot="1" x14ac:dyDescent="0.3">
      <c r="A1083" s="1336"/>
      <c r="B1083" s="1337"/>
      <c r="C1083" s="1337"/>
      <c r="D1083" s="1338"/>
      <c r="E1083" s="366"/>
      <c r="F1083" s="366"/>
      <c r="G1083" s="580" t="s">
        <v>306</v>
      </c>
      <c r="H1083" s="366"/>
      <c r="I1083" s="366"/>
      <c r="J1083" s="521">
        <f>VLOOKUP(B1066,'Mil Cost Premiums for PUCs'!$A$4:$R$277,18,FALSE)</f>
        <v>1.0485669999999998</v>
      </c>
      <c r="K1083" s="246">
        <f>+K1082*J1083</f>
        <v>143192.05924802844</v>
      </c>
      <c r="L1083" s="365" t="s">
        <v>732</v>
      </c>
      <c r="M1083" s="54"/>
      <c r="N1083" s="54"/>
      <c r="O1083" s="336"/>
      <c r="P1083" s="334"/>
      <c r="Q1083" s="335"/>
      <c r="R1083" s="336"/>
      <c r="U1083" s="337"/>
    </row>
    <row r="1084" spans="1:21" ht="30" customHeight="1" thickBot="1" x14ac:dyDescent="0.3">
      <c r="A1084" s="1180"/>
      <c r="B1084" s="1181"/>
      <c r="C1084" s="1181"/>
      <c r="D1084" s="1181"/>
      <c r="E1084" s="1181"/>
      <c r="F1084" s="1181"/>
      <c r="G1084" s="1181"/>
      <c r="H1084" s="1181"/>
      <c r="I1084" s="1181"/>
      <c r="J1084" s="1181"/>
      <c r="K1084" s="1181"/>
      <c r="L1084" s="1182"/>
      <c r="M1084" s="54"/>
      <c r="N1084" s="54"/>
      <c r="O1084" s="336"/>
      <c r="P1084" s="334"/>
      <c r="Q1084" s="335"/>
      <c r="R1084" s="336"/>
      <c r="U1084" s="337"/>
    </row>
    <row r="1085" spans="1:21" ht="45" customHeight="1" x14ac:dyDescent="0.25">
      <c r="A1085" s="327" t="s">
        <v>5</v>
      </c>
      <c r="B1085" s="328">
        <v>1760</v>
      </c>
      <c r="C1085" s="1364" t="s">
        <v>801</v>
      </c>
      <c r="D1085" s="1365"/>
      <c r="E1085" s="331" t="s">
        <v>8</v>
      </c>
      <c r="F1085" s="558" t="s">
        <v>732</v>
      </c>
      <c r="G1085" s="346" t="s">
        <v>733</v>
      </c>
      <c r="H1085" s="711">
        <v>4</v>
      </c>
      <c r="I1085" s="331" t="s">
        <v>10</v>
      </c>
      <c r="J1085" s="1339" t="s">
        <v>802</v>
      </c>
      <c r="K1085" s="1339"/>
      <c r="L1085" s="1340"/>
      <c r="M1085" s="54"/>
      <c r="N1085" s="54"/>
      <c r="O1085" s="336"/>
      <c r="P1085" s="334"/>
      <c r="Q1085" s="335"/>
      <c r="R1085" s="336"/>
      <c r="U1085" s="337"/>
    </row>
    <row r="1086" spans="1:21" ht="30" customHeight="1" x14ac:dyDescent="0.25">
      <c r="A1086" s="356" t="s">
        <v>735</v>
      </c>
      <c r="B1086" s="1222" t="s">
        <v>326</v>
      </c>
      <c r="C1086" s="1235"/>
      <c r="D1086" s="1223"/>
      <c r="E1086" s="577" t="s">
        <v>116</v>
      </c>
      <c r="F1086" s="577" t="s">
        <v>117</v>
      </c>
      <c r="G1086" s="1194" t="s">
        <v>118</v>
      </c>
      <c r="H1086" s="1195"/>
      <c r="I1086" s="633" t="s">
        <v>296</v>
      </c>
      <c r="J1086" s="633"/>
      <c r="K1086" s="1236" t="s">
        <v>285</v>
      </c>
      <c r="L1086" s="1237"/>
      <c r="M1086" s="54"/>
      <c r="N1086" s="54"/>
      <c r="O1086" s="336"/>
      <c r="P1086" s="334"/>
      <c r="Q1086" s="335"/>
      <c r="R1086" s="336"/>
      <c r="U1086" s="337"/>
    </row>
    <row r="1087" spans="1:21" ht="30" customHeight="1" x14ac:dyDescent="0.25">
      <c r="A1087" s="365">
        <v>85110</v>
      </c>
      <c r="B1087" s="1209" t="s">
        <v>803</v>
      </c>
      <c r="C1087" s="1210"/>
      <c r="D1087" s="1211"/>
      <c r="E1087" s="256">
        <f>+Q945/9</f>
        <v>8.1111111111111107</v>
      </c>
      <c r="F1087" s="365" t="s">
        <v>205</v>
      </c>
      <c r="G1087" s="753">
        <v>481</v>
      </c>
      <c r="H1087" s="695" t="s">
        <v>737</v>
      </c>
      <c r="I1087" s="286">
        <v>0.9405</v>
      </c>
      <c r="J1087" s="706"/>
      <c r="K1087" s="247">
        <f>+E1087*G1087*I1087</f>
        <v>3669.3085000000001</v>
      </c>
      <c r="L1087" s="365" t="s">
        <v>732</v>
      </c>
      <c r="M1087" s="54"/>
      <c r="N1087" s="54"/>
      <c r="O1087" s="336"/>
      <c r="P1087" s="334"/>
      <c r="Q1087" s="335"/>
      <c r="R1087" s="336"/>
      <c r="U1087" s="337"/>
    </row>
    <row r="1088" spans="1:21" ht="30" customHeight="1" x14ac:dyDescent="0.25">
      <c r="A1088" s="365">
        <v>93410</v>
      </c>
      <c r="B1088" s="1209" t="s">
        <v>804</v>
      </c>
      <c r="C1088" s="1210"/>
      <c r="D1088" s="1211"/>
      <c r="E1088" s="256">
        <f>+Q942</f>
        <v>8.6999999999999993</v>
      </c>
      <c r="F1088" s="661" t="s">
        <v>25</v>
      </c>
      <c r="G1088" s="753">
        <f>1936/4</f>
        <v>484</v>
      </c>
      <c r="H1088" s="695" t="s">
        <v>743</v>
      </c>
      <c r="I1088" s="286">
        <v>0.9405</v>
      </c>
      <c r="J1088" s="365"/>
      <c r="K1088" s="247">
        <f>+E1088*G1088*I1088</f>
        <v>3960.2573999999995</v>
      </c>
      <c r="L1088" s="365" t="s">
        <v>732</v>
      </c>
      <c r="M1088" s="54"/>
      <c r="N1088" s="54"/>
      <c r="O1088" s="336"/>
      <c r="P1088" s="334"/>
      <c r="Q1088" s="335"/>
      <c r="R1088" s="336"/>
      <c r="U1088" s="337"/>
    </row>
    <row r="1089" spans="1:21" ht="30" customHeight="1" x14ac:dyDescent="0.25">
      <c r="A1089" s="365">
        <v>93210</v>
      </c>
      <c r="B1089" s="1209" t="s">
        <v>805</v>
      </c>
      <c r="C1089" s="1210"/>
      <c r="D1089" s="1211"/>
      <c r="E1089" s="256">
        <f>+Q944</f>
        <v>48.6</v>
      </c>
      <c r="F1089" s="661" t="s">
        <v>25</v>
      </c>
      <c r="G1089" s="753">
        <f>327/4</f>
        <v>81.75</v>
      </c>
      <c r="H1089" s="695" t="s">
        <v>743</v>
      </c>
      <c r="I1089" s="286">
        <v>0.9405</v>
      </c>
      <c r="J1089" s="365"/>
      <c r="K1089" s="247">
        <f>+E1089*G1089*I1089</f>
        <v>3736.6535250000002</v>
      </c>
      <c r="L1089" s="365" t="s">
        <v>732</v>
      </c>
      <c r="M1089" s="54"/>
      <c r="N1089" s="54"/>
      <c r="O1089" s="336"/>
      <c r="P1089" s="334"/>
      <c r="Q1089" s="335"/>
      <c r="R1089" s="336"/>
      <c r="U1089" s="337"/>
    </row>
    <row r="1090" spans="1:21" ht="30" customHeight="1" x14ac:dyDescent="0.25">
      <c r="A1090" s="1172" t="s">
        <v>745</v>
      </c>
      <c r="B1090" s="1173"/>
      <c r="C1090" s="1173"/>
      <c r="D1090" s="1174"/>
      <c r="E1090" s="247"/>
      <c r="F1090" s="365"/>
      <c r="G1090" s="366"/>
      <c r="H1090" s="662"/>
      <c r="I1090" s="365"/>
      <c r="J1090" s="365" t="s">
        <v>408</v>
      </c>
      <c r="K1090" s="247">
        <f>SUM(K1087:K1089)</f>
        <v>11366.219424999999</v>
      </c>
      <c r="L1090" s="365" t="s">
        <v>732</v>
      </c>
      <c r="M1090" s="54"/>
      <c r="N1090" s="54"/>
      <c r="O1090" s="336"/>
      <c r="P1090" s="334"/>
      <c r="Q1090" s="335"/>
      <c r="R1090" s="336"/>
      <c r="U1090" s="337"/>
    </row>
    <row r="1091" spans="1:21" ht="30" customHeight="1" thickBot="1" x14ac:dyDescent="0.3">
      <c r="A1091" s="1336"/>
      <c r="B1091" s="1337"/>
      <c r="C1091" s="1337"/>
      <c r="D1091" s="1338"/>
      <c r="E1091" s="366"/>
      <c r="F1091" s="366"/>
      <c r="G1091" s="580" t="s">
        <v>306</v>
      </c>
      <c r="H1091" s="366"/>
      <c r="I1091" s="366"/>
      <c r="J1091" s="521">
        <f>VLOOKUP(B1085,'Mil Cost Premiums for PUCs'!$A$4:$R$277,18,FALSE)</f>
        <v>1.0485669999999998</v>
      </c>
      <c r="K1091" s="246">
        <f>+K1090*J1091</f>
        <v>11918.242603813973</v>
      </c>
      <c r="L1091" s="365" t="s">
        <v>732</v>
      </c>
      <c r="M1091" s="54"/>
      <c r="N1091" s="54"/>
      <c r="O1091" s="336"/>
      <c r="P1091" s="334"/>
      <c r="Q1091" s="335"/>
      <c r="R1091" s="336"/>
      <c r="U1091" s="337"/>
    </row>
    <row r="1092" spans="1:21" ht="30" customHeight="1" thickBot="1" x14ac:dyDescent="0.3">
      <c r="A1092" s="1180"/>
      <c r="B1092" s="1181"/>
      <c r="C1092" s="1181"/>
      <c r="D1092" s="1181"/>
      <c r="E1092" s="1181"/>
      <c r="F1092" s="1181"/>
      <c r="G1092" s="1181"/>
      <c r="H1092" s="1181"/>
      <c r="I1092" s="1181"/>
      <c r="J1092" s="1181"/>
      <c r="K1092" s="1181"/>
      <c r="L1092" s="1182"/>
      <c r="M1092" s="54"/>
      <c r="N1092" s="54"/>
      <c r="O1092" s="336"/>
      <c r="P1092" s="334"/>
      <c r="Q1092" s="335"/>
      <c r="R1092" s="336"/>
      <c r="U1092" s="337"/>
    </row>
    <row r="1093" spans="1:21" ht="60" customHeight="1" x14ac:dyDescent="0.25">
      <c r="A1093" s="327" t="s">
        <v>5</v>
      </c>
      <c r="B1093" s="328">
        <v>1761</v>
      </c>
      <c r="C1093" s="1251" t="s">
        <v>806</v>
      </c>
      <c r="D1093" s="1252"/>
      <c r="E1093" s="331" t="s">
        <v>8</v>
      </c>
      <c r="F1093" s="332" t="s">
        <v>732</v>
      </c>
      <c r="G1093" s="346" t="s">
        <v>733</v>
      </c>
      <c r="H1093" s="711">
        <v>4</v>
      </c>
      <c r="I1093" s="331" t="s">
        <v>10</v>
      </c>
      <c r="J1093" s="1220" t="s">
        <v>807</v>
      </c>
      <c r="K1093" s="1220"/>
      <c r="L1093" s="1221"/>
      <c r="M1093" s="54"/>
      <c r="N1093" s="54"/>
      <c r="O1093" s="336"/>
      <c r="P1093" s="334"/>
      <c r="Q1093" s="335"/>
      <c r="R1093" s="336"/>
      <c r="U1093" s="337"/>
    </row>
    <row r="1094" spans="1:21" ht="30" customHeight="1" x14ac:dyDescent="0.25">
      <c r="A1094" s="356" t="s">
        <v>735</v>
      </c>
      <c r="B1094" s="1222" t="s">
        <v>326</v>
      </c>
      <c r="C1094" s="1235"/>
      <c r="D1094" s="1223"/>
      <c r="E1094" s="577" t="s">
        <v>116</v>
      </c>
      <c r="F1094" s="577" t="s">
        <v>117</v>
      </c>
      <c r="G1094" s="1194" t="s">
        <v>118</v>
      </c>
      <c r="H1094" s="1195"/>
      <c r="I1094" s="633" t="s">
        <v>296</v>
      </c>
      <c r="J1094" s="633" t="s">
        <v>303</v>
      </c>
      <c r="K1094" s="1236" t="s">
        <v>285</v>
      </c>
      <c r="L1094" s="1237"/>
      <c r="M1094" s="54"/>
      <c r="N1094" s="54"/>
      <c r="O1094" s="336"/>
      <c r="P1094" s="334"/>
      <c r="Q1094" s="335"/>
      <c r="R1094" s="336"/>
      <c r="U1094" s="337"/>
    </row>
    <row r="1095" spans="1:21" ht="30" customHeight="1" x14ac:dyDescent="0.25">
      <c r="A1095" s="365" t="s">
        <v>339</v>
      </c>
      <c r="B1095" s="1209" t="s">
        <v>682</v>
      </c>
      <c r="C1095" s="1210"/>
      <c r="D1095" s="1211"/>
      <c r="E1095" s="255">
        <f>+Q923</f>
        <v>3269</v>
      </c>
      <c r="F1095" s="661" t="s">
        <v>76</v>
      </c>
      <c r="G1095" s="661"/>
      <c r="H1095" s="695"/>
      <c r="I1095" s="365">
        <f>+S923</f>
        <v>1.21</v>
      </c>
      <c r="J1095" s="706">
        <f>T923</f>
        <v>1</v>
      </c>
      <c r="K1095" s="247">
        <f>+E1095*J1095*I1095</f>
        <v>3955.49</v>
      </c>
      <c r="L1095" s="365" t="s">
        <v>732</v>
      </c>
      <c r="M1095" s="54"/>
      <c r="N1095" s="54"/>
      <c r="O1095" s="575"/>
      <c r="P1095" s="334"/>
      <c r="Q1095" s="335"/>
      <c r="R1095" s="336"/>
      <c r="U1095" s="337"/>
    </row>
    <row r="1096" spans="1:21" ht="30" customHeight="1" x14ac:dyDescent="0.25">
      <c r="A1096" s="365">
        <v>93410</v>
      </c>
      <c r="B1096" s="1209" t="s">
        <v>808</v>
      </c>
      <c r="C1096" s="1210"/>
      <c r="D1096" s="1211"/>
      <c r="E1096" s="256">
        <f>+Q942</f>
        <v>8.6999999999999993</v>
      </c>
      <c r="F1096" s="661" t="s">
        <v>25</v>
      </c>
      <c r="G1096" s="753">
        <f>2.6*4</f>
        <v>10.4</v>
      </c>
      <c r="H1096" s="695" t="s">
        <v>743</v>
      </c>
      <c r="I1096" s="286">
        <v>0.9405</v>
      </c>
      <c r="J1096" s="365"/>
      <c r="K1096" s="247">
        <f>+E1096*G1096*I1096</f>
        <v>85.096439999999987</v>
      </c>
      <c r="L1096" s="365" t="s">
        <v>732</v>
      </c>
      <c r="M1096" s="110"/>
      <c r="N1096" s="54"/>
      <c r="O1096" s="336"/>
      <c r="P1096" s="334"/>
      <c r="Q1096" s="335"/>
      <c r="R1096" s="336"/>
      <c r="U1096" s="337"/>
    </row>
    <row r="1097" spans="1:21" ht="30" customHeight="1" x14ac:dyDescent="0.25">
      <c r="A1097" s="365">
        <v>93410</v>
      </c>
      <c r="B1097" s="1209" t="s">
        <v>809</v>
      </c>
      <c r="C1097" s="1210"/>
      <c r="D1097" s="1211"/>
      <c r="E1097" s="256">
        <f>+Q942</f>
        <v>8.6999999999999993</v>
      </c>
      <c r="F1097" s="661" t="s">
        <v>25</v>
      </c>
      <c r="G1097" s="753">
        <v>26</v>
      </c>
      <c r="H1097" s="695" t="s">
        <v>743</v>
      </c>
      <c r="I1097" s="286">
        <v>0.9405</v>
      </c>
      <c r="J1097" s="365"/>
      <c r="K1097" s="247">
        <f>+E1097*G1097*I1097</f>
        <v>212.74109999999999</v>
      </c>
      <c r="L1097" s="365" t="s">
        <v>732</v>
      </c>
      <c r="N1097" s="54"/>
      <c r="O1097" s="336"/>
      <c r="P1097" s="334"/>
      <c r="Q1097" s="335"/>
      <c r="R1097" s="336"/>
      <c r="U1097" s="337"/>
    </row>
    <row r="1098" spans="1:21" ht="30" customHeight="1" x14ac:dyDescent="0.25">
      <c r="A1098" s="365">
        <v>93210</v>
      </c>
      <c r="B1098" s="1209" t="s">
        <v>810</v>
      </c>
      <c r="C1098" s="1210"/>
      <c r="D1098" s="1211"/>
      <c r="E1098" s="256">
        <f>+Q944</f>
        <v>48.6</v>
      </c>
      <c r="F1098" s="661" t="s">
        <v>25</v>
      </c>
      <c r="G1098" s="753">
        <v>26</v>
      </c>
      <c r="H1098" s="695" t="s">
        <v>743</v>
      </c>
      <c r="I1098" s="286">
        <v>0.9405</v>
      </c>
      <c r="J1098" s="365"/>
      <c r="K1098" s="247">
        <f>+E1098*G1098*I1098</f>
        <v>1188.4158000000002</v>
      </c>
      <c r="L1098" s="365" t="s">
        <v>732</v>
      </c>
      <c r="M1098" s="54"/>
      <c r="O1098" s="336"/>
      <c r="P1098" s="334"/>
      <c r="Q1098" s="335"/>
      <c r="R1098" s="336"/>
      <c r="U1098" s="337"/>
    </row>
    <row r="1099" spans="1:21" ht="30" customHeight="1" x14ac:dyDescent="0.25">
      <c r="A1099" s="1172" t="s">
        <v>745</v>
      </c>
      <c r="B1099" s="1173"/>
      <c r="C1099" s="1173"/>
      <c r="D1099" s="1174"/>
      <c r="E1099" s="247"/>
      <c r="F1099" s="365"/>
      <c r="G1099" s="366"/>
      <c r="H1099" s="662"/>
      <c r="I1099" s="365"/>
      <c r="J1099" s="365" t="s">
        <v>408</v>
      </c>
      <c r="K1099" s="247">
        <f>SUM(K1095:K1098)</f>
        <v>5441.7433399999991</v>
      </c>
      <c r="L1099" s="365" t="s">
        <v>732</v>
      </c>
      <c r="M1099" s="54"/>
      <c r="N1099" s="54"/>
      <c r="O1099" s="336"/>
      <c r="P1099" s="334"/>
      <c r="Q1099" s="335"/>
      <c r="R1099" s="336"/>
      <c r="U1099" s="337"/>
    </row>
    <row r="1100" spans="1:21" ht="30" customHeight="1" thickBot="1" x14ac:dyDescent="0.3">
      <c r="A1100" s="1336"/>
      <c r="B1100" s="1337"/>
      <c r="C1100" s="1337"/>
      <c r="D1100" s="1338"/>
      <c r="E1100" s="366"/>
      <c r="F1100" s="366"/>
      <c r="G1100" s="580" t="s">
        <v>306</v>
      </c>
      <c r="H1100" s="366"/>
      <c r="I1100" s="366"/>
      <c r="J1100" s="521">
        <f>VLOOKUP(B1093,'Mil Cost Premiums for PUCs'!$A$4:$R$277,18,FALSE)</f>
        <v>1.0485669999999998</v>
      </c>
      <c r="K1100" s="246">
        <f>+K1099*J1100</f>
        <v>5706.0324887937777</v>
      </c>
      <c r="L1100" s="365" t="s">
        <v>732</v>
      </c>
      <c r="M1100" s="54"/>
      <c r="N1100" s="54"/>
      <c r="O1100" s="336"/>
      <c r="P1100" s="334"/>
      <c r="Q1100" s="335"/>
      <c r="R1100" s="336"/>
      <c r="U1100" s="337"/>
    </row>
    <row r="1101" spans="1:21" ht="30" customHeight="1" thickBot="1" x14ac:dyDescent="0.3">
      <c r="A1101" s="1180"/>
      <c r="B1101" s="1181"/>
      <c r="C1101" s="1181"/>
      <c r="D1101" s="1181"/>
      <c r="E1101" s="1181"/>
      <c r="F1101" s="1181"/>
      <c r="G1101" s="1181"/>
      <c r="H1101" s="1181"/>
      <c r="I1101" s="1181"/>
      <c r="J1101" s="1181"/>
      <c r="K1101" s="1181"/>
      <c r="L1101" s="1182"/>
      <c r="M1101" s="54"/>
      <c r="N1101" s="54"/>
      <c r="O1101" s="336"/>
      <c r="P1101" s="334"/>
      <c r="Q1101" s="335"/>
      <c r="R1101" s="336"/>
      <c r="U1101" s="337"/>
    </row>
    <row r="1102" spans="1:21" ht="45" customHeight="1" x14ac:dyDescent="0.25">
      <c r="A1102" s="327" t="s">
        <v>5</v>
      </c>
      <c r="B1102" s="328">
        <v>1762</v>
      </c>
      <c r="C1102" s="1294" t="s">
        <v>811</v>
      </c>
      <c r="D1102" s="1295"/>
      <c r="E1102" s="331" t="s">
        <v>8</v>
      </c>
      <c r="F1102" s="332" t="s">
        <v>812</v>
      </c>
      <c r="G1102" s="346" t="s">
        <v>733</v>
      </c>
      <c r="H1102" s="711">
        <v>2</v>
      </c>
      <c r="I1102" s="331" t="s">
        <v>10</v>
      </c>
      <c r="J1102" s="1339" t="s">
        <v>813</v>
      </c>
      <c r="K1102" s="1339"/>
      <c r="L1102" s="1340"/>
      <c r="M1102" s="54"/>
      <c r="N1102" s="54"/>
      <c r="O1102" s="336"/>
      <c r="P1102" s="334"/>
      <c r="Q1102" s="335"/>
      <c r="R1102" s="336"/>
      <c r="U1102" s="337"/>
    </row>
    <row r="1103" spans="1:21" ht="30" customHeight="1" x14ac:dyDescent="0.25">
      <c r="A1103" s="356" t="s">
        <v>282</v>
      </c>
      <c r="B1103" s="1222" t="s">
        <v>326</v>
      </c>
      <c r="C1103" s="1235"/>
      <c r="D1103" s="1223"/>
      <c r="E1103" s="577" t="s">
        <v>116</v>
      </c>
      <c r="F1103" s="577" t="s">
        <v>117</v>
      </c>
      <c r="G1103" s="1194" t="s">
        <v>118</v>
      </c>
      <c r="H1103" s="1195"/>
      <c r="I1103" s="633" t="s">
        <v>296</v>
      </c>
      <c r="J1103" s="633"/>
      <c r="K1103" s="1236" t="s">
        <v>285</v>
      </c>
      <c r="L1103" s="1237"/>
      <c r="M1103" s="54"/>
      <c r="N1103" s="54"/>
      <c r="O1103" s="336"/>
      <c r="P1103" s="334"/>
      <c r="Q1103" s="335"/>
      <c r="R1103" s="336"/>
      <c r="U1103" s="337"/>
    </row>
    <row r="1104" spans="1:21" ht="30" customHeight="1" x14ac:dyDescent="0.25">
      <c r="A1104" s="365">
        <v>85110</v>
      </c>
      <c r="B1104" s="1209" t="s">
        <v>814</v>
      </c>
      <c r="C1104" s="1210"/>
      <c r="D1104" s="1211"/>
      <c r="E1104" s="256">
        <f>+Q941/9</f>
        <v>6.8888888888888893</v>
      </c>
      <c r="F1104" s="365" t="s">
        <v>205</v>
      </c>
      <c r="G1104" s="753">
        <v>128</v>
      </c>
      <c r="H1104" s="695" t="s">
        <v>815</v>
      </c>
      <c r="I1104" s="782">
        <f>+'2022 MILCON Inflation Table'!F21</f>
        <v>0.94047825952836139</v>
      </c>
      <c r="J1104" s="365"/>
      <c r="K1104" s="247">
        <f>+E1104*G1104*I1104</f>
        <v>829.29282973523073</v>
      </c>
      <c r="L1104" s="365" t="s">
        <v>812</v>
      </c>
      <c r="M1104" s="54"/>
      <c r="N1104" s="54"/>
      <c r="O1104" s="336"/>
      <c r="P1104" s="334"/>
      <c r="Q1104" s="335"/>
      <c r="R1104" s="336"/>
      <c r="U1104" s="337"/>
    </row>
    <row r="1105" spans="1:21" ht="30" customHeight="1" x14ac:dyDescent="0.25">
      <c r="A1105" s="365">
        <v>93410</v>
      </c>
      <c r="B1105" s="1209" t="s">
        <v>816</v>
      </c>
      <c r="C1105" s="1210"/>
      <c r="D1105" s="1211"/>
      <c r="E1105" s="256">
        <f>+Q942</f>
        <v>8.6999999999999993</v>
      </c>
      <c r="F1105" s="661" t="s">
        <v>25</v>
      </c>
      <c r="G1105" s="753">
        <v>52</v>
      </c>
      <c r="H1105" s="695" t="s">
        <v>817</v>
      </c>
      <c r="I1105" s="782">
        <f>+I1104</f>
        <v>0.94047825952836139</v>
      </c>
      <c r="J1105" s="365"/>
      <c r="K1105" s="247">
        <f>+E1105*G1105*I1105</f>
        <v>425.47236461063068</v>
      </c>
      <c r="L1105" s="365" t="s">
        <v>812</v>
      </c>
      <c r="M1105" s="54"/>
      <c r="N1105" s="54"/>
      <c r="O1105" s="336"/>
      <c r="P1105" s="334"/>
      <c r="Q1105" s="335"/>
      <c r="R1105" s="336"/>
      <c r="U1105" s="337"/>
    </row>
    <row r="1106" spans="1:21" ht="30" customHeight="1" x14ac:dyDescent="0.25">
      <c r="A1106" s="365">
        <v>93210</v>
      </c>
      <c r="B1106" s="1209" t="s">
        <v>818</v>
      </c>
      <c r="C1106" s="1210"/>
      <c r="D1106" s="1211"/>
      <c r="E1106" s="256">
        <f>+Q944</f>
        <v>48.6</v>
      </c>
      <c r="F1106" s="661" t="s">
        <v>25</v>
      </c>
      <c r="G1106" s="753">
        <v>20</v>
      </c>
      <c r="H1106" s="695" t="s">
        <v>817</v>
      </c>
      <c r="I1106" s="782">
        <f>+I1105</f>
        <v>0.94047825952836139</v>
      </c>
      <c r="J1106" s="365"/>
      <c r="K1106" s="247">
        <f>+E1106*G1106*I1106</f>
        <v>914.14486826156724</v>
      </c>
      <c r="L1106" s="365" t="s">
        <v>812</v>
      </c>
      <c r="M1106" s="54"/>
      <c r="N1106" s="54"/>
      <c r="O1106" s="336"/>
      <c r="P1106" s="334"/>
      <c r="Q1106" s="335"/>
      <c r="R1106" s="336"/>
      <c r="U1106" s="337"/>
    </row>
    <row r="1107" spans="1:21" ht="30" customHeight="1" x14ac:dyDescent="0.25">
      <c r="A1107" s="1172" t="s">
        <v>745</v>
      </c>
      <c r="B1107" s="1173"/>
      <c r="C1107" s="1173"/>
      <c r="D1107" s="1174"/>
      <c r="E1107" s="247"/>
      <c r="F1107" s="365"/>
      <c r="G1107" s="366"/>
      <c r="H1107" s="662"/>
      <c r="I1107" s="365"/>
      <c r="J1107" s="365" t="s">
        <v>408</v>
      </c>
      <c r="K1107" s="247">
        <f>SUM(K1104:K1106)</f>
        <v>2168.9100626074287</v>
      </c>
      <c r="L1107" s="365" t="s">
        <v>812</v>
      </c>
      <c r="M1107" s="54"/>
      <c r="N1107" s="54"/>
      <c r="O1107" s="336"/>
      <c r="P1107" s="334"/>
      <c r="Q1107" s="335"/>
      <c r="R1107" s="336"/>
      <c r="U1107" s="337"/>
    </row>
    <row r="1108" spans="1:21" ht="30" customHeight="1" thickBot="1" x14ac:dyDescent="0.3">
      <c r="A1108" s="1336"/>
      <c r="B1108" s="1337"/>
      <c r="C1108" s="1337"/>
      <c r="D1108" s="1338"/>
      <c r="E1108" s="366"/>
      <c r="F1108" s="366"/>
      <c r="G1108" s="366"/>
      <c r="H1108" s="366"/>
      <c r="I1108" s="366"/>
      <c r="J1108" s="365" t="s">
        <v>72</v>
      </c>
      <c r="K1108" s="246">
        <f>+K1107</f>
        <v>2168.9100626074287</v>
      </c>
      <c r="L1108" s="365" t="s">
        <v>812</v>
      </c>
      <c r="M1108" s="54"/>
      <c r="N1108" s="54"/>
      <c r="O1108" s="336"/>
      <c r="P1108" s="334"/>
      <c r="Q1108" s="335"/>
      <c r="R1108" s="336"/>
      <c r="U1108" s="337"/>
    </row>
    <row r="1109" spans="1:21" ht="36.75" customHeight="1" x14ac:dyDescent="0.25">
      <c r="A1109" s="1224" t="s">
        <v>308</v>
      </c>
      <c r="B1109" s="1225"/>
      <c r="C1109" s="1226"/>
      <c r="D1109" s="1230" t="s">
        <v>819</v>
      </c>
      <c r="E1109" s="1231"/>
      <c r="F1109" s="1231"/>
      <c r="G1109" s="1231"/>
      <c r="H1109" s="1231"/>
      <c r="I1109" s="1231"/>
      <c r="J1109" s="1231"/>
      <c r="K1109" s="1231"/>
      <c r="L1109" s="1232"/>
      <c r="M1109" s="54"/>
      <c r="N1109" s="54"/>
      <c r="O1109" s="336"/>
      <c r="P1109" s="334"/>
      <c r="Q1109" s="335"/>
      <c r="R1109" s="336"/>
      <c r="U1109" s="337"/>
    </row>
    <row r="1110" spans="1:21" ht="30" customHeight="1" x14ac:dyDescent="0.25">
      <c r="A1110" s="1224" t="s">
        <v>310</v>
      </c>
      <c r="B1110" s="1225"/>
      <c r="C1110" s="1226"/>
      <c r="D1110" s="1230" t="s">
        <v>820</v>
      </c>
      <c r="E1110" s="1231"/>
      <c r="F1110" s="1231"/>
      <c r="G1110" s="1231"/>
      <c r="H1110" s="1231"/>
      <c r="I1110" s="1231"/>
      <c r="J1110" s="1231"/>
      <c r="K1110" s="1231"/>
      <c r="L1110" s="1232"/>
      <c r="M1110" s="54"/>
      <c r="N1110" s="54"/>
      <c r="O1110" s="336"/>
      <c r="P1110" s="334"/>
      <c r="Q1110" s="335"/>
      <c r="R1110" s="336"/>
      <c r="U1110" s="337"/>
    </row>
    <row r="1111" spans="1:21" ht="45" customHeight="1" x14ac:dyDescent="0.25">
      <c r="A1111" s="1224" t="s">
        <v>821</v>
      </c>
      <c r="B1111" s="1225"/>
      <c r="C1111" s="1226"/>
      <c r="D1111" s="1230" t="s">
        <v>822</v>
      </c>
      <c r="E1111" s="1231"/>
      <c r="F1111" s="1231"/>
      <c r="G1111" s="1231"/>
      <c r="H1111" s="1231"/>
      <c r="I1111" s="1231"/>
      <c r="J1111" s="1231"/>
      <c r="K1111" s="1231"/>
      <c r="L1111" s="1232"/>
      <c r="M1111" s="54"/>
      <c r="N1111" s="54"/>
      <c r="O1111" s="336"/>
      <c r="P1111" s="334"/>
      <c r="Q1111" s="335"/>
      <c r="R1111" s="336"/>
      <c r="U1111" s="337"/>
    </row>
    <row r="1112" spans="1:21" ht="30" customHeight="1" x14ac:dyDescent="0.25">
      <c r="A1112" s="1224" t="s">
        <v>314</v>
      </c>
      <c r="B1112" s="1225"/>
      <c r="C1112" s="1226"/>
      <c r="D1112" s="1230" t="s">
        <v>823</v>
      </c>
      <c r="E1112" s="1231"/>
      <c r="F1112" s="1231"/>
      <c r="G1112" s="1231"/>
      <c r="H1112" s="1231"/>
      <c r="I1112" s="1231"/>
      <c r="J1112" s="1231"/>
      <c r="K1112" s="1231"/>
      <c r="L1112" s="1232"/>
      <c r="M1112" s="110"/>
      <c r="N1112" s="54"/>
      <c r="O1112" s="336"/>
      <c r="P1112" s="334"/>
      <c r="Q1112" s="335"/>
      <c r="R1112" s="336"/>
      <c r="U1112" s="337"/>
    </row>
    <row r="1113" spans="1:21" ht="30" customHeight="1" x14ac:dyDescent="0.25">
      <c r="A1113" s="1224" t="s">
        <v>316</v>
      </c>
      <c r="B1113" s="1225"/>
      <c r="C1113" s="1226"/>
      <c r="D1113" s="1230" t="s">
        <v>824</v>
      </c>
      <c r="E1113" s="1231"/>
      <c r="F1113" s="1231"/>
      <c r="G1113" s="1231"/>
      <c r="H1113" s="1231"/>
      <c r="I1113" s="1231"/>
      <c r="J1113" s="1231"/>
      <c r="K1113" s="1231"/>
      <c r="L1113" s="1232"/>
      <c r="N1113" s="54"/>
      <c r="P1113" s="334"/>
      <c r="Q1113" s="335"/>
      <c r="R1113" s="336"/>
      <c r="U1113" s="337"/>
    </row>
    <row r="1114" spans="1:21" ht="30" customHeight="1" x14ac:dyDescent="0.25">
      <c r="A1114" s="1224" t="s">
        <v>318</v>
      </c>
      <c r="B1114" s="1225"/>
      <c r="C1114" s="1226"/>
      <c r="D1114" s="1230" t="s">
        <v>825</v>
      </c>
      <c r="E1114" s="1231"/>
      <c r="F1114" s="1231"/>
      <c r="G1114" s="1231"/>
      <c r="H1114" s="1231"/>
      <c r="I1114" s="1231"/>
      <c r="J1114" s="1231"/>
      <c r="K1114" s="1231"/>
      <c r="L1114" s="1232"/>
      <c r="M1114" s="54"/>
      <c r="N1114" s="54"/>
      <c r="O1114" s="336"/>
      <c r="P1114" s="334"/>
      <c r="Q1114" s="335"/>
      <c r="R1114" s="336"/>
      <c r="U1114" s="337"/>
    </row>
    <row r="1115" spans="1:21" ht="30" customHeight="1" x14ac:dyDescent="0.25">
      <c r="A1115" s="1224" t="s">
        <v>320</v>
      </c>
      <c r="B1115" s="1225"/>
      <c r="C1115" s="1226"/>
      <c r="D1115" s="1230" t="s">
        <v>826</v>
      </c>
      <c r="E1115" s="1231"/>
      <c r="F1115" s="1231"/>
      <c r="G1115" s="1231"/>
      <c r="H1115" s="1231"/>
      <c r="I1115" s="1231"/>
      <c r="J1115" s="1231"/>
      <c r="K1115" s="1231"/>
      <c r="L1115" s="1232"/>
      <c r="M1115" s="54"/>
      <c r="N1115" s="54"/>
      <c r="O1115" s="781"/>
      <c r="P1115" s="334"/>
      <c r="Q1115" s="335"/>
      <c r="R1115" s="336"/>
      <c r="U1115" s="337"/>
    </row>
    <row r="1116" spans="1:21" ht="45" customHeight="1" x14ac:dyDescent="0.25">
      <c r="A1116" s="1224" t="s">
        <v>827</v>
      </c>
      <c r="B1116" s="1225"/>
      <c r="C1116" s="1226"/>
      <c r="D1116" s="1206" t="s">
        <v>828</v>
      </c>
      <c r="E1116" s="1207"/>
      <c r="F1116" s="1207"/>
      <c r="G1116" s="1207"/>
      <c r="H1116" s="1207"/>
      <c r="I1116" s="1207"/>
      <c r="J1116" s="1207"/>
      <c r="K1116" s="1207"/>
      <c r="L1116" s="1208"/>
      <c r="M1116" s="54"/>
      <c r="O1116" s="781"/>
      <c r="P1116" s="334"/>
      <c r="Q1116" s="335"/>
      <c r="R1116" s="336"/>
      <c r="U1116" s="337"/>
    </row>
    <row r="1117" spans="1:21" ht="30" customHeight="1" thickBot="1" x14ac:dyDescent="0.3">
      <c r="A1117" s="1256" t="s">
        <v>350</v>
      </c>
      <c r="B1117" s="1257"/>
      <c r="C1117" s="1258"/>
      <c r="D1117" s="1291" t="s">
        <v>829</v>
      </c>
      <c r="E1117" s="1292"/>
      <c r="F1117" s="1292"/>
      <c r="G1117" s="1292"/>
      <c r="H1117" s="1292"/>
      <c r="I1117" s="1292"/>
      <c r="J1117" s="1292"/>
      <c r="K1117" s="1292"/>
      <c r="L1117" s="1293"/>
      <c r="M1117" s="54"/>
      <c r="N1117" s="54"/>
      <c r="O1117" s="336"/>
      <c r="P1117" s="334"/>
      <c r="Q1117" s="335"/>
      <c r="R1117" s="336"/>
      <c r="U1117" s="337"/>
    </row>
    <row r="1118" spans="1:21" ht="30" customHeight="1" thickBot="1" x14ac:dyDescent="0.3">
      <c r="A1118" s="1180"/>
      <c r="B1118" s="1181"/>
      <c r="C1118" s="1181"/>
      <c r="D1118" s="1181"/>
      <c r="E1118" s="1181"/>
      <c r="F1118" s="1181"/>
      <c r="G1118" s="1181"/>
      <c r="H1118" s="1181"/>
      <c r="I1118" s="1181"/>
      <c r="J1118" s="1181"/>
      <c r="K1118" s="1181"/>
      <c r="L1118" s="1182"/>
      <c r="M1118" s="54"/>
      <c r="N1118" s="54"/>
      <c r="O1118" s="336"/>
      <c r="P1118" s="334"/>
      <c r="Q1118" s="335"/>
      <c r="R1118" s="336"/>
      <c r="U1118" s="337"/>
    </row>
    <row r="1119" spans="1:21" ht="60" customHeight="1" x14ac:dyDescent="0.25">
      <c r="A1119" s="327" t="s">
        <v>5</v>
      </c>
      <c r="B1119" s="328">
        <v>1763</v>
      </c>
      <c r="C1119" s="1251" t="s">
        <v>830</v>
      </c>
      <c r="D1119" s="1252"/>
      <c r="E1119" s="331" t="s">
        <v>8</v>
      </c>
      <c r="F1119" s="558" t="s">
        <v>732</v>
      </c>
      <c r="G1119" s="346" t="s">
        <v>831</v>
      </c>
      <c r="H1119" s="711">
        <v>1</v>
      </c>
      <c r="I1119" s="331" t="s">
        <v>10</v>
      </c>
      <c r="J1119" s="1220" t="s">
        <v>832</v>
      </c>
      <c r="K1119" s="1220"/>
      <c r="L1119" s="1221"/>
      <c r="M1119" s="54"/>
      <c r="N1119" s="54"/>
      <c r="O1119" s="336"/>
      <c r="P1119" s="334"/>
      <c r="Q1119" s="335"/>
      <c r="R1119" s="336"/>
      <c r="U1119" s="337"/>
    </row>
    <row r="1120" spans="1:21" ht="30" customHeight="1" x14ac:dyDescent="0.25">
      <c r="A1120" s="356" t="s">
        <v>735</v>
      </c>
      <c r="B1120" s="1222" t="s">
        <v>326</v>
      </c>
      <c r="C1120" s="1235"/>
      <c r="D1120" s="1223"/>
      <c r="E1120" s="577" t="s">
        <v>116</v>
      </c>
      <c r="F1120" s="577" t="s">
        <v>117</v>
      </c>
      <c r="G1120" s="1194" t="s">
        <v>118</v>
      </c>
      <c r="H1120" s="1195"/>
      <c r="I1120" s="356" t="s">
        <v>296</v>
      </c>
      <c r="J1120" s="356" t="s">
        <v>303</v>
      </c>
      <c r="K1120" s="1236" t="s">
        <v>285</v>
      </c>
      <c r="L1120" s="1237"/>
      <c r="M1120" s="54"/>
      <c r="N1120" s="54"/>
      <c r="O1120" s="336"/>
      <c r="P1120" s="334"/>
      <c r="Q1120" s="335"/>
      <c r="R1120" s="336"/>
      <c r="U1120" s="337"/>
    </row>
    <row r="1121" spans="1:21" ht="30" customHeight="1" x14ac:dyDescent="0.25">
      <c r="A1121" s="356"/>
      <c r="B1121" s="1269" t="s">
        <v>833</v>
      </c>
      <c r="C1121" s="1269"/>
      <c r="D1121" s="1269"/>
      <c r="E1121" s="577"/>
      <c r="F1121" s="577"/>
      <c r="G1121" s="750"/>
      <c r="H1121" s="751"/>
      <c r="I1121" s="783"/>
      <c r="J1121" s="783"/>
      <c r="K1121" s="577"/>
      <c r="L1121" s="577"/>
      <c r="M1121" s="54"/>
      <c r="N1121" s="54"/>
      <c r="O1121" s="336"/>
      <c r="P1121" s="334"/>
      <c r="Q1121" s="335"/>
      <c r="R1121" s="336"/>
      <c r="U1121" s="337"/>
    </row>
    <row r="1122" spans="1:21" ht="30" customHeight="1" x14ac:dyDescent="0.25">
      <c r="A1122" s="365" t="s">
        <v>684</v>
      </c>
      <c r="B1122" s="1281" t="s">
        <v>834</v>
      </c>
      <c r="C1122" s="1281"/>
      <c r="D1122" s="1281"/>
      <c r="E1122" s="256">
        <f>+Q925</f>
        <v>11.77</v>
      </c>
      <c r="F1122" s="365" t="s">
        <v>205</v>
      </c>
      <c r="G1122" s="753">
        <f>9*468</f>
        <v>4212</v>
      </c>
      <c r="H1122" s="695" t="s">
        <v>737</v>
      </c>
      <c r="I1122" s="706">
        <f>+S925</f>
        <v>1.23</v>
      </c>
      <c r="J1122" s="706">
        <f>+T925</f>
        <v>1</v>
      </c>
      <c r="K1122" s="247">
        <f t="shared" ref="K1122:K1130" si="9">+E1122*G1122*I1122*J1122</f>
        <v>60977.545199999993</v>
      </c>
      <c r="L1122" s="365" t="s">
        <v>732</v>
      </c>
      <c r="M1122" s="54"/>
      <c r="N1122" s="54"/>
      <c r="O1122" s="336"/>
      <c r="P1122" s="334"/>
      <c r="Q1122" s="335"/>
      <c r="R1122" s="336"/>
      <c r="U1122" s="337"/>
    </row>
    <row r="1123" spans="1:21" ht="30" customHeight="1" x14ac:dyDescent="0.25">
      <c r="A1123" s="365" t="s">
        <v>533</v>
      </c>
      <c r="B1123" s="1281" t="s">
        <v>835</v>
      </c>
      <c r="C1123" s="1281"/>
      <c r="D1123" s="1281"/>
      <c r="E1123" s="256">
        <f>+Q926</f>
        <v>20.25</v>
      </c>
      <c r="F1123" s="365" t="s">
        <v>205</v>
      </c>
      <c r="G1123" s="753">
        <f>2153*2</f>
        <v>4306</v>
      </c>
      <c r="H1123" s="695" t="s">
        <v>737</v>
      </c>
      <c r="I1123" s="706">
        <f>+S926</f>
        <v>1.1200000000000001</v>
      </c>
      <c r="J1123" s="706">
        <f>+T926</f>
        <v>1</v>
      </c>
      <c r="K1123" s="247">
        <f t="shared" si="9"/>
        <v>97660.080000000016</v>
      </c>
      <c r="L1123" s="365" t="s">
        <v>732</v>
      </c>
      <c r="M1123" s="54"/>
      <c r="N1123" s="54"/>
      <c r="O1123" s="336"/>
      <c r="P1123" s="334"/>
      <c r="Q1123" s="335"/>
      <c r="R1123" s="336"/>
      <c r="U1123" s="337"/>
    </row>
    <row r="1124" spans="1:21" ht="30" customHeight="1" x14ac:dyDescent="0.25">
      <c r="A1124" s="365" t="s">
        <v>301</v>
      </c>
      <c r="B1124" s="1281" t="s">
        <v>694</v>
      </c>
      <c r="C1124" s="1281"/>
      <c r="D1124" s="1281"/>
      <c r="E1124" s="256">
        <f>+Q929</f>
        <v>920</v>
      </c>
      <c r="F1124" s="661" t="s">
        <v>76</v>
      </c>
      <c r="G1124" s="753">
        <v>11</v>
      </c>
      <c r="H1124" s="695" t="s">
        <v>738</v>
      </c>
      <c r="I1124" s="706">
        <f>+S929</f>
        <v>1.1000000000000001</v>
      </c>
      <c r="J1124" s="706">
        <f>+T929</f>
        <v>1</v>
      </c>
      <c r="K1124" s="247">
        <f t="shared" si="9"/>
        <v>11132</v>
      </c>
      <c r="L1124" s="365" t="s">
        <v>732</v>
      </c>
      <c r="M1124" s="54"/>
      <c r="N1124" s="54"/>
      <c r="O1124" s="336"/>
      <c r="P1124" s="334"/>
      <c r="Q1124" s="335"/>
      <c r="R1124" s="336"/>
      <c r="U1124" s="337"/>
    </row>
    <row r="1125" spans="1:21" ht="30" customHeight="1" x14ac:dyDescent="0.25">
      <c r="A1125" s="365" t="s">
        <v>520</v>
      </c>
      <c r="B1125" s="1281" t="s">
        <v>836</v>
      </c>
      <c r="C1125" s="1281"/>
      <c r="D1125" s="1281"/>
      <c r="E1125" s="256">
        <f>+Q935</f>
        <v>21.1</v>
      </c>
      <c r="F1125" s="661" t="s">
        <v>40</v>
      </c>
      <c r="G1125" s="753">
        <f>656*2</f>
        <v>1312</v>
      </c>
      <c r="H1125" s="695" t="s">
        <v>740</v>
      </c>
      <c r="I1125" s="706">
        <f>+S935</f>
        <v>1.04</v>
      </c>
      <c r="J1125" s="706">
        <f>+T935</f>
        <v>1</v>
      </c>
      <c r="K1125" s="247">
        <f t="shared" si="9"/>
        <v>28790.528000000002</v>
      </c>
      <c r="L1125" s="365" t="s">
        <v>732</v>
      </c>
      <c r="M1125" s="54"/>
      <c r="N1125" s="54"/>
      <c r="O1125" s="336"/>
      <c r="P1125" s="334"/>
      <c r="Q1125" s="335"/>
      <c r="R1125" s="336"/>
      <c r="U1125" s="337"/>
    </row>
    <row r="1126" spans="1:21" ht="30" customHeight="1" x14ac:dyDescent="0.25">
      <c r="A1126" s="365" t="s">
        <v>520</v>
      </c>
      <c r="B1126" s="1281" t="s">
        <v>837</v>
      </c>
      <c r="C1126" s="1281"/>
      <c r="D1126" s="1281"/>
      <c r="E1126" s="256">
        <f>+Q936</f>
        <v>3227.5</v>
      </c>
      <c r="F1126" s="661" t="s">
        <v>76</v>
      </c>
      <c r="G1126" s="753">
        <v>2</v>
      </c>
      <c r="H1126" s="695" t="s">
        <v>748</v>
      </c>
      <c r="I1126" s="706">
        <f>+S936</f>
        <v>1.04</v>
      </c>
      <c r="J1126" s="706">
        <f>+T936</f>
        <v>1</v>
      </c>
      <c r="K1126" s="247">
        <f t="shared" si="9"/>
        <v>6713.2</v>
      </c>
      <c r="L1126" s="365" t="s">
        <v>732</v>
      </c>
      <c r="M1126" s="54"/>
      <c r="N1126" s="54"/>
      <c r="O1126" s="336"/>
      <c r="P1126" s="334"/>
      <c r="Q1126" s="335"/>
      <c r="R1126" s="336"/>
      <c r="U1126" s="337"/>
    </row>
    <row r="1127" spans="1:21" ht="30" customHeight="1" x14ac:dyDescent="0.25">
      <c r="A1127" s="365" t="s">
        <v>301</v>
      </c>
      <c r="B1127" s="1281" t="s">
        <v>796</v>
      </c>
      <c r="C1127" s="1281"/>
      <c r="D1127" s="1281"/>
      <c r="E1127" s="256">
        <f>+Q931</f>
        <v>1125</v>
      </c>
      <c r="F1127" s="661" t="s">
        <v>76</v>
      </c>
      <c r="G1127" s="753">
        <v>11</v>
      </c>
      <c r="H1127" s="695" t="s">
        <v>738</v>
      </c>
      <c r="I1127" s="706">
        <f t="shared" ref="I1127:J1129" si="10">+S931</f>
        <v>1.1000000000000001</v>
      </c>
      <c r="J1127" s="706">
        <f>+T931</f>
        <v>1</v>
      </c>
      <c r="K1127" s="247">
        <f t="shared" si="9"/>
        <v>13612.500000000002</v>
      </c>
      <c r="L1127" s="365" t="s">
        <v>732</v>
      </c>
      <c r="M1127" s="54"/>
      <c r="N1127" s="54"/>
      <c r="O1127" s="336"/>
      <c r="P1127" s="334"/>
      <c r="Q1127" s="335"/>
      <c r="R1127" s="336"/>
      <c r="U1127" s="337"/>
    </row>
    <row r="1128" spans="1:21" ht="30" customHeight="1" x14ac:dyDescent="0.25">
      <c r="A1128" s="365" t="s">
        <v>698</v>
      </c>
      <c r="B1128" s="1281" t="s">
        <v>838</v>
      </c>
      <c r="C1128" s="1281"/>
      <c r="D1128" s="1281"/>
      <c r="E1128" s="256">
        <f>+Q932</f>
        <v>145.58000000000001</v>
      </c>
      <c r="F1128" s="661" t="s">
        <v>76</v>
      </c>
      <c r="G1128" s="753">
        <v>53</v>
      </c>
      <c r="H1128" s="695" t="s">
        <v>738</v>
      </c>
      <c r="I1128" s="706">
        <f t="shared" si="10"/>
        <v>1.1000000000000001</v>
      </c>
      <c r="J1128" s="706">
        <f t="shared" si="10"/>
        <v>1</v>
      </c>
      <c r="K1128" s="247">
        <f t="shared" si="9"/>
        <v>8487.3140000000021</v>
      </c>
      <c r="L1128" s="365" t="s">
        <v>732</v>
      </c>
      <c r="M1128" s="54"/>
      <c r="N1128" s="54"/>
      <c r="O1128" s="336"/>
      <c r="P1128" s="334"/>
      <c r="Q1128" s="335"/>
      <c r="R1128" s="336"/>
      <c r="U1128" s="337"/>
    </row>
    <row r="1129" spans="1:21" ht="30" customHeight="1" x14ac:dyDescent="0.25">
      <c r="A1129" s="365" t="s">
        <v>702</v>
      </c>
      <c r="B1129" s="1209" t="s">
        <v>839</v>
      </c>
      <c r="C1129" s="1210"/>
      <c r="D1129" s="1211"/>
      <c r="E1129" s="256">
        <f>+Q933</f>
        <v>19.62</v>
      </c>
      <c r="F1129" s="661" t="s">
        <v>40</v>
      </c>
      <c r="G1129" s="753">
        <v>20825</v>
      </c>
      <c r="H1129" s="695" t="s">
        <v>740</v>
      </c>
      <c r="I1129" s="706">
        <f t="shared" si="10"/>
        <v>1.1000000000000001</v>
      </c>
      <c r="J1129" s="706">
        <f t="shared" si="10"/>
        <v>1</v>
      </c>
      <c r="K1129" s="247">
        <f t="shared" si="9"/>
        <v>449445.15</v>
      </c>
      <c r="L1129" s="365" t="s">
        <v>732</v>
      </c>
      <c r="M1129" s="54"/>
      <c r="N1129" s="54"/>
      <c r="O1129" s="336"/>
      <c r="P1129" s="334"/>
      <c r="Q1129" s="335"/>
      <c r="R1129" s="336"/>
      <c r="U1129" s="337"/>
    </row>
    <row r="1130" spans="1:21" ht="30" customHeight="1" x14ac:dyDescent="0.25">
      <c r="A1130" s="365" t="s">
        <v>684</v>
      </c>
      <c r="B1130" s="1209" t="s">
        <v>840</v>
      </c>
      <c r="C1130" s="1210"/>
      <c r="D1130" s="1211"/>
      <c r="E1130" s="255">
        <f>+Q926</f>
        <v>20.25</v>
      </c>
      <c r="F1130" s="661" t="s">
        <v>205</v>
      </c>
      <c r="G1130" s="753">
        <v>192</v>
      </c>
      <c r="H1130" s="695" t="s">
        <v>737</v>
      </c>
      <c r="I1130" s="706">
        <f>+S926</f>
        <v>1.1200000000000001</v>
      </c>
      <c r="J1130" s="706">
        <f>+T926</f>
        <v>1</v>
      </c>
      <c r="K1130" s="247">
        <f t="shared" si="9"/>
        <v>4354.5600000000004</v>
      </c>
      <c r="L1130" s="365" t="s">
        <v>732</v>
      </c>
      <c r="M1130" s="110"/>
      <c r="N1130" s="54"/>
      <c r="O1130" s="336"/>
      <c r="P1130" s="334"/>
      <c r="Q1130" s="335"/>
      <c r="R1130" s="336"/>
      <c r="U1130" s="337"/>
    </row>
    <row r="1131" spans="1:21" ht="30" customHeight="1" x14ac:dyDescent="0.25">
      <c r="A1131" s="365">
        <v>93410</v>
      </c>
      <c r="B1131" s="1209" t="s">
        <v>841</v>
      </c>
      <c r="C1131" s="1210"/>
      <c r="D1131" s="1211"/>
      <c r="E1131" s="256">
        <f>+Q942</f>
        <v>8.6999999999999993</v>
      </c>
      <c r="F1131" s="661" t="s">
        <v>25</v>
      </c>
      <c r="G1131" s="753">
        <v>523</v>
      </c>
      <c r="H1131" s="695" t="s">
        <v>743</v>
      </c>
      <c r="I1131" s="782">
        <f>+'2022 MILCON Inflation Table'!F21</f>
        <v>0.94047825952836139</v>
      </c>
      <c r="J1131" s="365"/>
      <c r="K1131" s="247">
        <f>+E1131*G1131*I1131</f>
        <v>4279.2701286799966</v>
      </c>
      <c r="L1131" s="365" t="s">
        <v>732</v>
      </c>
      <c r="O1131" s="336"/>
      <c r="P1131" s="334"/>
      <c r="Q1131" s="335"/>
      <c r="R1131" s="336"/>
      <c r="U1131" s="337"/>
    </row>
    <row r="1132" spans="1:21" ht="30" customHeight="1" x14ac:dyDescent="0.25">
      <c r="A1132" s="1172" t="s">
        <v>745</v>
      </c>
      <c r="B1132" s="1173"/>
      <c r="C1132" s="1173"/>
      <c r="D1132" s="1174"/>
      <c r="E1132" s="247"/>
      <c r="F1132" s="365"/>
      <c r="G1132" s="366"/>
      <c r="H1132" s="662"/>
      <c r="I1132" s="365"/>
      <c r="J1132" s="365" t="s">
        <v>408</v>
      </c>
      <c r="K1132" s="247">
        <f>SUM(K1122:K1131)</f>
        <v>685452.14732868015</v>
      </c>
      <c r="L1132" s="365" t="s">
        <v>732</v>
      </c>
      <c r="M1132" s="54"/>
      <c r="N1132" s="54"/>
      <c r="O1132" s="336"/>
      <c r="P1132" s="334"/>
      <c r="Q1132" s="335"/>
      <c r="R1132" s="336"/>
      <c r="U1132" s="337"/>
    </row>
    <row r="1133" spans="1:21" ht="30" customHeight="1" thickBot="1" x14ac:dyDescent="0.3">
      <c r="A1133" s="1336"/>
      <c r="B1133" s="1337"/>
      <c r="C1133" s="1337"/>
      <c r="D1133" s="1338"/>
      <c r="E1133" s="366"/>
      <c r="F1133" s="366"/>
      <c r="G1133" s="580" t="s">
        <v>306</v>
      </c>
      <c r="H1133" s="366"/>
      <c r="I1133" s="366"/>
      <c r="J1133" s="521">
        <f>VLOOKUP(B1119,'Mil Cost Premiums for PUCs'!$A$4:$R$277,18,FALSE)</f>
        <v>1.0485669999999998</v>
      </c>
      <c r="K1133" s="246">
        <f>+K1132*J1133</f>
        <v>718742.50176799204</v>
      </c>
      <c r="L1133" s="365" t="s">
        <v>732</v>
      </c>
      <c r="M1133" s="54"/>
      <c r="N1133" s="54"/>
      <c r="O1133" s="336"/>
      <c r="P1133" s="334"/>
      <c r="Q1133" s="335"/>
      <c r="R1133" s="336"/>
      <c r="U1133" s="337"/>
    </row>
    <row r="1134" spans="1:21" ht="30" customHeight="1" thickBot="1" x14ac:dyDescent="0.3">
      <c r="A1134" s="1180"/>
      <c r="B1134" s="1181"/>
      <c r="C1134" s="1181"/>
      <c r="D1134" s="1181"/>
      <c r="E1134" s="1181"/>
      <c r="F1134" s="1181"/>
      <c r="G1134" s="1181"/>
      <c r="H1134" s="1181"/>
      <c r="I1134" s="1181"/>
      <c r="J1134" s="1181"/>
      <c r="K1134" s="1181"/>
      <c r="L1134" s="1182"/>
      <c r="M1134" s="54"/>
      <c r="N1134" s="54"/>
      <c r="O1134" s="336"/>
      <c r="P1134" s="334"/>
      <c r="Q1134" s="335"/>
      <c r="R1134" s="336"/>
      <c r="U1134" s="337"/>
    </row>
    <row r="1135" spans="1:21" ht="60" customHeight="1" x14ac:dyDescent="0.25">
      <c r="A1135" s="327" t="s">
        <v>5</v>
      </c>
      <c r="B1135" s="328">
        <v>1764</v>
      </c>
      <c r="C1135" s="1251" t="s">
        <v>842</v>
      </c>
      <c r="D1135" s="1252"/>
      <c r="E1135" s="331" t="s">
        <v>8</v>
      </c>
      <c r="F1135" s="558" t="s">
        <v>812</v>
      </c>
      <c r="G1135" s="346" t="s">
        <v>843</v>
      </c>
      <c r="H1135" s="711">
        <v>1</v>
      </c>
      <c r="I1135" s="331" t="s">
        <v>10</v>
      </c>
      <c r="J1135" s="1220" t="s">
        <v>832</v>
      </c>
      <c r="K1135" s="1220"/>
      <c r="L1135" s="1221"/>
      <c r="M1135" s="54"/>
      <c r="N1135" s="54"/>
      <c r="O1135" s="336"/>
      <c r="P1135" s="334"/>
      <c r="Q1135" s="335"/>
      <c r="R1135" s="336"/>
      <c r="U1135" s="337"/>
    </row>
    <row r="1136" spans="1:21" ht="30" customHeight="1" x14ac:dyDescent="0.25">
      <c r="A1136" s="356" t="s">
        <v>735</v>
      </c>
      <c r="B1136" s="1222" t="s">
        <v>326</v>
      </c>
      <c r="C1136" s="1235"/>
      <c r="D1136" s="1223"/>
      <c r="E1136" s="577" t="s">
        <v>116</v>
      </c>
      <c r="F1136" s="577" t="s">
        <v>117</v>
      </c>
      <c r="G1136" s="1194" t="s">
        <v>118</v>
      </c>
      <c r="H1136" s="1195"/>
      <c r="I1136" s="356" t="s">
        <v>296</v>
      </c>
      <c r="J1136" s="633" t="s">
        <v>303</v>
      </c>
      <c r="K1136" s="1236" t="s">
        <v>285</v>
      </c>
      <c r="L1136" s="1237"/>
      <c r="M1136" s="54"/>
      <c r="N1136" s="54"/>
      <c r="O1136" s="336"/>
      <c r="P1136" s="334"/>
      <c r="Q1136" s="335"/>
      <c r="R1136" s="336"/>
      <c r="U1136" s="337"/>
    </row>
    <row r="1137" spans="1:21" ht="30" customHeight="1" x14ac:dyDescent="0.25">
      <c r="A1137" s="356"/>
      <c r="B1137" s="1214" t="s">
        <v>844</v>
      </c>
      <c r="C1137" s="1215"/>
      <c r="D1137" s="1216"/>
      <c r="E1137" s="577"/>
      <c r="F1137" s="577"/>
      <c r="G1137" s="750"/>
      <c r="H1137" s="751"/>
      <c r="I1137" s="783"/>
      <c r="J1137" s="398"/>
      <c r="K1137" s="577"/>
      <c r="L1137" s="577"/>
      <c r="M1137" s="54"/>
      <c r="N1137" s="54"/>
      <c r="O1137" s="336"/>
      <c r="P1137" s="334"/>
      <c r="Q1137" s="335"/>
      <c r="R1137" s="336"/>
      <c r="U1137" s="337"/>
    </row>
    <row r="1138" spans="1:21" ht="30" customHeight="1" x14ac:dyDescent="0.25">
      <c r="A1138" s="365" t="s">
        <v>684</v>
      </c>
      <c r="B1138" s="1281" t="s">
        <v>845</v>
      </c>
      <c r="C1138" s="1281"/>
      <c r="D1138" s="1281"/>
      <c r="E1138" s="256">
        <f>+Q925</f>
        <v>11.77</v>
      </c>
      <c r="F1138" s="365" t="s">
        <v>205</v>
      </c>
      <c r="G1138" s="753">
        <f>12*468</f>
        <v>5616</v>
      </c>
      <c r="H1138" s="695" t="s">
        <v>815</v>
      </c>
      <c r="I1138" s="706">
        <f>+S925</f>
        <v>1.23</v>
      </c>
      <c r="J1138" s="706">
        <f>+T925</f>
        <v>1</v>
      </c>
      <c r="K1138" s="247">
        <f t="shared" ref="K1138:K1145" si="11">+E1138*G1138*I1138*J1138</f>
        <v>81303.393599999996</v>
      </c>
      <c r="L1138" s="365" t="s">
        <v>812</v>
      </c>
      <c r="M1138" s="54"/>
      <c r="N1138" s="54"/>
      <c r="O1138" s="336"/>
      <c r="P1138" s="334"/>
      <c r="Q1138" s="335"/>
      <c r="R1138" s="336"/>
      <c r="U1138" s="337"/>
    </row>
    <row r="1139" spans="1:21" ht="30" customHeight="1" x14ac:dyDescent="0.25">
      <c r="A1139" s="365" t="s">
        <v>533</v>
      </c>
      <c r="B1139" s="1281" t="s">
        <v>846</v>
      </c>
      <c r="C1139" s="1281"/>
      <c r="D1139" s="1281"/>
      <c r="E1139" s="256">
        <f>+Q926</f>
        <v>20.25</v>
      </c>
      <c r="F1139" s="365" t="s">
        <v>205</v>
      </c>
      <c r="G1139" s="753">
        <f>3767*5</f>
        <v>18835</v>
      </c>
      <c r="H1139" s="695" t="s">
        <v>815</v>
      </c>
      <c r="I1139" s="706">
        <f>+S926</f>
        <v>1.1200000000000001</v>
      </c>
      <c r="J1139" s="706">
        <f>+T926</f>
        <v>1</v>
      </c>
      <c r="K1139" s="247">
        <f t="shared" si="11"/>
        <v>427177.80000000005</v>
      </c>
      <c r="L1139" s="365" t="s">
        <v>812</v>
      </c>
      <c r="M1139" s="54"/>
      <c r="N1139" s="54"/>
      <c r="O1139" s="336"/>
      <c r="P1139" s="334"/>
      <c r="Q1139" s="335"/>
      <c r="R1139" s="336"/>
      <c r="U1139" s="337"/>
    </row>
    <row r="1140" spans="1:21" ht="30" customHeight="1" x14ac:dyDescent="0.25">
      <c r="A1140" s="365" t="s">
        <v>301</v>
      </c>
      <c r="B1140" s="1281" t="s">
        <v>694</v>
      </c>
      <c r="C1140" s="1281"/>
      <c r="D1140" s="1281"/>
      <c r="E1140" s="256">
        <f>+Q929</f>
        <v>920</v>
      </c>
      <c r="F1140" s="661" t="s">
        <v>76</v>
      </c>
      <c r="G1140" s="753">
        <v>17</v>
      </c>
      <c r="H1140" s="695" t="s">
        <v>847</v>
      </c>
      <c r="I1140" s="706">
        <f>+S929</f>
        <v>1.1000000000000001</v>
      </c>
      <c r="J1140" s="706">
        <f>+T929</f>
        <v>1</v>
      </c>
      <c r="K1140" s="247">
        <f t="shared" si="11"/>
        <v>17204</v>
      </c>
      <c r="L1140" s="365" t="s">
        <v>812</v>
      </c>
      <c r="M1140" s="54"/>
      <c r="N1140" s="54"/>
      <c r="O1140" s="336"/>
      <c r="P1140" s="334"/>
      <c r="Q1140" s="335"/>
      <c r="R1140" s="336"/>
      <c r="U1140" s="337"/>
    </row>
    <row r="1141" spans="1:21" ht="30" customHeight="1" x14ac:dyDescent="0.25">
      <c r="A1141" s="365" t="s">
        <v>520</v>
      </c>
      <c r="B1141" s="1281" t="s">
        <v>848</v>
      </c>
      <c r="C1141" s="1281"/>
      <c r="D1141" s="1281"/>
      <c r="E1141" s="256">
        <f>+Q935</f>
        <v>21.1</v>
      </c>
      <c r="F1141" s="661" t="s">
        <v>40</v>
      </c>
      <c r="G1141" s="753">
        <f>1148*5</f>
        <v>5740</v>
      </c>
      <c r="H1141" s="695" t="s">
        <v>849</v>
      </c>
      <c r="I1141" s="706">
        <f>+S935</f>
        <v>1.04</v>
      </c>
      <c r="J1141" s="706">
        <f>+T935</f>
        <v>1</v>
      </c>
      <c r="K1141" s="247">
        <f t="shared" si="11"/>
        <v>125958.56000000001</v>
      </c>
      <c r="L1141" s="365" t="s">
        <v>812</v>
      </c>
      <c r="M1141" s="54"/>
      <c r="N1141" s="54"/>
      <c r="O1141" s="336"/>
      <c r="P1141" s="334"/>
      <c r="Q1141" s="335"/>
      <c r="R1141" s="336"/>
      <c r="U1141" s="337"/>
    </row>
    <row r="1142" spans="1:21" ht="30" customHeight="1" x14ac:dyDescent="0.25">
      <c r="A1142" s="365" t="s">
        <v>520</v>
      </c>
      <c r="B1142" s="1281" t="s">
        <v>837</v>
      </c>
      <c r="C1142" s="1281"/>
      <c r="D1142" s="1281"/>
      <c r="E1142" s="256">
        <f>+Q936</f>
        <v>3227.5</v>
      </c>
      <c r="F1142" s="661" t="s">
        <v>76</v>
      </c>
      <c r="G1142" s="753">
        <v>5</v>
      </c>
      <c r="H1142" s="695" t="s">
        <v>847</v>
      </c>
      <c r="I1142" s="706">
        <f>+S936</f>
        <v>1.04</v>
      </c>
      <c r="J1142" s="706">
        <f>+T936</f>
        <v>1</v>
      </c>
      <c r="K1142" s="247">
        <f t="shared" si="11"/>
        <v>16783</v>
      </c>
      <c r="L1142" s="365" t="s">
        <v>812</v>
      </c>
      <c r="M1142" s="54"/>
      <c r="N1142" s="54"/>
      <c r="O1142" s="336"/>
      <c r="P1142" s="334"/>
      <c r="Q1142" s="335"/>
      <c r="R1142" s="336"/>
      <c r="U1142" s="337"/>
    </row>
    <row r="1143" spans="1:21" ht="30" customHeight="1" x14ac:dyDescent="0.25">
      <c r="A1143" s="365" t="s">
        <v>301</v>
      </c>
      <c r="B1143" s="1281" t="s">
        <v>796</v>
      </c>
      <c r="C1143" s="1281"/>
      <c r="D1143" s="1281"/>
      <c r="E1143" s="256">
        <f>+Q931</f>
        <v>1125</v>
      </c>
      <c r="F1143" s="661" t="s">
        <v>76</v>
      </c>
      <c r="G1143" s="753">
        <v>17</v>
      </c>
      <c r="H1143" s="695" t="s">
        <v>847</v>
      </c>
      <c r="I1143" s="706">
        <f t="shared" ref="I1143:J1145" si="12">+S931</f>
        <v>1.1000000000000001</v>
      </c>
      <c r="J1143" s="706">
        <f>+T931</f>
        <v>1</v>
      </c>
      <c r="K1143" s="247">
        <f t="shared" si="11"/>
        <v>21037.5</v>
      </c>
      <c r="L1143" s="365" t="s">
        <v>812</v>
      </c>
      <c r="M1143" s="54"/>
      <c r="N1143" s="54"/>
      <c r="O1143" s="336"/>
      <c r="P1143" s="334"/>
      <c r="Q1143" s="335"/>
      <c r="R1143" s="336"/>
      <c r="U1143" s="337"/>
    </row>
    <row r="1144" spans="1:21" ht="30" customHeight="1" x14ac:dyDescent="0.25">
      <c r="A1144" s="365" t="s">
        <v>698</v>
      </c>
      <c r="B1144" s="1281" t="s">
        <v>838</v>
      </c>
      <c r="C1144" s="1281"/>
      <c r="D1144" s="1281"/>
      <c r="E1144" s="256">
        <f>+Q932</f>
        <v>145.58000000000001</v>
      </c>
      <c r="F1144" s="661" t="s">
        <v>76</v>
      </c>
      <c r="G1144" s="753">
        <v>80</v>
      </c>
      <c r="H1144" s="695" t="s">
        <v>847</v>
      </c>
      <c r="I1144" s="706">
        <f t="shared" si="12"/>
        <v>1.1000000000000001</v>
      </c>
      <c r="J1144" s="706">
        <f t="shared" si="12"/>
        <v>1</v>
      </c>
      <c r="K1144" s="247">
        <f t="shared" si="11"/>
        <v>12811.040000000003</v>
      </c>
      <c r="L1144" s="365" t="s">
        <v>812</v>
      </c>
      <c r="M1144" s="54"/>
      <c r="N1144" s="54"/>
      <c r="O1144" s="781"/>
      <c r="P1144" s="334"/>
      <c r="Q1144" s="335"/>
      <c r="R1144" s="336"/>
      <c r="U1144" s="337"/>
    </row>
    <row r="1145" spans="1:21" ht="30" customHeight="1" x14ac:dyDescent="0.25">
      <c r="A1145" s="365" t="s">
        <v>702</v>
      </c>
      <c r="B1145" s="1281" t="s">
        <v>850</v>
      </c>
      <c r="C1145" s="1281"/>
      <c r="D1145" s="1281"/>
      <c r="E1145" s="256">
        <f>+Q933</f>
        <v>19.62</v>
      </c>
      <c r="F1145" s="661" t="s">
        <v>40</v>
      </c>
      <c r="G1145" s="753">
        <f>6761*17</f>
        <v>114937</v>
      </c>
      <c r="H1145" s="695" t="s">
        <v>849</v>
      </c>
      <c r="I1145" s="706">
        <f t="shared" si="12"/>
        <v>1.1000000000000001</v>
      </c>
      <c r="J1145" s="706">
        <f t="shared" si="12"/>
        <v>1</v>
      </c>
      <c r="K1145" s="247">
        <f t="shared" si="11"/>
        <v>2480570.3340000003</v>
      </c>
      <c r="L1145" s="365" t="s">
        <v>812</v>
      </c>
      <c r="M1145" s="110"/>
      <c r="N1145" s="54"/>
      <c r="O1145" s="781"/>
      <c r="P1145" s="334"/>
      <c r="Q1145" s="335"/>
      <c r="R1145" s="336"/>
      <c r="U1145" s="337"/>
    </row>
    <row r="1146" spans="1:21" ht="30" customHeight="1" x14ac:dyDescent="0.25">
      <c r="A1146" s="365">
        <v>93410</v>
      </c>
      <c r="B1146" s="1209" t="s">
        <v>851</v>
      </c>
      <c r="C1146" s="1210"/>
      <c r="D1146" s="1211"/>
      <c r="E1146" s="255">
        <f>+Q943</f>
        <v>1.2</v>
      </c>
      <c r="F1146" s="661" t="s">
        <v>9</v>
      </c>
      <c r="G1146" s="753">
        <v>11525</v>
      </c>
      <c r="H1146" s="695" t="s">
        <v>852</v>
      </c>
      <c r="I1146" s="782">
        <f>+'2022 MILCON Inflation Table'!F21</f>
        <v>0.94047825952836139</v>
      </c>
      <c r="J1146" s="706"/>
      <c r="K1146" s="247">
        <f>+E1146*G1146*I1146</f>
        <v>13006.814329277238</v>
      </c>
      <c r="L1146" s="365" t="s">
        <v>812</v>
      </c>
      <c r="N1146" s="54"/>
      <c r="O1146" s="336"/>
      <c r="P1146" s="334"/>
      <c r="Q1146" s="335"/>
      <c r="R1146" s="336"/>
      <c r="U1146" s="337"/>
    </row>
    <row r="1147" spans="1:21" ht="30" customHeight="1" x14ac:dyDescent="0.25">
      <c r="A1147" s="365" t="s">
        <v>684</v>
      </c>
      <c r="B1147" s="1209" t="s">
        <v>853</v>
      </c>
      <c r="C1147" s="1210"/>
      <c r="D1147" s="1211"/>
      <c r="E1147" s="256">
        <f>+Q925</f>
        <v>11.77</v>
      </c>
      <c r="F1147" s="365" t="s">
        <v>205</v>
      </c>
      <c r="G1147" s="753">
        <f>481*6</f>
        <v>2886</v>
      </c>
      <c r="H1147" s="695" t="s">
        <v>815</v>
      </c>
      <c r="I1147" s="706">
        <f>+S925</f>
        <v>1.23</v>
      </c>
      <c r="J1147" s="706">
        <f>+T925</f>
        <v>1</v>
      </c>
      <c r="K1147" s="247">
        <f>+E1147*G1147*I1147*J1147</f>
        <v>41780.910600000003</v>
      </c>
      <c r="L1147" s="365" t="s">
        <v>812</v>
      </c>
      <c r="M1147" s="54"/>
      <c r="N1147" s="54"/>
      <c r="O1147" s="336"/>
      <c r="P1147" s="334"/>
      <c r="Q1147" s="335"/>
      <c r="R1147" s="336"/>
      <c r="U1147" s="337"/>
    </row>
    <row r="1148" spans="1:21" ht="30" customHeight="1" x14ac:dyDescent="0.25">
      <c r="A1148" s="365">
        <v>93410</v>
      </c>
      <c r="B1148" s="1209" t="s">
        <v>854</v>
      </c>
      <c r="C1148" s="1210"/>
      <c r="D1148" s="1211"/>
      <c r="E1148" s="256">
        <f>+Q942</f>
        <v>8.6999999999999993</v>
      </c>
      <c r="F1148" s="661" t="s">
        <v>25</v>
      </c>
      <c r="G1148" s="753">
        <v>4709</v>
      </c>
      <c r="H1148" s="695" t="s">
        <v>817</v>
      </c>
      <c r="I1148" s="782">
        <f>+I1146</f>
        <v>0.94047825952836139</v>
      </c>
      <c r="J1148" s="365"/>
      <c r="K1148" s="247">
        <f>+E1148*G1148*I1148</f>
        <v>38529.79547983576</v>
      </c>
      <c r="L1148" s="365" t="s">
        <v>812</v>
      </c>
      <c r="M1148" s="54"/>
      <c r="N1148" s="54"/>
      <c r="O1148" s="336"/>
      <c r="P1148" s="334"/>
      <c r="Q1148" s="335"/>
      <c r="R1148" s="336"/>
      <c r="U1148" s="337"/>
    </row>
    <row r="1149" spans="1:21" ht="30" customHeight="1" x14ac:dyDescent="0.25">
      <c r="A1149" s="365">
        <v>93210</v>
      </c>
      <c r="B1149" s="1209" t="s">
        <v>855</v>
      </c>
      <c r="C1149" s="1210"/>
      <c r="D1149" s="1211"/>
      <c r="E1149" s="256">
        <f>+Q944</f>
        <v>48.6</v>
      </c>
      <c r="F1149" s="661" t="s">
        <v>25</v>
      </c>
      <c r="G1149" s="753">
        <v>1063</v>
      </c>
      <c r="H1149" s="695" t="s">
        <v>817</v>
      </c>
      <c r="I1149" s="782">
        <f>+I1148</f>
        <v>0.94047825952836139</v>
      </c>
      <c r="J1149" s="365"/>
      <c r="K1149" s="247">
        <f>+E1149*G1149*I1149</f>
        <v>48586.799748102305</v>
      </c>
      <c r="L1149" s="365" t="s">
        <v>812</v>
      </c>
      <c r="M1149" s="54"/>
      <c r="N1149" s="54"/>
      <c r="O1149" s="336"/>
      <c r="P1149" s="334"/>
      <c r="Q1149" s="335"/>
      <c r="R1149" s="336"/>
      <c r="U1149" s="337"/>
    </row>
    <row r="1150" spans="1:21" ht="30" customHeight="1" x14ac:dyDescent="0.25">
      <c r="A1150" s="1172" t="s">
        <v>745</v>
      </c>
      <c r="B1150" s="1173"/>
      <c r="C1150" s="1173"/>
      <c r="D1150" s="1174"/>
      <c r="E1150" s="247"/>
      <c r="F1150" s="365"/>
      <c r="G1150" s="366"/>
      <c r="H1150" s="662"/>
      <c r="I1150" s="365"/>
      <c r="J1150" s="365" t="s">
        <v>408</v>
      </c>
      <c r="K1150" s="247">
        <f>SUM(K1138:K1149)</f>
        <v>3324749.9477572157</v>
      </c>
      <c r="L1150" s="365" t="s">
        <v>812</v>
      </c>
      <c r="M1150" s="54"/>
      <c r="N1150" s="54"/>
      <c r="O1150" s="336"/>
      <c r="P1150" s="334"/>
      <c r="Q1150" s="335"/>
      <c r="R1150" s="336"/>
      <c r="U1150" s="337"/>
    </row>
    <row r="1151" spans="1:21" ht="30" customHeight="1" thickBot="1" x14ac:dyDescent="0.3">
      <c r="A1151" s="1336"/>
      <c r="B1151" s="1337"/>
      <c r="C1151" s="1337"/>
      <c r="D1151" s="1338"/>
      <c r="E1151" s="366"/>
      <c r="F1151" s="366"/>
      <c r="G1151" s="580" t="s">
        <v>306</v>
      </c>
      <c r="H1151" s="366"/>
      <c r="I1151" s="366"/>
      <c r="J1151" s="521">
        <f>VLOOKUP(B1135,'Mil Cost Premiums for PUCs'!$A$4:$R$277,18,FALSE)</f>
        <v>1.0485669999999998</v>
      </c>
      <c r="K1151" s="246">
        <f>+K1150*J1151</f>
        <v>3486223.0784699395</v>
      </c>
      <c r="L1151" s="365" t="s">
        <v>812</v>
      </c>
      <c r="M1151" s="54"/>
      <c r="N1151" s="54"/>
      <c r="O1151" s="336"/>
      <c r="P1151" s="334"/>
      <c r="Q1151" s="335"/>
      <c r="R1151" s="336"/>
      <c r="U1151" s="337"/>
    </row>
    <row r="1152" spans="1:21" ht="30" customHeight="1" thickBot="1" x14ac:dyDescent="0.3">
      <c r="A1152" s="1180"/>
      <c r="B1152" s="1181"/>
      <c r="C1152" s="1181"/>
      <c r="D1152" s="1181"/>
      <c r="E1152" s="1181"/>
      <c r="F1152" s="1181"/>
      <c r="G1152" s="1181"/>
      <c r="H1152" s="1181"/>
      <c r="I1152" s="1181"/>
      <c r="J1152" s="1181"/>
      <c r="K1152" s="1181"/>
      <c r="L1152" s="1182"/>
      <c r="M1152" s="54"/>
      <c r="N1152" s="54"/>
      <c r="O1152" s="336"/>
      <c r="P1152" s="334"/>
      <c r="Q1152" s="335"/>
      <c r="R1152" s="336"/>
      <c r="U1152" s="337"/>
    </row>
    <row r="1153" spans="1:21" ht="60" customHeight="1" x14ac:dyDescent="0.25">
      <c r="A1153" s="327" t="s">
        <v>5</v>
      </c>
      <c r="B1153" s="328">
        <v>1765</v>
      </c>
      <c r="C1153" s="1251" t="s">
        <v>856</v>
      </c>
      <c r="D1153" s="1252"/>
      <c r="E1153" s="331" t="s">
        <v>8</v>
      </c>
      <c r="F1153" s="332" t="s">
        <v>76</v>
      </c>
      <c r="G1153" s="346" t="s">
        <v>7</v>
      </c>
      <c r="H1153" s="711">
        <v>1</v>
      </c>
      <c r="I1153" s="331" t="s">
        <v>10</v>
      </c>
      <c r="J1153" s="1220" t="s">
        <v>832</v>
      </c>
      <c r="K1153" s="1220"/>
      <c r="L1153" s="1221"/>
      <c r="M1153" s="54"/>
      <c r="O1153" s="336"/>
      <c r="P1153" s="334"/>
      <c r="Q1153" s="335"/>
      <c r="R1153" s="336"/>
      <c r="U1153" s="337"/>
    </row>
    <row r="1154" spans="1:21" ht="30" customHeight="1" x14ac:dyDescent="0.25">
      <c r="A1154" s="356" t="s">
        <v>735</v>
      </c>
      <c r="B1154" s="1222" t="s">
        <v>326</v>
      </c>
      <c r="C1154" s="1235"/>
      <c r="D1154" s="1223"/>
      <c r="E1154" s="577" t="s">
        <v>116</v>
      </c>
      <c r="F1154" s="577" t="s">
        <v>117</v>
      </c>
      <c r="G1154" s="1194" t="s">
        <v>118</v>
      </c>
      <c r="H1154" s="1195"/>
      <c r="I1154" s="356" t="s">
        <v>296</v>
      </c>
      <c r="J1154" s="356" t="s">
        <v>303</v>
      </c>
      <c r="K1154" s="1236" t="s">
        <v>285</v>
      </c>
      <c r="L1154" s="1237"/>
      <c r="M1154" s="54"/>
      <c r="N1154" s="54"/>
      <c r="O1154" s="336"/>
      <c r="P1154" s="334"/>
      <c r="Q1154" s="335"/>
      <c r="R1154" s="336"/>
      <c r="U1154" s="337"/>
    </row>
    <row r="1155" spans="1:21" ht="30" customHeight="1" x14ac:dyDescent="0.25">
      <c r="A1155" s="356"/>
      <c r="B1155" s="1214" t="s">
        <v>857</v>
      </c>
      <c r="C1155" s="1215"/>
      <c r="D1155" s="1216"/>
      <c r="E1155" s="577"/>
      <c r="F1155" s="577"/>
      <c r="G1155" s="750"/>
      <c r="H1155" s="751"/>
      <c r="I1155" s="783"/>
      <c r="J1155" s="783"/>
      <c r="K1155" s="577"/>
      <c r="L1155" s="577"/>
      <c r="M1155" s="54"/>
      <c r="N1155" s="54"/>
      <c r="O1155" s="336"/>
      <c r="P1155" s="334"/>
      <c r="Q1155" s="335"/>
      <c r="R1155" s="336"/>
      <c r="U1155" s="337"/>
    </row>
    <row r="1156" spans="1:21" ht="30" customHeight="1" x14ac:dyDescent="0.25">
      <c r="A1156" s="365" t="s">
        <v>684</v>
      </c>
      <c r="B1156" s="1209" t="s">
        <v>858</v>
      </c>
      <c r="C1156" s="1210"/>
      <c r="D1156" s="1211"/>
      <c r="E1156" s="256">
        <f>+Q925</f>
        <v>11.77</v>
      </c>
      <c r="F1156" s="365" t="s">
        <v>205</v>
      </c>
      <c r="G1156" s="753">
        <f>6*468</f>
        <v>2808</v>
      </c>
      <c r="H1156" s="695" t="s">
        <v>859</v>
      </c>
      <c r="I1156" s="706">
        <f>+S925</f>
        <v>1.23</v>
      </c>
      <c r="J1156" s="706">
        <f>+T925</f>
        <v>1</v>
      </c>
      <c r="K1156" s="247">
        <f>+E1156*G1156*I1156*J1156</f>
        <v>40651.696799999998</v>
      </c>
      <c r="L1156" s="365" t="s">
        <v>76</v>
      </c>
      <c r="M1156" s="54"/>
      <c r="N1156" s="54"/>
      <c r="O1156" s="336"/>
      <c r="P1156" s="334"/>
      <c r="Q1156" s="335"/>
      <c r="R1156" s="336"/>
      <c r="U1156" s="337"/>
    </row>
    <row r="1157" spans="1:21" ht="30" customHeight="1" x14ac:dyDescent="0.25">
      <c r="A1157" s="365" t="s">
        <v>301</v>
      </c>
      <c r="B1157" s="1209" t="s">
        <v>694</v>
      </c>
      <c r="C1157" s="1210"/>
      <c r="D1157" s="1211"/>
      <c r="E1157" s="256">
        <f>+Q929</f>
        <v>920</v>
      </c>
      <c r="F1157" s="661" t="s">
        <v>76</v>
      </c>
      <c r="G1157" s="753">
        <v>6</v>
      </c>
      <c r="H1157" s="695" t="s">
        <v>860</v>
      </c>
      <c r="I1157" s="706">
        <f>+S929</f>
        <v>1.1000000000000001</v>
      </c>
      <c r="J1157" s="706">
        <f>+T929</f>
        <v>1</v>
      </c>
      <c r="K1157" s="247">
        <f>+E1157*G1157*I1157*J1157</f>
        <v>6072.0000000000009</v>
      </c>
      <c r="L1157" s="365" t="s">
        <v>76</v>
      </c>
      <c r="M1157" s="54"/>
      <c r="N1157" s="54"/>
      <c r="O1157" s="336"/>
      <c r="P1157" s="334"/>
      <c r="Q1157" s="335"/>
      <c r="R1157" s="336"/>
      <c r="U1157" s="337"/>
    </row>
    <row r="1158" spans="1:21" ht="30" customHeight="1" x14ac:dyDescent="0.25">
      <c r="A1158" s="365" t="s">
        <v>301</v>
      </c>
      <c r="B1158" s="1209" t="s">
        <v>796</v>
      </c>
      <c r="C1158" s="1210"/>
      <c r="D1158" s="1211"/>
      <c r="E1158" s="256">
        <f>+Q931</f>
        <v>1125</v>
      </c>
      <c r="F1158" s="661" t="s">
        <v>76</v>
      </c>
      <c r="G1158" s="753">
        <v>6</v>
      </c>
      <c r="H1158" s="695" t="s">
        <v>860</v>
      </c>
      <c r="I1158" s="706">
        <f t="shared" ref="I1158:J1160" si="13">+S931</f>
        <v>1.1000000000000001</v>
      </c>
      <c r="J1158" s="706">
        <f>+T931</f>
        <v>1</v>
      </c>
      <c r="K1158" s="247">
        <f>+E1158*G1158*I1158*J1158</f>
        <v>7425.0000000000009</v>
      </c>
      <c r="L1158" s="365" t="s">
        <v>76</v>
      </c>
      <c r="M1158" s="54"/>
      <c r="N1158" s="54"/>
      <c r="O1158" s="336"/>
      <c r="P1158" s="334"/>
      <c r="Q1158" s="335"/>
      <c r="R1158" s="336"/>
      <c r="U1158" s="337"/>
    </row>
    <row r="1159" spans="1:21" ht="30" customHeight="1" x14ac:dyDescent="0.25">
      <c r="A1159" s="365" t="s">
        <v>698</v>
      </c>
      <c r="B1159" s="1281" t="s">
        <v>861</v>
      </c>
      <c r="C1159" s="1281"/>
      <c r="D1159" s="1281"/>
      <c r="E1159" s="256">
        <f>+Q932</f>
        <v>145.58000000000001</v>
      </c>
      <c r="F1159" s="661" t="s">
        <v>76</v>
      </c>
      <c r="G1159" s="753">
        <f>18*5</f>
        <v>90</v>
      </c>
      <c r="H1159" s="695" t="s">
        <v>860</v>
      </c>
      <c r="I1159" s="706">
        <f t="shared" si="13"/>
        <v>1.1000000000000001</v>
      </c>
      <c r="J1159" s="706">
        <f t="shared" si="13"/>
        <v>1</v>
      </c>
      <c r="K1159" s="247">
        <f>+E1159*G1159*I1159*J1159</f>
        <v>14412.420000000002</v>
      </c>
      <c r="L1159" s="365" t="s">
        <v>76</v>
      </c>
      <c r="M1159" s="54"/>
      <c r="N1159" s="54"/>
      <c r="O1159" s="336"/>
      <c r="P1159" s="334"/>
      <c r="Q1159" s="335"/>
      <c r="R1159" s="336"/>
      <c r="U1159" s="337"/>
    </row>
    <row r="1160" spans="1:21" ht="30" customHeight="1" x14ac:dyDescent="0.25">
      <c r="A1160" s="365" t="s">
        <v>702</v>
      </c>
      <c r="B1160" s="1209" t="s">
        <v>862</v>
      </c>
      <c r="C1160" s="1210"/>
      <c r="D1160" s="1211"/>
      <c r="E1160" s="256">
        <f>+Q933</f>
        <v>19.62</v>
      </c>
      <c r="F1160" s="661" t="s">
        <v>40</v>
      </c>
      <c r="G1160" s="753">
        <f>2560*18</f>
        <v>46080</v>
      </c>
      <c r="H1160" s="695" t="s">
        <v>863</v>
      </c>
      <c r="I1160" s="706">
        <f t="shared" si="13"/>
        <v>1.1000000000000001</v>
      </c>
      <c r="J1160" s="706">
        <f t="shared" si="13"/>
        <v>1</v>
      </c>
      <c r="K1160" s="247">
        <f>+E1160*G1160*I1160*J1160</f>
        <v>994498.56000000017</v>
      </c>
      <c r="L1160" s="365" t="s">
        <v>76</v>
      </c>
      <c r="M1160" s="54"/>
      <c r="N1160" s="54"/>
      <c r="O1160" s="336"/>
      <c r="P1160" s="334"/>
      <c r="Q1160" s="335"/>
      <c r="R1160" s="336"/>
      <c r="U1160" s="337"/>
    </row>
    <row r="1161" spans="1:21" ht="30" customHeight="1" x14ac:dyDescent="0.25">
      <c r="A1161" s="365">
        <v>93410</v>
      </c>
      <c r="B1161" s="1209" t="s">
        <v>851</v>
      </c>
      <c r="C1161" s="1210"/>
      <c r="D1161" s="1211"/>
      <c r="E1161" s="255">
        <f>+Q943</f>
        <v>1.2</v>
      </c>
      <c r="F1161" s="661" t="s">
        <v>9</v>
      </c>
      <c r="G1161" s="753">
        <v>11525</v>
      </c>
      <c r="H1161" s="695" t="s">
        <v>864</v>
      </c>
      <c r="I1161" s="782">
        <f>+'2022 MILCON Inflation Table'!F21</f>
        <v>0.94047825952836139</v>
      </c>
      <c r="J1161" s="706"/>
      <c r="K1161" s="247">
        <f>+E1161*G1161*I1161</f>
        <v>13006.814329277238</v>
      </c>
      <c r="L1161" s="365" t="s">
        <v>76</v>
      </c>
      <c r="M1161" s="54"/>
      <c r="N1161" s="54"/>
      <c r="O1161" s="336"/>
      <c r="P1161" s="334"/>
      <c r="Q1161" s="335"/>
      <c r="R1161" s="336"/>
      <c r="U1161" s="337"/>
    </row>
    <row r="1162" spans="1:21" ht="30" customHeight="1" x14ac:dyDescent="0.25">
      <c r="A1162" s="365" t="s">
        <v>684</v>
      </c>
      <c r="B1162" s="1209" t="s">
        <v>865</v>
      </c>
      <c r="C1162" s="1210"/>
      <c r="D1162" s="1211"/>
      <c r="E1162" s="256">
        <f>+Q925</f>
        <v>11.77</v>
      </c>
      <c r="F1162" s="365" t="s">
        <v>205</v>
      </c>
      <c r="G1162" s="753">
        <f>481*6</f>
        <v>2886</v>
      </c>
      <c r="H1162" s="695" t="s">
        <v>859</v>
      </c>
      <c r="I1162" s="706">
        <f>+S925</f>
        <v>1.23</v>
      </c>
      <c r="J1162" s="706">
        <f>+T925</f>
        <v>1</v>
      </c>
      <c r="K1162" s="247">
        <f>+E1162*G1162*I1162*J1162</f>
        <v>41780.910600000003</v>
      </c>
      <c r="L1162" s="365" t="s">
        <v>76</v>
      </c>
      <c r="M1162" s="54"/>
      <c r="N1162" s="54"/>
      <c r="O1162" s="336"/>
      <c r="P1162" s="334"/>
      <c r="Q1162" s="335"/>
      <c r="R1162" s="336"/>
      <c r="U1162" s="337"/>
    </row>
    <row r="1163" spans="1:21" ht="30" customHeight="1" x14ac:dyDescent="0.25">
      <c r="A1163" s="365">
        <v>93410</v>
      </c>
      <c r="B1163" s="1209" t="s">
        <v>866</v>
      </c>
      <c r="C1163" s="1210"/>
      <c r="D1163" s="1211"/>
      <c r="E1163" s="256">
        <f>+Q942</f>
        <v>8.6999999999999993</v>
      </c>
      <c r="F1163" s="661" t="s">
        <v>25</v>
      </c>
      <c r="G1163" s="753">
        <v>279</v>
      </c>
      <c r="H1163" s="695" t="s">
        <v>867</v>
      </c>
      <c r="I1163" s="782">
        <f>+I1161</f>
        <v>0.94047825952836139</v>
      </c>
      <c r="J1163" s="365"/>
      <c r="K1163" s="247">
        <f>+E1163*G1163*I1163</f>
        <v>2282.8228793531912</v>
      </c>
      <c r="L1163" s="365" t="s">
        <v>76</v>
      </c>
      <c r="M1163" s="54"/>
      <c r="N1163" s="54"/>
      <c r="O1163" s="336"/>
      <c r="P1163" s="334"/>
      <c r="Q1163" s="335"/>
      <c r="R1163" s="336"/>
      <c r="U1163" s="337"/>
    </row>
    <row r="1164" spans="1:21" ht="30" customHeight="1" x14ac:dyDescent="0.25">
      <c r="A1164" s="365">
        <v>93210</v>
      </c>
      <c r="B1164" s="1209" t="s">
        <v>868</v>
      </c>
      <c r="C1164" s="1210"/>
      <c r="D1164" s="1211"/>
      <c r="E1164" s="256">
        <f>+Q944</f>
        <v>48.6</v>
      </c>
      <c r="F1164" s="661" t="s">
        <v>25</v>
      </c>
      <c r="G1164" s="753">
        <v>215</v>
      </c>
      <c r="H1164" s="695" t="s">
        <v>867</v>
      </c>
      <c r="I1164" s="782">
        <f>+I1163</f>
        <v>0.94047825952836139</v>
      </c>
      <c r="J1164" s="365"/>
      <c r="K1164" s="247">
        <f>+E1164*G1164*I1164</f>
        <v>9827.0573338118484</v>
      </c>
      <c r="L1164" s="365" t="s">
        <v>76</v>
      </c>
      <c r="M1164" s="54"/>
      <c r="P1164" s="334"/>
      <c r="Q1164" s="335"/>
      <c r="R1164" s="336"/>
      <c r="U1164" s="337"/>
    </row>
    <row r="1165" spans="1:21" ht="30" customHeight="1" x14ac:dyDescent="0.25">
      <c r="A1165" s="1172" t="s">
        <v>745</v>
      </c>
      <c r="B1165" s="1173"/>
      <c r="C1165" s="1173"/>
      <c r="D1165" s="1174"/>
      <c r="E1165" s="247"/>
      <c r="F1165" s="365"/>
      <c r="G1165" s="366"/>
      <c r="H1165" s="662"/>
      <c r="I1165" s="365"/>
      <c r="J1165" s="365" t="s">
        <v>408</v>
      </c>
      <c r="K1165" s="247">
        <f>SUM(K1156:K1164)</f>
        <v>1129957.2819424428</v>
      </c>
      <c r="L1165" s="365" t="s">
        <v>76</v>
      </c>
      <c r="M1165" s="54"/>
      <c r="N1165" s="54"/>
      <c r="O1165" s="336"/>
      <c r="P1165" s="334"/>
      <c r="Q1165" s="335"/>
      <c r="R1165" s="336"/>
      <c r="U1165" s="337"/>
    </row>
    <row r="1166" spans="1:21" ht="30" customHeight="1" thickBot="1" x14ac:dyDescent="0.3">
      <c r="A1166" s="1336"/>
      <c r="B1166" s="1337"/>
      <c r="C1166" s="1337"/>
      <c r="D1166" s="1338"/>
      <c r="E1166" s="366"/>
      <c r="F1166" s="366"/>
      <c r="G1166" s="580" t="s">
        <v>306</v>
      </c>
      <c r="H1166" s="366"/>
      <c r="I1166" s="366"/>
      <c r="J1166" s="521">
        <f>VLOOKUP(B1153,'Mil Cost Premiums for PUCs'!$A$4:$R$277,18,FALSE)</f>
        <v>1.0485669999999998</v>
      </c>
      <c r="K1166" s="246">
        <f>+K1165*J1166</f>
        <v>1184835.9172545411</v>
      </c>
      <c r="L1166" s="365" t="s">
        <v>76</v>
      </c>
      <c r="M1166" s="54"/>
      <c r="N1166" s="54"/>
      <c r="O1166" s="336"/>
      <c r="P1166" s="334"/>
      <c r="Q1166" s="335"/>
      <c r="R1166" s="336"/>
      <c r="U1166" s="337"/>
    </row>
    <row r="1167" spans="1:21" ht="30" customHeight="1" thickBot="1" x14ac:dyDescent="0.3">
      <c r="A1167" s="1180"/>
      <c r="B1167" s="1181"/>
      <c r="C1167" s="1181"/>
      <c r="D1167" s="1181"/>
      <c r="E1167" s="1181"/>
      <c r="F1167" s="1181"/>
      <c r="G1167" s="1181"/>
      <c r="H1167" s="1181"/>
      <c r="I1167" s="1181"/>
      <c r="J1167" s="1181"/>
      <c r="K1167" s="1181"/>
      <c r="L1167" s="1182"/>
      <c r="M1167" s="54"/>
      <c r="N1167" s="54"/>
      <c r="O1167" s="336"/>
      <c r="P1167" s="334"/>
      <c r="Q1167" s="335"/>
      <c r="R1167" s="336"/>
      <c r="U1167" s="337"/>
    </row>
    <row r="1168" spans="1:21" ht="60" customHeight="1" x14ac:dyDescent="0.25">
      <c r="A1168" s="327" t="s">
        <v>5</v>
      </c>
      <c r="B1168" s="328">
        <v>1766</v>
      </c>
      <c r="C1168" s="1251" t="s">
        <v>869</v>
      </c>
      <c r="D1168" s="1252"/>
      <c r="E1168" s="331" t="s">
        <v>8</v>
      </c>
      <c r="F1168" s="332" t="s">
        <v>76</v>
      </c>
      <c r="G1168" s="346" t="s">
        <v>870</v>
      </c>
      <c r="H1168" s="711">
        <v>1</v>
      </c>
      <c r="I1168" s="331" t="s">
        <v>10</v>
      </c>
      <c r="J1168" s="1220" t="s">
        <v>832</v>
      </c>
      <c r="K1168" s="1220"/>
      <c r="L1168" s="1221"/>
      <c r="N1168" s="54"/>
      <c r="O1168" s="336"/>
      <c r="P1168" s="334"/>
      <c r="Q1168" s="335"/>
      <c r="R1168" s="336"/>
      <c r="U1168" s="337"/>
    </row>
    <row r="1169" spans="1:21" ht="30" customHeight="1" x14ac:dyDescent="0.25">
      <c r="A1169" s="356" t="s">
        <v>735</v>
      </c>
      <c r="B1169" s="1222" t="s">
        <v>326</v>
      </c>
      <c r="C1169" s="1235"/>
      <c r="D1169" s="1223"/>
      <c r="E1169" s="577" t="s">
        <v>116</v>
      </c>
      <c r="F1169" s="577" t="s">
        <v>117</v>
      </c>
      <c r="G1169" s="1194" t="s">
        <v>118</v>
      </c>
      <c r="H1169" s="1195"/>
      <c r="I1169" s="356" t="s">
        <v>296</v>
      </c>
      <c r="J1169" s="633" t="s">
        <v>303</v>
      </c>
      <c r="K1169" s="1236" t="s">
        <v>285</v>
      </c>
      <c r="L1169" s="1237"/>
      <c r="M1169" s="54"/>
      <c r="N1169" s="54"/>
      <c r="O1169" s="336"/>
      <c r="P1169" s="334"/>
      <c r="Q1169" s="335"/>
      <c r="R1169" s="336"/>
      <c r="U1169" s="337"/>
    </row>
    <row r="1170" spans="1:21" ht="30" customHeight="1" x14ac:dyDescent="0.25">
      <c r="A1170" s="356"/>
      <c r="B1170" s="1214" t="s">
        <v>871</v>
      </c>
      <c r="C1170" s="1215"/>
      <c r="D1170" s="1216"/>
      <c r="E1170" s="577"/>
      <c r="F1170" s="577"/>
      <c r="G1170" s="750"/>
      <c r="H1170" s="751"/>
      <c r="I1170" s="398"/>
      <c r="J1170" s="398"/>
      <c r="K1170" s="577"/>
      <c r="L1170" s="577"/>
      <c r="M1170" s="54"/>
      <c r="N1170" s="54"/>
      <c r="O1170" s="336"/>
      <c r="P1170" s="334"/>
      <c r="Q1170" s="335"/>
      <c r="R1170" s="336"/>
      <c r="U1170" s="337"/>
    </row>
    <row r="1171" spans="1:21" ht="30" customHeight="1" x14ac:dyDescent="0.25">
      <c r="A1171" s="365" t="s">
        <v>684</v>
      </c>
      <c r="B1171" s="1209" t="s">
        <v>872</v>
      </c>
      <c r="C1171" s="1210"/>
      <c r="D1171" s="1211"/>
      <c r="E1171" s="256">
        <f>+Q924</f>
        <v>9.6300000000000008</v>
      </c>
      <c r="F1171" s="365" t="s">
        <v>205</v>
      </c>
      <c r="G1171" s="753">
        <f>42*62</f>
        <v>2604</v>
      </c>
      <c r="H1171" s="695" t="s">
        <v>859</v>
      </c>
      <c r="I1171" s="706">
        <f>+S924</f>
        <v>1.23</v>
      </c>
      <c r="J1171" s="706">
        <f>+T924</f>
        <v>1</v>
      </c>
      <c r="K1171" s="247">
        <f t="shared" ref="K1171:K1182" si="14">+E1171*G1171*I1171*J1171</f>
        <v>30844.119600000002</v>
      </c>
      <c r="L1171" s="365" t="s">
        <v>76</v>
      </c>
      <c r="M1171" s="54"/>
      <c r="N1171" s="54"/>
      <c r="O1171" s="575"/>
      <c r="P1171" s="334"/>
      <c r="Q1171" s="335"/>
      <c r="R1171" s="336"/>
      <c r="U1171" s="337"/>
    </row>
    <row r="1172" spans="1:21" ht="30" customHeight="1" x14ac:dyDescent="0.25">
      <c r="A1172" s="365" t="s">
        <v>301</v>
      </c>
      <c r="B1172" s="1209" t="s">
        <v>691</v>
      </c>
      <c r="C1172" s="1210"/>
      <c r="D1172" s="1211"/>
      <c r="E1172" s="256">
        <f>+Q928</f>
        <v>504.5</v>
      </c>
      <c r="F1172" s="661" t="s">
        <v>76</v>
      </c>
      <c r="G1172" s="753">
        <v>42</v>
      </c>
      <c r="H1172" s="695" t="s">
        <v>860</v>
      </c>
      <c r="I1172" s="706">
        <f>+S928</f>
        <v>1.1000000000000001</v>
      </c>
      <c r="J1172" s="706">
        <f>+T928</f>
        <v>1</v>
      </c>
      <c r="K1172" s="247">
        <f t="shared" si="14"/>
        <v>23307.9</v>
      </c>
      <c r="L1172" s="365" t="s">
        <v>76</v>
      </c>
      <c r="M1172" s="110"/>
      <c r="N1172" s="54"/>
      <c r="O1172" s="784"/>
      <c r="P1172" s="334"/>
      <c r="Q1172" s="335"/>
      <c r="R1172" s="336"/>
      <c r="U1172" s="337"/>
    </row>
    <row r="1173" spans="1:21" ht="30" customHeight="1" x14ac:dyDescent="0.25">
      <c r="A1173" s="365" t="s">
        <v>301</v>
      </c>
      <c r="B1173" s="1281" t="s">
        <v>696</v>
      </c>
      <c r="C1173" s="1281"/>
      <c r="D1173" s="1281"/>
      <c r="E1173" s="256">
        <f>+Q930</f>
        <v>362.5</v>
      </c>
      <c r="F1173" s="661" t="s">
        <v>76</v>
      </c>
      <c r="G1173" s="753">
        <v>42</v>
      </c>
      <c r="H1173" s="695" t="s">
        <v>860</v>
      </c>
      <c r="I1173" s="706">
        <f>+S930</f>
        <v>1.1000000000000001</v>
      </c>
      <c r="J1173" s="706">
        <f>+T930</f>
        <v>1</v>
      </c>
      <c r="K1173" s="247">
        <f t="shared" si="14"/>
        <v>16747.5</v>
      </c>
      <c r="L1173" s="365" t="s">
        <v>76</v>
      </c>
      <c r="M1173" s="54"/>
      <c r="N1173" s="54"/>
      <c r="O1173" s="336"/>
      <c r="P1173" s="334"/>
      <c r="Q1173" s="335"/>
      <c r="R1173" s="336"/>
      <c r="U1173" s="337"/>
    </row>
    <row r="1174" spans="1:21" ht="30" customHeight="1" x14ac:dyDescent="0.25">
      <c r="A1174" s="365" t="s">
        <v>684</v>
      </c>
      <c r="B1174" s="1281" t="s">
        <v>873</v>
      </c>
      <c r="C1174" s="1281"/>
      <c r="D1174" s="1281"/>
      <c r="E1174" s="256">
        <f>+Q925</f>
        <v>11.77</v>
      </c>
      <c r="F1174" s="365" t="s">
        <v>205</v>
      </c>
      <c r="G1174" s="753">
        <f>25*468</f>
        <v>11700</v>
      </c>
      <c r="H1174" s="695" t="s">
        <v>859</v>
      </c>
      <c r="I1174" s="706">
        <f>+S925</f>
        <v>1.23</v>
      </c>
      <c r="J1174" s="706">
        <f>+T925</f>
        <v>1</v>
      </c>
      <c r="K1174" s="247">
        <f t="shared" si="14"/>
        <v>169382.07</v>
      </c>
      <c r="L1174" s="365" t="s">
        <v>76</v>
      </c>
      <c r="M1174" s="54"/>
      <c r="N1174" s="54"/>
      <c r="O1174" s="336"/>
      <c r="P1174" s="334"/>
      <c r="Q1174" s="335"/>
      <c r="R1174" s="336"/>
      <c r="U1174" s="337"/>
    </row>
    <row r="1175" spans="1:21" ht="30" customHeight="1" x14ac:dyDescent="0.25">
      <c r="A1175" s="365" t="s">
        <v>533</v>
      </c>
      <c r="B1175" s="1281" t="s">
        <v>874</v>
      </c>
      <c r="C1175" s="1281"/>
      <c r="D1175" s="1281"/>
      <c r="E1175" s="256">
        <f>+Q926</f>
        <v>20.25</v>
      </c>
      <c r="F1175" s="365" t="s">
        <v>205</v>
      </c>
      <c r="G1175" s="753">
        <f>2152*4</f>
        <v>8608</v>
      </c>
      <c r="H1175" s="695" t="s">
        <v>859</v>
      </c>
      <c r="I1175" s="706">
        <f>+S926</f>
        <v>1.1200000000000001</v>
      </c>
      <c r="J1175" s="706">
        <f>+T926</f>
        <v>1</v>
      </c>
      <c r="K1175" s="247">
        <f t="shared" si="14"/>
        <v>195229.44000000003</v>
      </c>
      <c r="L1175" s="365" t="s">
        <v>76</v>
      </c>
      <c r="M1175" s="54"/>
      <c r="N1175" s="54"/>
      <c r="O1175" s="336"/>
      <c r="P1175" s="334"/>
      <c r="Q1175" s="335"/>
      <c r="R1175" s="336"/>
      <c r="U1175" s="337"/>
    </row>
    <row r="1176" spans="1:21" ht="30" customHeight="1" x14ac:dyDescent="0.25">
      <c r="A1176" s="365" t="s">
        <v>533</v>
      </c>
      <c r="B1176" s="1281" t="s">
        <v>875</v>
      </c>
      <c r="C1176" s="1281"/>
      <c r="D1176" s="1281"/>
      <c r="E1176" s="256">
        <f>+Q926</f>
        <v>20.25</v>
      </c>
      <c r="F1176" s="365" t="s">
        <v>205</v>
      </c>
      <c r="G1176" s="753">
        <f>80.7*7</f>
        <v>564.9</v>
      </c>
      <c r="H1176" s="695" t="s">
        <v>859</v>
      </c>
      <c r="I1176" s="706">
        <f>+S926</f>
        <v>1.1200000000000001</v>
      </c>
      <c r="J1176" s="706">
        <f>+T926</f>
        <v>1</v>
      </c>
      <c r="K1176" s="247">
        <f t="shared" si="14"/>
        <v>12811.932000000003</v>
      </c>
      <c r="L1176" s="365" t="s">
        <v>76</v>
      </c>
      <c r="M1176" s="54"/>
      <c r="N1176" s="54"/>
      <c r="O1176" s="336"/>
      <c r="P1176" s="334"/>
      <c r="Q1176" s="335"/>
      <c r="R1176" s="336"/>
      <c r="U1176" s="337"/>
    </row>
    <row r="1177" spans="1:21" ht="30" customHeight="1" x14ac:dyDescent="0.25">
      <c r="A1177" s="365" t="s">
        <v>301</v>
      </c>
      <c r="B1177" s="1281" t="s">
        <v>694</v>
      </c>
      <c r="C1177" s="1281"/>
      <c r="D1177" s="1281"/>
      <c r="E1177" s="256">
        <f>+Q929</f>
        <v>920</v>
      </c>
      <c r="F1177" s="661" t="s">
        <v>76</v>
      </c>
      <c r="G1177" s="753">
        <v>36</v>
      </c>
      <c r="H1177" s="695" t="s">
        <v>860</v>
      </c>
      <c r="I1177" s="706">
        <f>+S929</f>
        <v>1.1000000000000001</v>
      </c>
      <c r="J1177" s="706">
        <f>+T929</f>
        <v>1</v>
      </c>
      <c r="K1177" s="247">
        <f t="shared" si="14"/>
        <v>36432</v>
      </c>
      <c r="L1177" s="365" t="s">
        <v>76</v>
      </c>
      <c r="M1177" s="54"/>
      <c r="N1177" s="54"/>
      <c r="O1177" s="336"/>
      <c r="P1177" s="334"/>
      <c r="Q1177" s="335"/>
      <c r="R1177" s="336"/>
      <c r="U1177" s="337"/>
    </row>
    <row r="1178" spans="1:21" ht="30" customHeight="1" x14ac:dyDescent="0.25">
      <c r="A1178" s="365" t="s">
        <v>520</v>
      </c>
      <c r="B1178" s="1281" t="s">
        <v>876</v>
      </c>
      <c r="C1178" s="1281"/>
      <c r="D1178" s="1281"/>
      <c r="E1178" s="256">
        <f>+Q935</f>
        <v>21.1</v>
      </c>
      <c r="F1178" s="661" t="s">
        <v>40</v>
      </c>
      <c r="G1178" s="753">
        <v>2967</v>
      </c>
      <c r="H1178" s="695" t="s">
        <v>863</v>
      </c>
      <c r="I1178" s="706">
        <f>+S935</f>
        <v>1.04</v>
      </c>
      <c r="J1178" s="706">
        <f>+T935</f>
        <v>1</v>
      </c>
      <c r="K1178" s="247">
        <f t="shared" si="14"/>
        <v>65107.848000000005</v>
      </c>
      <c r="L1178" s="365" t="s">
        <v>76</v>
      </c>
      <c r="M1178" s="54"/>
      <c r="N1178" s="54"/>
      <c r="O1178" s="336"/>
      <c r="P1178" s="334"/>
      <c r="Q1178" s="335"/>
      <c r="R1178" s="336"/>
      <c r="U1178" s="337"/>
    </row>
    <row r="1179" spans="1:21" ht="30" customHeight="1" x14ac:dyDescent="0.25">
      <c r="A1179" s="365" t="s">
        <v>520</v>
      </c>
      <c r="B1179" s="1281" t="s">
        <v>877</v>
      </c>
      <c r="C1179" s="1281"/>
      <c r="D1179" s="1281"/>
      <c r="E1179" s="256">
        <f>+Q936</f>
        <v>3227.5</v>
      </c>
      <c r="F1179" s="661" t="s">
        <v>76</v>
      </c>
      <c r="G1179" s="753">
        <v>11</v>
      </c>
      <c r="H1179" s="695" t="s">
        <v>860</v>
      </c>
      <c r="I1179" s="706">
        <f>+S936</f>
        <v>1.04</v>
      </c>
      <c r="J1179" s="706">
        <f>+T936</f>
        <v>1</v>
      </c>
      <c r="K1179" s="247">
        <f t="shared" si="14"/>
        <v>36922.6</v>
      </c>
      <c r="L1179" s="365" t="s">
        <v>76</v>
      </c>
      <c r="N1179" s="54"/>
      <c r="O1179" s="336"/>
      <c r="P1179" s="334"/>
      <c r="Q1179" s="335"/>
      <c r="R1179" s="336"/>
      <c r="U1179" s="337"/>
    </row>
    <row r="1180" spans="1:21" ht="30" customHeight="1" x14ac:dyDescent="0.25">
      <c r="A1180" s="365" t="s">
        <v>301</v>
      </c>
      <c r="B1180" s="1281" t="s">
        <v>796</v>
      </c>
      <c r="C1180" s="1281"/>
      <c r="D1180" s="1281"/>
      <c r="E1180" s="256">
        <f>+Q931</f>
        <v>1125</v>
      </c>
      <c r="F1180" s="661" t="s">
        <v>76</v>
      </c>
      <c r="G1180" s="753">
        <v>36</v>
      </c>
      <c r="H1180" s="695" t="s">
        <v>860</v>
      </c>
      <c r="I1180" s="706">
        <f t="shared" ref="I1180:J1182" si="15">+S931</f>
        <v>1.1000000000000001</v>
      </c>
      <c r="J1180" s="706">
        <f>+T931</f>
        <v>1</v>
      </c>
      <c r="K1180" s="247">
        <f t="shared" si="14"/>
        <v>44550</v>
      </c>
      <c r="L1180" s="365" t="s">
        <v>76</v>
      </c>
      <c r="M1180" s="110"/>
      <c r="N1180" s="54"/>
      <c r="O1180" s="336"/>
      <c r="P1180" s="334"/>
      <c r="Q1180" s="335"/>
      <c r="R1180" s="336"/>
      <c r="U1180" s="337"/>
    </row>
    <row r="1181" spans="1:21" ht="30" customHeight="1" x14ac:dyDescent="0.25">
      <c r="A1181" s="365" t="s">
        <v>698</v>
      </c>
      <c r="B1181" s="1281" t="s">
        <v>878</v>
      </c>
      <c r="C1181" s="1281"/>
      <c r="D1181" s="1281"/>
      <c r="E1181" s="256">
        <f>+Q932</f>
        <v>145.58000000000001</v>
      </c>
      <c r="F1181" s="661" t="s">
        <v>76</v>
      </c>
      <c r="G1181" s="785">
        <f>(5*25)+(4*53)</f>
        <v>337</v>
      </c>
      <c r="H1181" s="695" t="s">
        <v>860</v>
      </c>
      <c r="I1181" s="706">
        <f t="shared" si="15"/>
        <v>1.1000000000000001</v>
      </c>
      <c r="J1181" s="706">
        <f t="shared" si="15"/>
        <v>1</v>
      </c>
      <c r="K1181" s="247">
        <f t="shared" si="14"/>
        <v>53966.506000000008</v>
      </c>
      <c r="L1181" s="365" t="s">
        <v>76</v>
      </c>
      <c r="M1181" s="54"/>
      <c r="N1181" s="54"/>
      <c r="O1181" s="336"/>
      <c r="P1181" s="334"/>
      <c r="Q1181" s="335"/>
      <c r="R1181" s="336"/>
      <c r="U1181" s="337"/>
    </row>
    <row r="1182" spans="1:21" ht="30" customHeight="1" x14ac:dyDescent="0.25">
      <c r="A1182" s="365" t="s">
        <v>702</v>
      </c>
      <c r="B1182" s="1209" t="s">
        <v>879</v>
      </c>
      <c r="C1182" s="1210"/>
      <c r="D1182" s="1211"/>
      <c r="E1182" s="256">
        <f>+Q933</f>
        <v>19.62</v>
      </c>
      <c r="F1182" s="661" t="s">
        <v>40</v>
      </c>
      <c r="G1182" s="753">
        <f>5105*78</f>
        <v>398190</v>
      </c>
      <c r="H1182" s="695" t="s">
        <v>863</v>
      </c>
      <c r="I1182" s="706">
        <f t="shared" si="15"/>
        <v>1.1000000000000001</v>
      </c>
      <c r="J1182" s="706">
        <f t="shared" si="15"/>
        <v>1</v>
      </c>
      <c r="K1182" s="247">
        <f t="shared" si="14"/>
        <v>8593736.5800000019</v>
      </c>
      <c r="L1182" s="365" t="s">
        <v>76</v>
      </c>
      <c r="M1182" s="54"/>
      <c r="N1182" s="54"/>
      <c r="O1182" s="336"/>
      <c r="P1182" s="334"/>
      <c r="Q1182" s="335"/>
      <c r="R1182" s="336"/>
      <c r="U1182" s="337"/>
    </row>
    <row r="1183" spans="1:21" ht="30" customHeight="1" x14ac:dyDescent="0.25">
      <c r="A1183" s="365">
        <v>93410</v>
      </c>
      <c r="B1183" s="1209" t="s">
        <v>880</v>
      </c>
      <c r="C1183" s="1210"/>
      <c r="D1183" s="1211"/>
      <c r="E1183" s="255">
        <f>+Q943</f>
        <v>1.2</v>
      </c>
      <c r="F1183" s="661" t="s">
        <v>9</v>
      </c>
      <c r="G1183" s="753">
        <v>2488</v>
      </c>
      <c r="H1183" s="695" t="s">
        <v>864</v>
      </c>
      <c r="I1183" s="758">
        <f>+'2022 MILCON Inflation Table'!F21</f>
        <v>0.94047825952836139</v>
      </c>
      <c r="J1183" s="365"/>
      <c r="K1183" s="247">
        <f>+E1183*G1183*I1183</f>
        <v>2807.8918916478756</v>
      </c>
      <c r="L1183" s="365" t="s">
        <v>76</v>
      </c>
      <c r="M1183" s="54"/>
      <c r="N1183" s="54"/>
      <c r="O1183" s="336"/>
      <c r="P1183" s="334"/>
      <c r="Q1183" s="335"/>
      <c r="R1183" s="336"/>
      <c r="U1183" s="337"/>
    </row>
    <row r="1184" spans="1:21" ht="30" customHeight="1" x14ac:dyDescent="0.25">
      <c r="A1184" s="365" t="s">
        <v>684</v>
      </c>
      <c r="B1184" s="1209" t="s">
        <v>881</v>
      </c>
      <c r="C1184" s="1210"/>
      <c r="D1184" s="1211"/>
      <c r="E1184" s="256">
        <f>+Q925</f>
        <v>11.77</v>
      </c>
      <c r="F1184" s="365" t="s">
        <v>205</v>
      </c>
      <c r="G1184" s="753">
        <f>481*2</f>
        <v>962</v>
      </c>
      <c r="H1184" s="695" t="s">
        <v>859</v>
      </c>
      <c r="I1184" s="365">
        <f>+S925</f>
        <v>1.23</v>
      </c>
      <c r="J1184" s="706">
        <f>+T925</f>
        <v>1</v>
      </c>
      <c r="K1184" s="247">
        <f>+E1184*G1184*I1184*J1184</f>
        <v>13926.9702</v>
      </c>
      <c r="L1184" s="365" t="s">
        <v>76</v>
      </c>
      <c r="M1184" s="54"/>
      <c r="N1184" s="54"/>
      <c r="O1184" s="781"/>
      <c r="P1184" s="334"/>
      <c r="Q1184" s="335"/>
      <c r="R1184" s="336"/>
      <c r="U1184" s="337"/>
    </row>
    <row r="1185" spans="1:21" ht="30" customHeight="1" x14ac:dyDescent="0.25">
      <c r="A1185" s="365" t="s">
        <v>684</v>
      </c>
      <c r="B1185" s="1209" t="s">
        <v>882</v>
      </c>
      <c r="C1185" s="1210"/>
      <c r="D1185" s="1211"/>
      <c r="E1185" s="256">
        <f>+Q924</f>
        <v>9.6300000000000008</v>
      </c>
      <c r="F1185" s="365" t="s">
        <v>205</v>
      </c>
      <c r="G1185" s="753">
        <f>128*10</f>
        <v>1280</v>
      </c>
      <c r="H1185" s="695" t="s">
        <v>859</v>
      </c>
      <c r="I1185" s="365">
        <f>+S924</f>
        <v>1.23</v>
      </c>
      <c r="J1185" s="706">
        <f>+T924</f>
        <v>1</v>
      </c>
      <c r="K1185" s="247">
        <f>+E1185*G1185*I1185*J1185</f>
        <v>15161.472000000002</v>
      </c>
      <c r="L1185" s="365" t="s">
        <v>76</v>
      </c>
      <c r="M1185" s="54"/>
      <c r="O1185" s="781"/>
      <c r="P1185" s="334"/>
      <c r="Q1185" s="335"/>
      <c r="R1185" s="336"/>
      <c r="U1185" s="337"/>
    </row>
    <row r="1186" spans="1:21" ht="30" customHeight="1" x14ac:dyDescent="0.25">
      <c r="A1186" s="365">
        <v>93410</v>
      </c>
      <c r="B1186" s="1209" t="s">
        <v>883</v>
      </c>
      <c r="C1186" s="1210"/>
      <c r="D1186" s="1211"/>
      <c r="E1186" s="256">
        <f>+Q942</f>
        <v>8.6999999999999993</v>
      </c>
      <c r="F1186" s="661" t="s">
        <v>25</v>
      </c>
      <c r="G1186" s="753">
        <v>3662</v>
      </c>
      <c r="H1186" s="695" t="s">
        <v>867</v>
      </c>
      <c r="I1186" s="758">
        <f>+'2022 MILCON Inflation Table'!F21</f>
        <v>0.94047825952836139</v>
      </c>
      <c r="J1186" s="365"/>
      <c r="K1186" s="247">
        <f>+E1186*G1186*I1186</f>
        <v>29963.073061617873</v>
      </c>
      <c r="L1186" s="365" t="s">
        <v>76</v>
      </c>
      <c r="M1186" s="54"/>
      <c r="N1186" s="54"/>
      <c r="O1186" s="336"/>
      <c r="P1186" s="334"/>
      <c r="Q1186" s="335"/>
      <c r="R1186" s="336"/>
      <c r="U1186" s="337"/>
    </row>
    <row r="1187" spans="1:21" ht="30" customHeight="1" x14ac:dyDescent="0.25">
      <c r="A1187" s="365">
        <v>93210</v>
      </c>
      <c r="B1187" s="1209" t="s">
        <v>884</v>
      </c>
      <c r="C1187" s="1210"/>
      <c r="D1187" s="1211"/>
      <c r="E1187" s="256">
        <f>+Q944</f>
        <v>48.6</v>
      </c>
      <c r="F1187" s="661" t="s">
        <v>25</v>
      </c>
      <c r="G1187" s="753">
        <v>1063</v>
      </c>
      <c r="H1187" s="695" t="s">
        <v>867</v>
      </c>
      <c r="I1187" s="758">
        <f>+I1186</f>
        <v>0.94047825952836139</v>
      </c>
      <c r="J1187" s="365"/>
      <c r="K1187" s="247">
        <f>+E1187*G1187*I1187</f>
        <v>48586.799748102305</v>
      </c>
      <c r="L1187" s="365" t="s">
        <v>76</v>
      </c>
      <c r="M1187" s="54"/>
      <c r="N1187" s="54"/>
      <c r="O1187" s="336"/>
      <c r="P1187" s="334"/>
      <c r="Q1187" s="335"/>
      <c r="R1187" s="336"/>
      <c r="U1187" s="337"/>
    </row>
    <row r="1188" spans="1:21" ht="30" customHeight="1" x14ac:dyDescent="0.25">
      <c r="A1188" s="1172" t="s">
        <v>745</v>
      </c>
      <c r="B1188" s="1173"/>
      <c r="C1188" s="1173"/>
      <c r="D1188" s="1174"/>
      <c r="E1188" s="247"/>
      <c r="F1188" s="365"/>
      <c r="G1188" s="366"/>
      <c r="H1188" s="662"/>
      <c r="I1188" s="365"/>
      <c r="J1188" s="365" t="s">
        <v>408</v>
      </c>
      <c r="K1188" s="247">
        <f>SUM(K1174:K1187)</f>
        <v>9318585.1829013675</v>
      </c>
      <c r="L1188" s="365" t="s">
        <v>76</v>
      </c>
      <c r="M1188" s="54"/>
      <c r="N1188" s="54"/>
      <c r="O1188" s="336"/>
      <c r="P1188" s="334"/>
      <c r="Q1188" s="335"/>
      <c r="R1188" s="336"/>
      <c r="U1188" s="337"/>
    </row>
    <row r="1189" spans="1:21" ht="30" customHeight="1" thickBot="1" x14ac:dyDescent="0.3">
      <c r="A1189" s="1336"/>
      <c r="B1189" s="1337"/>
      <c r="C1189" s="1337"/>
      <c r="D1189" s="1338"/>
      <c r="E1189" s="366"/>
      <c r="F1189" s="366"/>
      <c r="G1189" s="580" t="s">
        <v>306</v>
      </c>
      <c r="H1189" s="366"/>
      <c r="I1189" s="366"/>
      <c r="J1189" s="521">
        <f>VLOOKUP(B1168,'Mil Cost Premiums for PUCs'!$A$4:$R$277,18,FALSE)</f>
        <v>1.0485669999999998</v>
      </c>
      <c r="K1189" s="246">
        <f>+K1188*J1189</f>
        <v>9771160.9094793368</v>
      </c>
      <c r="L1189" s="365" t="s">
        <v>76</v>
      </c>
      <c r="M1189" s="54"/>
      <c r="N1189" s="54"/>
      <c r="P1189" s="334"/>
      <c r="Q1189" s="335"/>
      <c r="R1189" s="336"/>
      <c r="U1189" s="337"/>
    </row>
    <row r="1190" spans="1:21" ht="30" customHeight="1" thickBot="1" x14ac:dyDescent="0.3">
      <c r="A1190" s="1180"/>
      <c r="B1190" s="1181"/>
      <c r="C1190" s="1181"/>
      <c r="D1190" s="1181"/>
      <c r="E1190" s="1181"/>
      <c r="F1190" s="1181"/>
      <c r="G1190" s="1181"/>
      <c r="H1190" s="1181"/>
      <c r="I1190" s="1181"/>
      <c r="J1190" s="1181"/>
      <c r="K1190" s="1181"/>
      <c r="L1190" s="1182"/>
      <c r="M1190" s="54"/>
      <c r="N1190" s="54"/>
      <c r="O1190" s="336"/>
      <c r="P1190" s="334"/>
      <c r="Q1190" s="335"/>
      <c r="R1190" s="336"/>
      <c r="U1190" s="337"/>
    </row>
    <row r="1191" spans="1:21" ht="30" customHeight="1" x14ac:dyDescent="0.25">
      <c r="A1191" s="327" t="s">
        <v>5</v>
      </c>
      <c r="B1191" s="328">
        <v>1767</v>
      </c>
      <c r="C1191" s="1251" t="s">
        <v>885</v>
      </c>
      <c r="D1191" s="1252"/>
      <c r="E1191" s="331" t="s">
        <v>8</v>
      </c>
      <c r="F1191" s="332" t="s">
        <v>76</v>
      </c>
      <c r="G1191" s="346" t="s">
        <v>7</v>
      </c>
      <c r="H1191" s="711" t="s">
        <v>716</v>
      </c>
      <c r="I1191" s="331" t="s">
        <v>10</v>
      </c>
      <c r="J1191" s="1220" t="s">
        <v>886</v>
      </c>
      <c r="K1191" s="1220"/>
      <c r="L1191" s="1221"/>
      <c r="M1191" s="54"/>
      <c r="N1191" s="54"/>
      <c r="O1191" s="336"/>
      <c r="P1191" s="334"/>
      <c r="Q1191" s="335"/>
      <c r="R1191" s="336"/>
      <c r="U1191" s="337"/>
    </row>
    <row r="1192" spans="1:21" ht="30" customHeight="1" x14ac:dyDescent="0.25">
      <c r="A1192" s="356" t="s">
        <v>282</v>
      </c>
      <c r="B1192" s="1222" t="s">
        <v>326</v>
      </c>
      <c r="C1192" s="1235"/>
      <c r="D1192" s="1223"/>
      <c r="E1192" s="577" t="s">
        <v>116</v>
      </c>
      <c r="F1192" s="577" t="s">
        <v>117</v>
      </c>
      <c r="G1192" s="1194" t="s">
        <v>118</v>
      </c>
      <c r="H1192" s="1195"/>
      <c r="I1192" s="356" t="s">
        <v>296</v>
      </c>
      <c r="J1192" s="633" t="s">
        <v>303</v>
      </c>
      <c r="K1192" s="1236" t="s">
        <v>285</v>
      </c>
      <c r="L1192" s="1237"/>
      <c r="M1192" s="54"/>
      <c r="N1192" s="54"/>
      <c r="O1192" s="786"/>
      <c r="P1192" s="334"/>
      <c r="Q1192" s="335"/>
      <c r="R1192" s="336"/>
      <c r="U1192" s="337"/>
    </row>
    <row r="1193" spans="1:21" ht="30" customHeight="1" thickBot="1" x14ac:dyDescent="0.3">
      <c r="A1193" s="357"/>
      <c r="B1193" s="1172"/>
      <c r="C1193" s="1173"/>
      <c r="D1193" s="1174"/>
      <c r="E1193" s="787"/>
      <c r="F1193" s="787"/>
      <c r="G1193" s="788"/>
      <c r="H1193" s="789"/>
      <c r="I1193" s="790"/>
      <c r="J1193" s="790"/>
      <c r="K1193" s="1750" t="s">
        <v>716</v>
      </c>
      <c r="L1193" s="1750" t="s">
        <v>76</v>
      </c>
      <c r="M1193" s="54"/>
      <c r="N1193" s="54"/>
      <c r="O1193" s="575"/>
      <c r="P1193" s="334"/>
      <c r="Q1193" s="335"/>
      <c r="R1193" s="336"/>
      <c r="U1193" s="337"/>
    </row>
    <row r="1194" spans="1:21" ht="30" customHeight="1" thickBot="1" x14ac:dyDescent="0.3">
      <c r="A1194" s="1535"/>
      <c r="B1194" s="1536"/>
      <c r="C1194" s="1536"/>
      <c r="D1194" s="1536"/>
      <c r="E1194" s="1536"/>
      <c r="F1194" s="1536"/>
      <c r="G1194" s="1536"/>
      <c r="H1194" s="1536"/>
      <c r="I1194" s="1536"/>
      <c r="J1194" s="1536"/>
      <c r="K1194" s="1536"/>
      <c r="L1194" s="1537"/>
      <c r="M1194" s="54"/>
      <c r="N1194" s="54"/>
      <c r="O1194" s="336"/>
      <c r="P1194" s="334"/>
      <c r="Q1194" s="335"/>
      <c r="R1194" s="336"/>
      <c r="U1194" s="337"/>
    </row>
    <row r="1195" spans="1:21" ht="45" customHeight="1" x14ac:dyDescent="0.25">
      <c r="A1195" s="349" t="s">
        <v>5</v>
      </c>
      <c r="B1195" s="350">
        <v>1768</v>
      </c>
      <c r="C1195" s="1151" t="s">
        <v>887</v>
      </c>
      <c r="D1195" s="1152"/>
      <c r="E1195" s="351" t="s">
        <v>8</v>
      </c>
      <c r="F1195" s="352" t="s">
        <v>76</v>
      </c>
      <c r="G1195" s="355" t="s">
        <v>7</v>
      </c>
      <c r="H1195" s="777">
        <v>1</v>
      </c>
      <c r="I1195" s="351" t="s">
        <v>10</v>
      </c>
      <c r="J1195" s="1533" t="s">
        <v>813</v>
      </c>
      <c r="K1195" s="1533"/>
      <c r="L1195" s="1534"/>
      <c r="M1195" s="54"/>
      <c r="N1195" s="54"/>
      <c r="O1195" s="336"/>
      <c r="P1195" s="334"/>
      <c r="Q1195" s="335"/>
      <c r="R1195" s="336"/>
      <c r="U1195" s="337"/>
    </row>
    <row r="1196" spans="1:21" ht="30" customHeight="1" x14ac:dyDescent="0.25">
      <c r="A1196" s="356" t="s">
        <v>282</v>
      </c>
      <c r="B1196" s="1222" t="s">
        <v>326</v>
      </c>
      <c r="C1196" s="1235"/>
      <c r="D1196" s="1223"/>
      <c r="E1196" s="577" t="s">
        <v>116</v>
      </c>
      <c r="F1196" s="577" t="s">
        <v>117</v>
      </c>
      <c r="G1196" s="1194" t="s">
        <v>118</v>
      </c>
      <c r="H1196" s="1195"/>
      <c r="I1196" s="356" t="s">
        <v>296</v>
      </c>
      <c r="J1196" s="633" t="s">
        <v>303</v>
      </c>
      <c r="K1196" s="1236" t="s">
        <v>285</v>
      </c>
      <c r="L1196" s="1237"/>
      <c r="M1196" s="54"/>
      <c r="N1196" s="54"/>
      <c r="O1196" s="575"/>
      <c r="P1196" s="334"/>
      <c r="Q1196" s="335"/>
      <c r="R1196" s="336"/>
      <c r="U1196" s="337"/>
    </row>
    <row r="1197" spans="1:21" ht="30" customHeight="1" x14ac:dyDescent="0.25">
      <c r="A1197" s="356"/>
      <c r="B1197" s="1209" t="s">
        <v>888</v>
      </c>
      <c r="C1197" s="1210"/>
      <c r="D1197" s="1211"/>
      <c r="E1197" s="577"/>
      <c r="F1197" s="577"/>
      <c r="G1197" s="750"/>
      <c r="H1197" s="751"/>
      <c r="I1197" s="398"/>
      <c r="J1197" s="398"/>
      <c r="K1197" s="577"/>
      <c r="L1197" s="577"/>
      <c r="M1197" s="54"/>
      <c r="N1197" s="54"/>
      <c r="O1197" s="336"/>
      <c r="P1197" s="334"/>
      <c r="Q1197" s="335"/>
      <c r="R1197" s="336"/>
      <c r="U1197" s="337"/>
    </row>
    <row r="1198" spans="1:21" ht="30" customHeight="1" x14ac:dyDescent="0.25">
      <c r="A1198" s="365">
        <v>93410</v>
      </c>
      <c r="B1198" s="1209" t="s">
        <v>866</v>
      </c>
      <c r="C1198" s="1210"/>
      <c r="D1198" s="1211"/>
      <c r="E1198" s="256">
        <f>+Q942</f>
        <v>8.6999999999999993</v>
      </c>
      <c r="F1198" s="661" t="s">
        <v>25</v>
      </c>
      <c r="G1198" s="696">
        <v>279</v>
      </c>
      <c r="H1198" s="695" t="s">
        <v>867</v>
      </c>
      <c r="I1198" s="782">
        <f>+'2022 MILCON Inflation Table'!F21</f>
        <v>0.94047825952836139</v>
      </c>
      <c r="J1198" s="365"/>
      <c r="K1198" s="247">
        <f>+E1198*G1198*I1198</f>
        <v>2282.8228793531912</v>
      </c>
      <c r="L1198" s="365" t="s">
        <v>76</v>
      </c>
      <c r="M1198" s="54"/>
      <c r="N1198" s="54"/>
      <c r="O1198" s="336"/>
      <c r="P1198" s="334"/>
      <c r="Q1198" s="335"/>
      <c r="R1198" s="336"/>
      <c r="U1198" s="337"/>
    </row>
    <row r="1199" spans="1:21" ht="30" customHeight="1" x14ac:dyDescent="0.25">
      <c r="A1199" s="365">
        <v>93210</v>
      </c>
      <c r="B1199" s="1209" t="s">
        <v>868</v>
      </c>
      <c r="C1199" s="1210"/>
      <c r="D1199" s="1211"/>
      <c r="E1199" s="256">
        <f>+Q944</f>
        <v>48.6</v>
      </c>
      <c r="F1199" s="661" t="s">
        <v>25</v>
      </c>
      <c r="G1199" s="696">
        <v>215</v>
      </c>
      <c r="H1199" s="695" t="s">
        <v>867</v>
      </c>
      <c r="I1199" s="782">
        <f>+I1198</f>
        <v>0.94047825952836139</v>
      </c>
      <c r="J1199" s="365"/>
      <c r="K1199" s="247">
        <f>+E1199*G1199*I1199</f>
        <v>9827.0573338118484</v>
      </c>
      <c r="L1199" s="365" t="s">
        <v>76</v>
      </c>
      <c r="M1199" s="54"/>
      <c r="N1199" s="54"/>
      <c r="O1199" s="336"/>
      <c r="P1199" s="334"/>
      <c r="Q1199" s="335"/>
      <c r="R1199" s="336"/>
      <c r="U1199" s="337"/>
    </row>
    <row r="1200" spans="1:21" ht="30" customHeight="1" x14ac:dyDescent="0.25">
      <c r="A1200" s="1172" t="s">
        <v>745</v>
      </c>
      <c r="B1200" s="1173"/>
      <c r="C1200" s="1173"/>
      <c r="D1200" s="1174"/>
      <c r="E1200" s="247"/>
      <c r="F1200" s="365"/>
      <c r="G1200" s="366"/>
      <c r="H1200" s="662"/>
      <c r="I1200" s="365"/>
      <c r="J1200" s="365" t="s">
        <v>408</v>
      </c>
      <c r="K1200" s="247">
        <f>SUM(K1198:K1199)</f>
        <v>12109.880213165039</v>
      </c>
      <c r="L1200" s="365" t="s">
        <v>76</v>
      </c>
      <c r="N1200" s="54"/>
      <c r="O1200" s="336"/>
      <c r="P1200" s="334"/>
      <c r="Q1200" s="335"/>
      <c r="R1200" s="336"/>
      <c r="U1200" s="337"/>
    </row>
    <row r="1201" spans="1:21" ht="30" customHeight="1" thickBot="1" x14ac:dyDescent="0.3">
      <c r="A1201" s="1175"/>
      <c r="B1201" s="1176"/>
      <c r="C1201" s="1176"/>
      <c r="D1201" s="1177"/>
      <c r="E1201" s="371"/>
      <c r="F1201" s="371"/>
      <c r="G1201" s="791" t="s">
        <v>306</v>
      </c>
      <c r="H1201" s="371"/>
      <c r="I1201" s="371"/>
      <c r="J1201" s="792">
        <f>VLOOKUP(B1195,'Mil Cost Premiums for PUCs'!$A$4:$R$277,18,FALSE)</f>
        <v>1.0485669999999998</v>
      </c>
      <c r="K1201" s="137">
        <f>+K1200*J1201</f>
        <v>12698.020765477822</v>
      </c>
      <c r="L1201" s="369" t="s">
        <v>76</v>
      </c>
      <c r="M1201" s="110"/>
      <c r="N1201" s="54"/>
      <c r="O1201" s="336"/>
      <c r="P1201" s="334"/>
      <c r="Q1201" s="335"/>
      <c r="R1201" s="336"/>
      <c r="U1201" s="337"/>
    </row>
    <row r="1202" spans="1:21" ht="30" customHeight="1" thickBot="1" x14ac:dyDescent="0.3">
      <c r="A1202" s="1180"/>
      <c r="B1202" s="1181"/>
      <c r="C1202" s="1181"/>
      <c r="D1202" s="1181"/>
      <c r="E1202" s="1181"/>
      <c r="F1202" s="1181"/>
      <c r="G1202" s="1181"/>
      <c r="H1202" s="1181"/>
      <c r="I1202" s="1181"/>
      <c r="J1202" s="1181"/>
      <c r="K1202" s="1181"/>
      <c r="L1202" s="1182"/>
      <c r="M1202" s="54"/>
      <c r="N1202" s="54"/>
      <c r="P1202" s="334"/>
      <c r="Q1202" s="335"/>
      <c r="R1202" s="336"/>
      <c r="U1202" s="337"/>
    </row>
    <row r="1203" spans="1:21" ht="75" customHeight="1" x14ac:dyDescent="0.25">
      <c r="A1203" s="349" t="s">
        <v>5</v>
      </c>
      <c r="B1203" s="350">
        <v>1769</v>
      </c>
      <c r="C1203" s="1151" t="s">
        <v>889</v>
      </c>
      <c r="D1203" s="1152"/>
      <c r="E1203" s="351" t="s">
        <v>8</v>
      </c>
      <c r="F1203" s="352" t="s">
        <v>76</v>
      </c>
      <c r="G1203" s="355" t="s">
        <v>890</v>
      </c>
      <c r="H1203" s="777">
        <v>1</v>
      </c>
      <c r="I1203" s="351" t="s">
        <v>10</v>
      </c>
      <c r="J1203" s="1185" t="s">
        <v>832</v>
      </c>
      <c r="K1203" s="1185"/>
      <c r="L1203" s="1532"/>
      <c r="M1203" s="54"/>
      <c r="N1203" s="54"/>
      <c r="P1203" s="334"/>
      <c r="Q1203" s="335"/>
      <c r="R1203" s="336"/>
      <c r="U1203" s="337"/>
    </row>
    <row r="1204" spans="1:21" ht="30" customHeight="1" x14ac:dyDescent="0.25">
      <c r="A1204" s="356" t="s">
        <v>735</v>
      </c>
      <c r="B1204" s="1222" t="s">
        <v>326</v>
      </c>
      <c r="C1204" s="1235"/>
      <c r="D1204" s="1223"/>
      <c r="E1204" s="577" t="s">
        <v>116</v>
      </c>
      <c r="F1204" s="577" t="s">
        <v>117</v>
      </c>
      <c r="G1204" s="1194" t="s">
        <v>118</v>
      </c>
      <c r="H1204" s="1195"/>
      <c r="I1204" s="356" t="s">
        <v>296</v>
      </c>
      <c r="J1204" s="633" t="s">
        <v>303</v>
      </c>
      <c r="K1204" s="1236" t="s">
        <v>285</v>
      </c>
      <c r="L1204" s="1237"/>
      <c r="M1204" s="54"/>
      <c r="N1204" s="54"/>
      <c r="O1204" s="336"/>
      <c r="P1204" s="334"/>
      <c r="Q1204" s="335"/>
      <c r="R1204" s="336"/>
      <c r="U1204" s="337"/>
    </row>
    <row r="1205" spans="1:21" ht="30" customHeight="1" x14ac:dyDescent="0.25">
      <c r="A1205" s="356"/>
      <c r="B1205" s="1214" t="s">
        <v>891</v>
      </c>
      <c r="C1205" s="1215"/>
      <c r="D1205" s="1216"/>
      <c r="E1205" s="577"/>
      <c r="F1205" s="577"/>
      <c r="G1205" s="750"/>
      <c r="H1205" s="751"/>
      <c r="I1205" s="398"/>
      <c r="J1205" s="398"/>
      <c r="K1205" s="577"/>
      <c r="L1205" s="577"/>
      <c r="M1205" s="54"/>
      <c r="N1205" s="54"/>
      <c r="O1205" s="336"/>
      <c r="P1205" s="334"/>
      <c r="Q1205" s="335"/>
      <c r="R1205" s="336"/>
      <c r="U1205" s="337"/>
    </row>
    <row r="1206" spans="1:21" ht="30" customHeight="1" x14ac:dyDescent="0.25">
      <c r="A1206" s="365" t="s">
        <v>684</v>
      </c>
      <c r="B1206" s="1209" t="s">
        <v>892</v>
      </c>
      <c r="C1206" s="1210"/>
      <c r="D1206" s="1211"/>
      <c r="E1206" s="256">
        <f>+Q924</f>
        <v>9.6300000000000008</v>
      </c>
      <c r="F1206" s="365" t="s">
        <v>205</v>
      </c>
      <c r="G1206" s="661">
        <f>16*62</f>
        <v>992</v>
      </c>
      <c r="H1206" s="695" t="s">
        <v>859</v>
      </c>
      <c r="I1206" s="706">
        <f>+S924</f>
        <v>1.23</v>
      </c>
      <c r="J1206" s="706">
        <f>+T924</f>
        <v>1</v>
      </c>
      <c r="K1206" s="247">
        <f t="shared" ref="K1206:K1215" si="16">+E1206*G1206*I1206*J1206</f>
        <v>11750.140800000001</v>
      </c>
      <c r="L1206" s="365" t="s">
        <v>76</v>
      </c>
      <c r="M1206" s="54"/>
      <c r="N1206" s="54"/>
      <c r="O1206" s="336"/>
      <c r="P1206" s="334"/>
      <c r="Q1206" s="335"/>
      <c r="R1206" s="336"/>
      <c r="U1206" s="337"/>
    </row>
    <row r="1207" spans="1:21" ht="30" customHeight="1" x14ac:dyDescent="0.25">
      <c r="A1207" s="365" t="s">
        <v>301</v>
      </c>
      <c r="B1207" s="1281" t="s">
        <v>691</v>
      </c>
      <c r="C1207" s="1281"/>
      <c r="D1207" s="1281"/>
      <c r="E1207" s="256">
        <f>+Q928</f>
        <v>504.5</v>
      </c>
      <c r="F1207" s="661" t="s">
        <v>76</v>
      </c>
      <c r="G1207" s="661">
        <v>16</v>
      </c>
      <c r="H1207" s="695" t="s">
        <v>860</v>
      </c>
      <c r="I1207" s="706">
        <f>+S928</f>
        <v>1.1000000000000001</v>
      </c>
      <c r="J1207" s="706">
        <f>+T928</f>
        <v>1</v>
      </c>
      <c r="K1207" s="247">
        <f t="shared" si="16"/>
        <v>8879.2000000000007</v>
      </c>
      <c r="L1207" s="365" t="s">
        <v>76</v>
      </c>
      <c r="M1207" s="54"/>
      <c r="N1207" s="54"/>
      <c r="O1207" s="336"/>
      <c r="P1207" s="334"/>
      <c r="Q1207" s="335"/>
      <c r="R1207" s="336"/>
      <c r="U1207" s="337"/>
    </row>
    <row r="1208" spans="1:21" ht="30" customHeight="1" x14ac:dyDescent="0.25">
      <c r="A1208" s="365" t="s">
        <v>301</v>
      </c>
      <c r="B1208" s="1281" t="s">
        <v>696</v>
      </c>
      <c r="C1208" s="1281"/>
      <c r="D1208" s="1281"/>
      <c r="E1208" s="256">
        <f>+Q930</f>
        <v>362.5</v>
      </c>
      <c r="F1208" s="661" t="s">
        <v>76</v>
      </c>
      <c r="G1208" s="661">
        <v>16</v>
      </c>
      <c r="H1208" s="695" t="s">
        <v>860</v>
      </c>
      <c r="I1208" s="706">
        <f>+S930</f>
        <v>1.1000000000000001</v>
      </c>
      <c r="J1208" s="706">
        <f>+T930</f>
        <v>1</v>
      </c>
      <c r="K1208" s="247">
        <f t="shared" si="16"/>
        <v>6380.0000000000009</v>
      </c>
      <c r="L1208" s="365" t="s">
        <v>76</v>
      </c>
      <c r="M1208" s="54"/>
      <c r="N1208" s="54"/>
      <c r="O1208" s="336"/>
      <c r="P1208" s="334"/>
      <c r="Q1208" s="335"/>
      <c r="R1208" s="336"/>
      <c r="U1208" s="337"/>
    </row>
    <row r="1209" spans="1:21" ht="30" customHeight="1" x14ac:dyDescent="0.25">
      <c r="A1209" s="365" t="s">
        <v>533</v>
      </c>
      <c r="B1209" s="1281" t="s">
        <v>893</v>
      </c>
      <c r="C1209" s="1281"/>
      <c r="D1209" s="1281"/>
      <c r="E1209" s="256">
        <f>+Q926</f>
        <v>20.25</v>
      </c>
      <c r="F1209" s="365" t="s">
        <v>205</v>
      </c>
      <c r="G1209" s="661">
        <f>80.7*8</f>
        <v>645.6</v>
      </c>
      <c r="H1209" s="695" t="s">
        <v>859</v>
      </c>
      <c r="I1209" s="706">
        <f>+S926</f>
        <v>1.1200000000000001</v>
      </c>
      <c r="J1209" s="706">
        <f>+T926</f>
        <v>1</v>
      </c>
      <c r="K1209" s="247">
        <f t="shared" si="16"/>
        <v>14642.208000000001</v>
      </c>
      <c r="L1209" s="365" t="s">
        <v>76</v>
      </c>
      <c r="M1209" s="54"/>
      <c r="O1209" s="336"/>
      <c r="P1209" s="334"/>
      <c r="Q1209" s="335"/>
      <c r="R1209" s="336"/>
      <c r="U1209" s="337"/>
    </row>
    <row r="1210" spans="1:21" ht="30" customHeight="1" x14ac:dyDescent="0.25">
      <c r="A1210" s="365" t="s">
        <v>301</v>
      </c>
      <c r="B1210" s="1281" t="s">
        <v>694</v>
      </c>
      <c r="C1210" s="1281"/>
      <c r="D1210" s="1281"/>
      <c r="E1210" s="256">
        <f>+Q929</f>
        <v>920</v>
      </c>
      <c r="F1210" s="661" t="s">
        <v>76</v>
      </c>
      <c r="G1210" s="661">
        <v>8</v>
      </c>
      <c r="H1210" s="695" t="s">
        <v>860</v>
      </c>
      <c r="I1210" s="706">
        <f>+S929</f>
        <v>1.1000000000000001</v>
      </c>
      <c r="J1210" s="706">
        <f>+T929</f>
        <v>1</v>
      </c>
      <c r="K1210" s="247">
        <f t="shared" si="16"/>
        <v>8096.0000000000009</v>
      </c>
      <c r="L1210" s="365" t="s">
        <v>76</v>
      </c>
      <c r="M1210" s="54"/>
      <c r="N1210" s="54"/>
      <c r="P1210" s="334"/>
      <c r="Q1210" s="335"/>
      <c r="R1210" s="336"/>
      <c r="U1210" s="337"/>
    </row>
    <row r="1211" spans="1:21" ht="30" customHeight="1" x14ac:dyDescent="0.25">
      <c r="A1211" s="365" t="s">
        <v>520</v>
      </c>
      <c r="B1211" s="1281" t="s">
        <v>894</v>
      </c>
      <c r="C1211" s="1281"/>
      <c r="D1211" s="1281"/>
      <c r="E1211" s="256">
        <f>+Q935</f>
        <v>21.1</v>
      </c>
      <c r="F1211" s="661" t="s">
        <v>40</v>
      </c>
      <c r="G1211" s="661">
        <f>49*8</f>
        <v>392</v>
      </c>
      <c r="H1211" s="695" t="s">
        <v>863</v>
      </c>
      <c r="I1211" s="706">
        <f>+S935</f>
        <v>1.04</v>
      </c>
      <c r="J1211" s="706">
        <f>+T935</f>
        <v>1</v>
      </c>
      <c r="K1211" s="247">
        <f t="shared" si="16"/>
        <v>8602.0480000000007</v>
      </c>
      <c r="L1211" s="365" t="s">
        <v>76</v>
      </c>
      <c r="M1211" s="54"/>
      <c r="N1211" s="54"/>
      <c r="P1211" s="334"/>
      <c r="Q1211" s="335"/>
      <c r="R1211" s="336"/>
      <c r="U1211" s="337"/>
    </row>
    <row r="1212" spans="1:21" ht="30" customHeight="1" x14ac:dyDescent="0.25">
      <c r="A1212" s="365" t="s">
        <v>520</v>
      </c>
      <c r="B1212" s="1281" t="s">
        <v>708</v>
      </c>
      <c r="C1212" s="1281"/>
      <c r="D1212" s="1281"/>
      <c r="E1212" s="256">
        <f>+Q936</f>
        <v>3227.5</v>
      </c>
      <c r="F1212" s="661" t="s">
        <v>76</v>
      </c>
      <c r="G1212" s="661">
        <v>8</v>
      </c>
      <c r="H1212" s="695" t="s">
        <v>860</v>
      </c>
      <c r="I1212" s="706">
        <f>+S936</f>
        <v>1.04</v>
      </c>
      <c r="J1212" s="706">
        <f>+T936</f>
        <v>1</v>
      </c>
      <c r="K1212" s="247">
        <f t="shared" si="16"/>
        <v>26852.799999999999</v>
      </c>
      <c r="L1212" s="365" t="s">
        <v>76</v>
      </c>
      <c r="M1212" s="54"/>
      <c r="N1212" s="54"/>
      <c r="O1212" s="336"/>
      <c r="P1212" s="334"/>
      <c r="Q1212" s="335"/>
      <c r="R1212" s="336"/>
      <c r="U1212" s="337"/>
    </row>
    <row r="1213" spans="1:21" ht="30" customHeight="1" x14ac:dyDescent="0.25">
      <c r="A1213" s="365" t="s">
        <v>301</v>
      </c>
      <c r="B1213" s="1281" t="s">
        <v>796</v>
      </c>
      <c r="C1213" s="1281"/>
      <c r="D1213" s="1281"/>
      <c r="E1213" s="256">
        <f>+Q931</f>
        <v>1125</v>
      </c>
      <c r="F1213" s="661" t="s">
        <v>76</v>
      </c>
      <c r="G1213" s="661">
        <v>8</v>
      </c>
      <c r="H1213" s="695" t="s">
        <v>860</v>
      </c>
      <c r="I1213" s="706">
        <f t="shared" ref="I1213:J1215" si="17">+S931</f>
        <v>1.1000000000000001</v>
      </c>
      <c r="J1213" s="706">
        <f t="shared" si="17"/>
        <v>1</v>
      </c>
      <c r="K1213" s="247">
        <f t="shared" si="16"/>
        <v>9900</v>
      </c>
      <c r="L1213" s="365" t="s">
        <v>76</v>
      </c>
      <c r="M1213" s="54"/>
      <c r="N1213" s="54"/>
      <c r="O1213" s="336"/>
      <c r="P1213" s="334"/>
      <c r="Q1213" s="335"/>
      <c r="R1213" s="336"/>
      <c r="U1213" s="337"/>
    </row>
    <row r="1214" spans="1:21" ht="30" customHeight="1" x14ac:dyDescent="0.25">
      <c r="A1214" s="365" t="s">
        <v>698</v>
      </c>
      <c r="B1214" s="1281" t="s">
        <v>778</v>
      </c>
      <c r="C1214" s="1281"/>
      <c r="D1214" s="1281"/>
      <c r="E1214" s="256">
        <f>+Q932</f>
        <v>145.58000000000001</v>
      </c>
      <c r="F1214" s="661" t="s">
        <v>76</v>
      </c>
      <c r="G1214" s="661">
        <v>96</v>
      </c>
      <c r="H1214" s="695" t="s">
        <v>860</v>
      </c>
      <c r="I1214" s="706">
        <f t="shared" si="17"/>
        <v>1.1000000000000001</v>
      </c>
      <c r="J1214" s="706">
        <f t="shared" si="17"/>
        <v>1</v>
      </c>
      <c r="K1214" s="247">
        <f t="shared" si="16"/>
        <v>15373.248000000001</v>
      </c>
      <c r="L1214" s="365" t="s">
        <v>76</v>
      </c>
      <c r="M1214" s="54"/>
      <c r="N1214" s="54"/>
      <c r="P1214" s="334"/>
      <c r="Q1214" s="335"/>
      <c r="R1214" s="336"/>
      <c r="U1214" s="337"/>
    </row>
    <row r="1215" spans="1:21" ht="30" customHeight="1" x14ac:dyDescent="0.25">
      <c r="A1215" s="365" t="s">
        <v>702</v>
      </c>
      <c r="B1215" s="1281" t="s">
        <v>895</v>
      </c>
      <c r="C1215" s="1281"/>
      <c r="D1215" s="1281"/>
      <c r="E1215" s="256">
        <f>+Q933</f>
        <v>19.62</v>
      </c>
      <c r="F1215" s="661" t="s">
        <v>40</v>
      </c>
      <c r="G1215" s="753">
        <f>356*12</f>
        <v>4272</v>
      </c>
      <c r="H1215" s="695" t="s">
        <v>863</v>
      </c>
      <c r="I1215" s="706">
        <f t="shared" si="17"/>
        <v>1.1000000000000001</v>
      </c>
      <c r="J1215" s="706">
        <f t="shared" si="17"/>
        <v>1</v>
      </c>
      <c r="K1215" s="247">
        <f t="shared" si="16"/>
        <v>92198.304000000004</v>
      </c>
      <c r="L1215" s="365" t="s">
        <v>76</v>
      </c>
      <c r="M1215" s="54"/>
      <c r="N1215" s="54"/>
      <c r="O1215" s="336"/>
      <c r="P1215" s="334"/>
      <c r="Q1215" s="335"/>
      <c r="R1215" s="336"/>
      <c r="U1215" s="337"/>
    </row>
    <row r="1216" spans="1:21" ht="30" customHeight="1" x14ac:dyDescent="0.25">
      <c r="A1216" s="365">
        <v>93410</v>
      </c>
      <c r="B1216" s="1281" t="s">
        <v>896</v>
      </c>
      <c r="C1216" s="1281"/>
      <c r="D1216" s="1281"/>
      <c r="E1216" s="255">
        <f>+Q943</f>
        <v>1.2</v>
      </c>
      <c r="F1216" s="661" t="s">
        <v>9</v>
      </c>
      <c r="G1216" s="753">
        <v>478</v>
      </c>
      <c r="H1216" s="695" t="s">
        <v>864</v>
      </c>
      <c r="I1216" s="782">
        <f>+'2022 MILCON Inflation Table'!F21</f>
        <v>0.94047825952836139</v>
      </c>
      <c r="J1216" s="706"/>
      <c r="K1216" s="247">
        <f>+E1216*G1216*I1216</f>
        <v>539.45832966546811</v>
      </c>
      <c r="L1216" s="365" t="s">
        <v>76</v>
      </c>
      <c r="M1216" s="54"/>
      <c r="N1216" s="54"/>
      <c r="O1216" s="336"/>
      <c r="P1216" s="334"/>
      <c r="Q1216" s="335"/>
      <c r="R1216" s="336"/>
      <c r="U1216" s="337"/>
    </row>
    <row r="1217" spans="1:21" ht="30" customHeight="1" x14ac:dyDescent="0.25">
      <c r="A1217" s="365" t="s">
        <v>684</v>
      </c>
      <c r="B1217" s="1281" t="s">
        <v>897</v>
      </c>
      <c r="C1217" s="1281"/>
      <c r="D1217" s="1281"/>
      <c r="E1217" s="256">
        <f>+Q925</f>
        <v>11.77</v>
      </c>
      <c r="F1217" s="365" t="s">
        <v>205</v>
      </c>
      <c r="G1217" s="753">
        <f>481*2</f>
        <v>962</v>
      </c>
      <c r="H1217" s="695" t="s">
        <v>859</v>
      </c>
      <c r="I1217" s="706">
        <f>+S925</f>
        <v>1.23</v>
      </c>
      <c r="J1217" s="706">
        <f>+T925</f>
        <v>1</v>
      </c>
      <c r="K1217" s="247">
        <f>+E1217*G1217*I1217*J1217</f>
        <v>13926.9702</v>
      </c>
      <c r="L1217" s="365" t="s">
        <v>76</v>
      </c>
      <c r="M1217" s="54"/>
      <c r="N1217" s="54"/>
      <c r="O1217" s="336"/>
      <c r="P1217" s="334"/>
      <c r="Q1217" s="335"/>
      <c r="R1217" s="336"/>
      <c r="U1217" s="337"/>
    </row>
    <row r="1218" spans="1:21" ht="30" customHeight="1" x14ac:dyDescent="0.25">
      <c r="A1218" s="365" t="s">
        <v>684</v>
      </c>
      <c r="B1218" s="1281" t="s">
        <v>898</v>
      </c>
      <c r="C1218" s="1281"/>
      <c r="D1218" s="1281"/>
      <c r="E1218" s="256">
        <f>+Q924</f>
        <v>9.6300000000000008</v>
      </c>
      <c r="F1218" s="365" t="s">
        <v>205</v>
      </c>
      <c r="G1218" s="753">
        <f>128*2</f>
        <v>256</v>
      </c>
      <c r="H1218" s="695" t="s">
        <v>859</v>
      </c>
      <c r="I1218" s="706">
        <f>+S924</f>
        <v>1.23</v>
      </c>
      <c r="J1218" s="706">
        <f>+T924</f>
        <v>1</v>
      </c>
      <c r="K1218" s="247">
        <f>+E1218*G1218*I1218*J1218</f>
        <v>3032.2944000000002</v>
      </c>
      <c r="L1218" s="365" t="s">
        <v>76</v>
      </c>
      <c r="M1218" s="54"/>
      <c r="N1218" s="54"/>
      <c r="O1218" s="336"/>
      <c r="P1218" s="334"/>
      <c r="Q1218" s="335"/>
      <c r="R1218" s="336"/>
      <c r="U1218" s="337"/>
    </row>
    <row r="1219" spans="1:21" ht="30" customHeight="1" x14ac:dyDescent="0.25">
      <c r="A1219" s="365">
        <v>93410</v>
      </c>
      <c r="B1219" s="1209" t="s">
        <v>899</v>
      </c>
      <c r="C1219" s="1210"/>
      <c r="D1219" s="1211"/>
      <c r="E1219" s="256">
        <f>+Q942</f>
        <v>8.6999999999999993</v>
      </c>
      <c r="F1219" s="661" t="s">
        <v>25</v>
      </c>
      <c r="G1219" s="753">
        <v>575</v>
      </c>
      <c r="H1219" s="695" t="s">
        <v>867</v>
      </c>
      <c r="I1219" s="758">
        <f>+I1216</f>
        <v>0.94047825952836139</v>
      </c>
      <c r="J1219" s="706"/>
      <c r="K1219" s="247">
        <f>+E1219*G1219*I1219</f>
        <v>4704.7424932906279</v>
      </c>
      <c r="L1219" s="365" t="s">
        <v>76</v>
      </c>
      <c r="M1219" s="54"/>
      <c r="N1219" s="54"/>
      <c r="O1219" s="336"/>
      <c r="P1219" s="334"/>
      <c r="Q1219" s="335"/>
      <c r="R1219" s="336"/>
      <c r="U1219" s="337"/>
    </row>
    <row r="1220" spans="1:21" ht="30" customHeight="1" x14ac:dyDescent="0.25">
      <c r="A1220" s="365">
        <v>93210</v>
      </c>
      <c r="B1220" s="1209" t="s">
        <v>900</v>
      </c>
      <c r="C1220" s="1210"/>
      <c r="D1220" s="1211"/>
      <c r="E1220" s="256">
        <f>+Q944</f>
        <v>48.6</v>
      </c>
      <c r="F1220" s="661" t="s">
        <v>25</v>
      </c>
      <c r="G1220" s="753">
        <v>156</v>
      </c>
      <c r="H1220" s="695" t="s">
        <v>867</v>
      </c>
      <c r="I1220" s="782">
        <f>+I1219</f>
        <v>0.94047825952836139</v>
      </c>
      <c r="J1220" s="706"/>
      <c r="K1220" s="247">
        <f>+E1220*G1220*I1220</f>
        <v>7130.329972440225</v>
      </c>
      <c r="L1220" s="365" t="s">
        <v>76</v>
      </c>
      <c r="M1220" s="54"/>
      <c r="N1220" s="54"/>
      <c r="O1220" s="336"/>
      <c r="P1220" s="334"/>
      <c r="Q1220" s="335"/>
      <c r="R1220" s="336"/>
      <c r="U1220" s="337"/>
    </row>
    <row r="1221" spans="1:21" ht="30" customHeight="1" x14ac:dyDescent="0.25">
      <c r="A1221" s="1172" t="s">
        <v>745</v>
      </c>
      <c r="B1221" s="1173"/>
      <c r="C1221" s="1173"/>
      <c r="D1221" s="1174"/>
      <c r="E1221" s="247"/>
      <c r="F1221" s="365"/>
      <c r="G1221" s="366"/>
      <c r="H1221" s="662"/>
      <c r="I1221" s="365"/>
      <c r="J1221" s="365" t="s">
        <v>408</v>
      </c>
      <c r="K1221" s="247">
        <f>SUM(K1206:K1220)</f>
        <v>232007.74419539637</v>
      </c>
      <c r="L1221" s="365" t="s">
        <v>76</v>
      </c>
      <c r="M1221" s="54"/>
      <c r="N1221" s="54"/>
      <c r="O1221" s="336"/>
      <c r="P1221" s="334"/>
      <c r="Q1221" s="335"/>
      <c r="R1221" s="336"/>
      <c r="U1221" s="337"/>
    </row>
    <row r="1222" spans="1:21" ht="30" customHeight="1" thickBot="1" x14ac:dyDescent="0.3">
      <c r="A1222" s="1336"/>
      <c r="B1222" s="1337"/>
      <c r="C1222" s="1337"/>
      <c r="D1222" s="1338"/>
      <c r="E1222" s="366"/>
      <c r="F1222" s="366"/>
      <c r="G1222" s="580" t="s">
        <v>306</v>
      </c>
      <c r="H1222" s="366"/>
      <c r="I1222" s="366"/>
      <c r="J1222" s="521">
        <f>VLOOKUP(B1203,'Mil Cost Premiums for PUCs'!$A$4:$R$277,18,FALSE)</f>
        <v>1.0485669999999998</v>
      </c>
      <c r="K1222" s="246">
        <f>+K1221*J1222</f>
        <v>243275.66430773414</v>
      </c>
      <c r="L1222" s="365" t="s">
        <v>76</v>
      </c>
      <c r="M1222" s="54"/>
      <c r="N1222" s="54"/>
      <c r="O1222" s="336"/>
      <c r="P1222" s="334"/>
      <c r="Q1222" s="335"/>
      <c r="R1222" s="336"/>
      <c r="U1222" s="337"/>
    </row>
    <row r="1223" spans="1:21" ht="30" customHeight="1" thickBot="1" x14ac:dyDescent="0.3">
      <c r="A1223" s="1180"/>
      <c r="B1223" s="1181"/>
      <c r="C1223" s="1181"/>
      <c r="D1223" s="1181"/>
      <c r="E1223" s="1181"/>
      <c r="F1223" s="1181"/>
      <c r="G1223" s="1181"/>
      <c r="H1223" s="1181"/>
      <c r="I1223" s="1181"/>
      <c r="J1223" s="1181"/>
      <c r="K1223" s="1181"/>
      <c r="L1223" s="1182"/>
      <c r="M1223" s="54"/>
      <c r="N1223" s="54"/>
      <c r="O1223" s="336"/>
      <c r="P1223" s="334"/>
      <c r="Q1223" s="335"/>
      <c r="R1223" s="336"/>
      <c r="U1223" s="337"/>
    </row>
    <row r="1224" spans="1:21" ht="75" customHeight="1" x14ac:dyDescent="0.25">
      <c r="A1224" s="327" t="s">
        <v>5</v>
      </c>
      <c r="B1224" s="328">
        <v>1771</v>
      </c>
      <c r="C1224" s="1251" t="s">
        <v>901</v>
      </c>
      <c r="D1224" s="1252"/>
      <c r="E1224" s="331" t="s">
        <v>8</v>
      </c>
      <c r="F1224" s="332" t="s">
        <v>812</v>
      </c>
      <c r="G1224" s="346" t="s">
        <v>902</v>
      </c>
      <c r="H1224" s="711">
        <v>1</v>
      </c>
      <c r="I1224" s="331" t="s">
        <v>10</v>
      </c>
      <c r="J1224" s="1220" t="s">
        <v>764</v>
      </c>
      <c r="K1224" s="1220"/>
      <c r="L1224" s="1221"/>
      <c r="N1224" s="54"/>
      <c r="O1224" s="336"/>
      <c r="P1224" s="334"/>
      <c r="Q1224" s="335"/>
      <c r="R1224" s="336"/>
      <c r="U1224" s="337"/>
    </row>
    <row r="1225" spans="1:21" ht="30" customHeight="1" x14ac:dyDescent="0.25">
      <c r="A1225" s="356" t="s">
        <v>735</v>
      </c>
      <c r="B1225" s="1222" t="s">
        <v>326</v>
      </c>
      <c r="C1225" s="1235"/>
      <c r="D1225" s="1223"/>
      <c r="E1225" s="577" t="s">
        <v>116</v>
      </c>
      <c r="F1225" s="577" t="s">
        <v>117</v>
      </c>
      <c r="G1225" s="1194" t="s">
        <v>118</v>
      </c>
      <c r="H1225" s="1195"/>
      <c r="I1225" s="356" t="s">
        <v>296</v>
      </c>
      <c r="J1225" s="633" t="s">
        <v>303</v>
      </c>
      <c r="K1225" s="1236" t="s">
        <v>285</v>
      </c>
      <c r="L1225" s="1237"/>
      <c r="M1225" s="110"/>
      <c r="N1225" s="54"/>
      <c r="O1225" s="336"/>
      <c r="P1225" s="334"/>
      <c r="Q1225" s="335"/>
      <c r="R1225" s="336"/>
      <c r="U1225" s="337"/>
    </row>
    <row r="1226" spans="1:21" ht="30" customHeight="1" x14ac:dyDescent="0.25">
      <c r="A1226" s="356"/>
      <c r="B1226" s="1214" t="s">
        <v>903</v>
      </c>
      <c r="C1226" s="1215"/>
      <c r="D1226" s="1216"/>
      <c r="E1226" s="577"/>
      <c r="F1226" s="577"/>
      <c r="G1226" s="750"/>
      <c r="H1226" s="751"/>
      <c r="I1226" s="398"/>
      <c r="J1226" s="398"/>
      <c r="K1226" s="577"/>
      <c r="L1226" s="577"/>
      <c r="M1226" s="54"/>
      <c r="N1226" s="54"/>
      <c r="O1226" s="336"/>
      <c r="P1226" s="334"/>
      <c r="Q1226" s="335"/>
      <c r="R1226" s="336"/>
      <c r="U1226" s="337"/>
    </row>
    <row r="1227" spans="1:21" ht="30" customHeight="1" x14ac:dyDescent="0.25">
      <c r="A1227" s="365" t="s">
        <v>684</v>
      </c>
      <c r="B1227" s="1209" t="s">
        <v>904</v>
      </c>
      <c r="C1227" s="1210"/>
      <c r="D1227" s="1211"/>
      <c r="E1227" s="256">
        <f>+Q924</f>
        <v>9.6300000000000008</v>
      </c>
      <c r="F1227" s="365" t="s">
        <v>205</v>
      </c>
      <c r="G1227" s="753">
        <f>146*62</f>
        <v>9052</v>
      </c>
      <c r="H1227" s="695" t="s">
        <v>815</v>
      </c>
      <c r="I1227" s="706">
        <f>+S924</f>
        <v>1.23</v>
      </c>
      <c r="J1227" s="706">
        <f>+T924</f>
        <v>1</v>
      </c>
      <c r="K1227" s="247">
        <f t="shared" ref="K1227:K1238" si="18">+E1227*G1227*I1227*J1227</f>
        <v>107220.03480000001</v>
      </c>
      <c r="L1227" s="365" t="s">
        <v>812</v>
      </c>
      <c r="M1227" s="54"/>
      <c r="N1227" s="54"/>
      <c r="O1227" s="336"/>
      <c r="P1227" s="334"/>
      <c r="Q1227" s="335"/>
      <c r="R1227" s="336"/>
      <c r="U1227" s="337"/>
    </row>
    <row r="1228" spans="1:21" ht="30" customHeight="1" x14ac:dyDescent="0.25">
      <c r="A1228" s="365" t="s">
        <v>301</v>
      </c>
      <c r="B1228" s="1209" t="s">
        <v>691</v>
      </c>
      <c r="C1228" s="1210"/>
      <c r="D1228" s="1211"/>
      <c r="E1228" s="256">
        <f>+Q928</f>
        <v>504.5</v>
      </c>
      <c r="F1228" s="661" t="s">
        <v>76</v>
      </c>
      <c r="G1228" s="753">
        <v>146</v>
      </c>
      <c r="H1228" s="695" t="s">
        <v>847</v>
      </c>
      <c r="I1228" s="706">
        <f>+S928</f>
        <v>1.1000000000000001</v>
      </c>
      <c r="J1228" s="706">
        <f>+T928</f>
        <v>1</v>
      </c>
      <c r="K1228" s="247">
        <f t="shared" si="18"/>
        <v>81022.700000000012</v>
      </c>
      <c r="L1228" s="365" t="s">
        <v>812</v>
      </c>
      <c r="M1228" s="54"/>
      <c r="N1228" s="54"/>
      <c r="O1228" s="336"/>
      <c r="P1228" s="334"/>
      <c r="Q1228" s="335"/>
      <c r="R1228" s="336"/>
      <c r="U1228" s="337"/>
    </row>
    <row r="1229" spans="1:21" ht="30" customHeight="1" x14ac:dyDescent="0.25">
      <c r="A1229" s="365" t="s">
        <v>301</v>
      </c>
      <c r="B1229" s="1281" t="s">
        <v>696</v>
      </c>
      <c r="C1229" s="1281"/>
      <c r="D1229" s="1281"/>
      <c r="E1229" s="256">
        <f>+Q930</f>
        <v>362.5</v>
      </c>
      <c r="F1229" s="661" t="s">
        <v>76</v>
      </c>
      <c r="G1229" s="753">
        <v>146</v>
      </c>
      <c r="H1229" s="695" t="s">
        <v>847</v>
      </c>
      <c r="I1229" s="706">
        <f>+S930</f>
        <v>1.1000000000000001</v>
      </c>
      <c r="J1229" s="706">
        <f>+T930</f>
        <v>1</v>
      </c>
      <c r="K1229" s="247">
        <f t="shared" si="18"/>
        <v>58217.500000000007</v>
      </c>
      <c r="L1229" s="365" t="s">
        <v>812</v>
      </c>
      <c r="M1229" s="54"/>
      <c r="N1229" s="54"/>
      <c r="O1229" s="336"/>
      <c r="P1229" s="334"/>
      <c r="Q1229" s="335"/>
      <c r="R1229" s="336"/>
      <c r="U1229" s="337"/>
    </row>
    <row r="1230" spans="1:21" ht="30" customHeight="1" x14ac:dyDescent="0.25">
      <c r="A1230" s="365" t="s">
        <v>684</v>
      </c>
      <c r="B1230" s="1281" t="s">
        <v>905</v>
      </c>
      <c r="C1230" s="1281"/>
      <c r="D1230" s="1281"/>
      <c r="E1230" s="256">
        <f>+Q925</f>
        <v>11.77</v>
      </c>
      <c r="F1230" s="365" t="s">
        <v>205</v>
      </c>
      <c r="G1230" s="753">
        <f>30*468</f>
        <v>14040</v>
      </c>
      <c r="H1230" s="695" t="s">
        <v>815</v>
      </c>
      <c r="I1230" s="706">
        <f>+S925</f>
        <v>1.23</v>
      </c>
      <c r="J1230" s="706">
        <f>+T925</f>
        <v>1</v>
      </c>
      <c r="K1230" s="247">
        <f t="shared" si="18"/>
        <v>203258.484</v>
      </c>
      <c r="L1230" s="365" t="s">
        <v>812</v>
      </c>
      <c r="M1230" s="54"/>
      <c r="N1230" s="54"/>
      <c r="O1230" s="336"/>
      <c r="P1230" s="334"/>
      <c r="Q1230" s="335"/>
      <c r="R1230" s="336"/>
      <c r="U1230" s="337"/>
    </row>
    <row r="1231" spans="1:21" ht="30" customHeight="1" x14ac:dyDescent="0.25">
      <c r="A1231" s="365" t="s">
        <v>533</v>
      </c>
      <c r="B1231" s="1281" t="s">
        <v>906</v>
      </c>
      <c r="C1231" s="1281"/>
      <c r="D1231" s="1281"/>
      <c r="E1231" s="256">
        <f>+Q926</f>
        <v>20.25</v>
      </c>
      <c r="F1231" s="365" t="s">
        <v>205</v>
      </c>
      <c r="G1231" s="753">
        <f>2152*6</f>
        <v>12912</v>
      </c>
      <c r="H1231" s="695" t="s">
        <v>815</v>
      </c>
      <c r="I1231" s="706">
        <f>+S926</f>
        <v>1.1200000000000001</v>
      </c>
      <c r="J1231" s="706">
        <f>+T926</f>
        <v>1</v>
      </c>
      <c r="K1231" s="247">
        <f t="shared" si="18"/>
        <v>292844.16000000003</v>
      </c>
      <c r="L1231" s="365" t="s">
        <v>812</v>
      </c>
      <c r="M1231" s="54"/>
      <c r="N1231" s="54"/>
      <c r="O1231" s="336"/>
      <c r="P1231" s="334"/>
      <c r="Q1231" s="335"/>
      <c r="R1231" s="336"/>
      <c r="U1231" s="337"/>
    </row>
    <row r="1232" spans="1:21" ht="30" customHeight="1" x14ac:dyDescent="0.25">
      <c r="A1232" s="365" t="s">
        <v>533</v>
      </c>
      <c r="B1232" s="1281" t="s">
        <v>907</v>
      </c>
      <c r="C1232" s="1281"/>
      <c r="D1232" s="1281"/>
      <c r="E1232" s="256">
        <f>+Q926</f>
        <v>20.25</v>
      </c>
      <c r="F1232" s="365" t="s">
        <v>205</v>
      </c>
      <c r="G1232" s="753">
        <f>80.7*4</f>
        <v>322.8</v>
      </c>
      <c r="H1232" s="695" t="s">
        <v>815</v>
      </c>
      <c r="I1232" s="706">
        <f>+S926</f>
        <v>1.1200000000000001</v>
      </c>
      <c r="J1232" s="706">
        <f>+T926</f>
        <v>1</v>
      </c>
      <c r="K1232" s="247">
        <f t="shared" si="18"/>
        <v>7321.1040000000003</v>
      </c>
      <c r="L1232" s="365" t="s">
        <v>812</v>
      </c>
      <c r="M1232" s="54"/>
      <c r="N1232" s="54"/>
      <c r="O1232" s="336"/>
      <c r="P1232" s="334"/>
      <c r="Q1232" s="335"/>
      <c r="R1232" s="336"/>
      <c r="U1232" s="337"/>
    </row>
    <row r="1233" spans="1:21" ht="30" customHeight="1" x14ac:dyDescent="0.25">
      <c r="A1233" s="365" t="s">
        <v>301</v>
      </c>
      <c r="B1233" s="1281" t="s">
        <v>694</v>
      </c>
      <c r="C1233" s="1281"/>
      <c r="D1233" s="1281"/>
      <c r="E1233" s="256">
        <f>+Q929</f>
        <v>920</v>
      </c>
      <c r="F1233" s="661" t="s">
        <v>76</v>
      </c>
      <c r="G1233" s="753">
        <v>40</v>
      </c>
      <c r="H1233" s="695" t="s">
        <v>847</v>
      </c>
      <c r="I1233" s="706">
        <f>+S929</f>
        <v>1.1000000000000001</v>
      </c>
      <c r="J1233" s="706">
        <f>+T929</f>
        <v>1</v>
      </c>
      <c r="K1233" s="247">
        <f t="shared" si="18"/>
        <v>40480</v>
      </c>
      <c r="L1233" s="365" t="s">
        <v>812</v>
      </c>
      <c r="M1233" s="54"/>
      <c r="N1233" s="54"/>
      <c r="O1233" s="336"/>
      <c r="P1233" s="334"/>
      <c r="Q1233" s="335"/>
      <c r="R1233" s="336"/>
      <c r="U1233" s="337"/>
    </row>
    <row r="1234" spans="1:21" ht="30" customHeight="1" x14ac:dyDescent="0.25">
      <c r="A1234" s="365" t="s">
        <v>520</v>
      </c>
      <c r="B1234" s="1281" t="s">
        <v>908</v>
      </c>
      <c r="C1234" s="1281"/>
      <c r="D1234" s="1281"/>
      <c r="E1234" s="256">
        <f>+Q935</f>
        <v>21.1</v>
      </c>
      <c r="F1234" s="661" t="s">
        <v>40</v>
      </c>
      <c r="G1234" s="753">
        <f>+((656*6)+(49*4))</f>
        <v>4132</v>
      </c>
      <c r="H1234" s="695" t="s">
        <v>849</v>
      </c>
      <c r="I1234" s="706">
        <f>+S935</f>
        <v>1.04</v>
      </c>
      <c r="J1234" s="706">
        <f>+T935</f>
        <v>1</v>
      </c>
      <c r="K1234" s="247">
        <f t="shared" si="18"/>
        <v>90672.608000000022</v>
      </c>
      <c r="L1234" s="365" t="s">
        <v>812</v>
      </c>
      <c r="M1234" s="54"/>
      <c r="N1234" s="54"/>
      <c r="O1234" s="336"/>
      <c r="P1234" s="334"/>
      <c r="Q1234" s="335"/>
      <c r="R1234" s="336"/>
      <c r="U1234" s="337"/>
    </row>
    <row r="1235" spans="1:21" ht="30" customHeight="1" x14ac:dyDescent="0.25">
      <c r="A1235" s="365" t="s">
        <v>520</v>
      </c>
      <c r="B1235" s="1281" t="s">
        <v>877</v>
      </c>
      <c r="C1235" s="1281"/>
      <c r="D1235" s="1281"/>
      <c r="E1235" s="256">
        <f>+Q936</f>
        <v>3227.5</v>
      </c>
      <c r="F1235" s="661" t="s">
        <v>76</v>
      </c>
      <c r="G1235" s="753">
        <v>10</v>
      </c>
      <c r="H1235" s="695" t="s">
        <v>847</v>
      </c>
      <c r="I1235" s="706">
        <f>+S936</f>
        <v>1.04</v>
      </c>
      <c r="J1235" s="706">
        <f>+T936</f>
        <v>1</v>
      </c>
      <c r="K1235" s="247">
        <f t="shared" si="18"/>
        <v>33566</v>
      </c>
      <c r="L1235" s="365" t="s">
        <v>812</v>
      </c>
      <c r="M1235" s="54"/>
      <c r="N1235" s="54"/>
      <c r="O1235" s="336"/>
      <c r="P1235" s="334"/>
      <c r="Q1235" s="335"/>
      <c r="R1235" s="336"/>
      <c r="U1235" s="337"/>
    </row>
    <row r="1236" spans="1:21" ht="30" customHeight="1" x14ac:dyDescent="0.25">
      <c r="A1236" s="365" t="s">
        <v>301</v>
      </c>
      <c r="B1236" s="1281" t="s">
        <v>796</v>
      </c>
      <c r="C1236" s="1281"/>
      <c r="D1236" s="1281"/>
      <c r="E1236" s="256">
        <f>+Q931</f>
        <v>1125</v>
      </c>
      <c r="F1236" s="661" t="s">
        <v>76</v>
      </c>
      <c r="G1236" s="753">
        <v>40</v>
      </c>
      <c r="H1236" s="695" t="s">
        <v>847</v>
      </c>
      <c r="I1236" s="706">
        <f t="shared" ref="I1236:J1238" si="19">+S931</f>
        <v>1.1000000000000001</v>
      </c>
      <c r="J1236" s="706">
        <f t="shared" si="19"/>
        <v>1</v>
      </c>
      <c r="K1236" s="247">
        <f t="shared" si="18"/>
        <v>49500.000000000007</v>
      </c>
      <c r="L1236" s="365" t="s">
        <v>812</v>
      </c>
      <c r="M1236" s="54"/>
      <c r="N1236" s="54"/>
      <c r="O1236" s="336"/>
      <c r="P1236" s="334"/>
      <c r="Q1236" s="335"/>
      <c r="R1236" s="336"/>
      <c r="U1236" s="337"/>
    </row>
    <row r="1237" spans="1:21" ht="30" customHeight="1" x14ac:dyDescent="0.25">
      <c r="A1237" s="365" t="s">
        <v>698</v>
      </c>
      <c r="B1237" s="1281" t="s">
        <v>878</v>
      </c>
      <c r="C1237" s="1281"/>
      <c r="D1237" s="1281"/>
      <c r="E1237" s="256">
        <f>+Q932</f>
        <v>145.58000000000001</v>
      </c>
      <c r="F1237" s="661" t="s">
        <v>76</v>
      </c>
      <c r="G1237" s="753">
        <v>774</v>
      </c>
      <c r="H1237" s="695" t="s">
        <v>847</v>
      </c>
      <c r="I1237" s="706">
        <f t="shared" si="19"/>
        <v>1.1000000000000001</v>
      </c>
      <c r="J1237" s="706">
        <f t="shared" si="19"/>
        <v>1</v>
      </c>
      <c r="K1237" s="247">
        <f t="shared" si="18"/>
        <v>123946.81200000002</v>
      </c>
      <c r="L1237" s="365" t="s">
        <v>812</v>
      </c>
      <c r="M1237" s="54"/>
      <c r="N1237" s="54"/>
      <c r="O1237" s="781"/>
      <c r="P1237" s="334"/>
      <c r="Q1237" s="335"/>
      <c r="R1237" s="336"/>
      <c r="U1237" s="337"/>
    </row>
    <row r="1238" spans="1:21" ht="30" customHeight="1" x14ac:dyDescent="0.25">
      <c r="A1238" s="365" t="s">
        <v>702</v>
      </c>
      <c r="B1238" s="1209" t="s">
        <v>879</v>
      </c>
      <c r="C1238" s="1210"/>
      <c r="D1238" s="1211"/>
      <c r="E1238" s="256">
        <f>+Q933</f>
        <v>19.62</v>
      </c>
      <c r="F1238" s="661" t="s">
        <v>40</v>
      </c>
      <c r="G1238" s="753">
        <v>165233</v>
      </c>
      <c r="H1238" s="695" t="s">
        <v>849</v>
      </c>
      <c r="I1238" s="706">
        <f t="shared" si="19"/>
        <v>1.1000000000000001</v>
      </c>
      <c r="J1238" s="706">
        <f t="shared" si="19"/>
        <v>1</v>
      </c>
      <c r="K1238" s="247">
        <f t="shared" si="18"/>
        <v>3566058.6060000001</v>
      </c>
      <c r="L1238" s="365" t="s">
        <v>812</v>
      </c>
      <c r="M1238" s="54"/>
      <c r="N1238" s="54"/>
      <c r="O1238" s="781"/>
      <c r="P1238" s="334"/>
      <c r="Q1238" s="335"/>
      <c r="R1238" s="336"/>
      <c r="U1238" s="337"/>
    </row>
    <row r="1239" spans="1:21" ht="30" customHeight="1" x14ac:dyDescent="0.25">
      <c r="A1239" s="365">
        <v>93410</v>
      </c>
      <c r="B1239" s="1209" t="s">
        <v>909</v>
      </c>
      <c r="C1239" s="1210"/>
      <c r="D1239" s="1211"/>
      <c r="E1239" s="255">
        <f>+Q943</f>
        <v>1.2</v>
      </c>
      <c r="F1239" s="661" t="s">
        <v>9</v>
      </c>
      <c r="G1239" s="753">
        <v>2488</v>
      </c>
      <c r="H1239" s="695" t="s">
        <v>852</v>
      </c>
      <c r="I1239" s="782">
        <f>+'2022 MILCON Inflation Table'!F21</f>
        <v>0.94047825952836139</v>
      </c>
      <c r="J1239" s="365"/>
      <c r="K1239" s="247">
        <f>+E1239*G1239*I1239</f>
        <v>2807.8918916478756</v>
      </c>
      <c r="L1239" s="365" t="s">
        <v>812</v>
      </c>
      <c r="M1239" s="54"/>
      <c r="N1239" s="54"/>
      <c r="O1239" s="336"/>
      <c r="P1239" s="334"/>
      <c r="Q1239" s="335"/>
      <c r="R1239" s="336"/>
      <c r="U1239" s="337"/>
    </row>
    <row r="1240" spans="1:21" ht="30" customHeight="1" x14ac:dyDescent="0.25">
      <c r="A1240" s="365" t="s">
        <v>684</v>
      </c>
      <c r="B1240" s="1209" t="s">
        <v>910</v>
      </c>
      <c r="C1240" s="1210"/>
      <c r="D1240" s="1211"/>
      <c r="E1240" s="256">
        <f>+Q925</f>
        <v>11.77</v>
      </c>
      <c r="F1240" s="365" t="s">
        <v>205</v>
      </c>
      <c r="G1240" s="753">
        <f>481*8</f>
        <v>3848</v>
      </c>
      <c r="H1240" s="695" t="s">
        <v>815</v>
      </c>
      <c r="I1240" s="365">
        <f>+S925</f>
        <v>1.23</v>
      </c>
      <c r="J1240" s="706">
        <f>+T925</f>
        <v>1</v>
      </c>
      <c r="K1240" s="247">
        <f>+E1240*G1240*I1240*J1240</f>
        <v>55707.880799999999</v>
      </c>
      <c r="L1240" s="365" t="s">
        <v>812</v>
      </c>
      <c r="M1240" s="54"/>
      <c r="N1240" s="54"/>
      <c r="O1240" s="336"/>
      <c r="P1240" s="334"/>
      <c r="Q1240" s="335"/>
      <c r="R1240" s="336"/>
      <c r="U1240" s="337"/>
    </row>
    <row r="1241" spans="1:21" ht="30" customHeight="1" x14ac:dyDescent="0.25">
      <c r="A1241" s="365">
        <v>93410</v>
      </c>
      <c r="B1241" s="1209" t="s">
        <v>911</v>
      </c>
      <c r="C1241" s="1210"/>
      <c r="D1241" s="1211"/>
      <c r="E1241" s="256">
        <f>+Q942</f>
        <v>8.6999999999999993</v>
      </c>
      <c r="F1241" s="661" t="s">
        <v>25</v>
      </c>
      <c r="G1241" s="753">
        <v>5713</v>
      </c>
      <c r="H1241" s="695" t="s">
        <v>817</v>
      </c>
      <c r="I1241" s="782">
        <f>+'2022 MILCON Inflation Table'!F21</f>
        <v>0.94047825952836139</v>
      </c>
      <c r="J1241" s="365"/>
      <c r="K1241" s="247">
        <f>+E1241*G1241*I1241</f>
        <v>46744.6849811641</v>
      </c>
      <c r="L1241" s="365" t="s">
        <v>812</v>
      </c>
      <c r="M1241" s="54"/>
      <c r="N1241" s="54"/>
      <c r="O1241" s="336"/>
      <c r="P1241" s="334"/>
      <c r="Q1241" s="335"/>
      <c r="R1241" s="336"/>
      <c r="U1241" s="337"/>
    </row>
    <row r="1242" spans="1:21" ht="30" customHeight="1" x14ac:dyDescent="0.25">
      <c r="A1242" s="365" t="s">
        <v>339</v>
      </c>
      <c r="B1242" s="1209" t="s">
        <v>912</v>
      </c>
      <c r="C1242" s="1210"/>
      <c r="D1242" s="1211"/>
      <c r="E1242" s="255">
        <f>+Q923</f>
        <v>3269</v>
      </c>
      <c r="F1242" s="661" t="s">
        <v>76</v>
      </c>
      <c r="G1242" s="753">
        <v>2</v>
      </c>
      <c r="H1242" s="695" t="s">
        <v>847</v>
      </c>
      <c r="I1242" s="365">
        <f>+S923</f>
        <v>1.21</v>
      </c>
      <c r="J1242" s="706">
        <f>+T923</f>
        <v>1</v>
      </c>
      <c r="K1242" s="247">
        <f>+E1242*G1242*I1242*J1242</f>
        <v>7910.98</v>
      </c>
      <c r="L1242" s="365" t="s">
        <v>812</v>
      </c>
      <c r="M1242" s="54"/>
      <c r="N1242" s="54"/>
      <c r="O1242" s="336"/>
      <c r="P1242" s="334"/>
      <c r="Q1242" s="335"/>
      <c r="R1242" s="336"/>
      <c r="U1242" s="337"/>
    </row>
    <row r="1243" spans="1:21" ht="30" customHeight="1" x14ac:dyDescent="0.25">
      <c r="A1243" s="365">
        <v>93210</v>
      </c>
      <c r="B1243" s="1209" t="s">
        <v>913</v>
      </c>
      <c r="C1243" s="1210"/>
      <c r="D1243" s="1211"/>
      <c r="E1243" s="256">
        <f>+Q944</f>
        <v>48.6</v>
      </c>
      <c r="F1243" s="661" t="s">
        <v>25</v>
      </c>
      <c r="G1243" s="753">
        <v>7850</v>
      </c>
      <c r="H1243" s="695" t="s">
        <v>817</v>
      </c>
      <c r="I1243" s="782">
        <f>+I1241</f>
        <v>0.94047825952836139</v>
      </c>
      <c r="J1243" s="365"/>
      <c r="K1243" s="247">
        <f>+E1243*G1243*I1243</f>
        <v>358801.86079266516</v>
      </c>
      <c r="L1243" s="365" t="s">
        <v>812</v>
      </c>
      <c r="M1243" s="54"/>
      <c r="N1243" s="54"/>
      <c r="O1243" s="336"/>
      <c r="P1243" s="334"/>
      <c r="Q1243" s="335"/>
      <c r="R1243" s="336"/>
      <c r="U1243" s="337"/>
    </row>
    <row r="1244" spans="1:21" ht="30" customHeight="1" x14ac:dyDescent="0.25">
      <c r="A1244" s="365" t="s">
        <v>680</v>
      </c>
      <c r="B1244" s="1209" t="s">
        <v>914</v>
      </c>
      <c r="C1244" s="1210"/>
      <c r="D1244" s="1211"/>
      <c r="E1244" s="255">
        <f>+Q922</f>
        <v>21.15</v>
      </c>
      <c r="F1244" s="661" t="s">
        <v>205</v>
      </c>
      <c r="G1244" s="753">
        <v>2800</v>
      </c>
      <c r="H1244" s="695" t="s">
        <v>815</v>
      </c>
      <c r="I1244" s="742">
        <f>+S922</f>
        <v>1.1599999999999999</v>
      </c>
      <c r="J1244" s="706">
        <f>+T922</f>
        <v>0.97169811320754718</v>
      </c>
      <c r="K1244" s="247">
        <f>+E1244*G1244*I1244*J1244</f>
        <v>66750.996226415082</v>
      </c>
      <c r="L1244" s="365" t="s">
        <v>812</v>
      </c>
      <c r="M1244" s="54"/>
      <c r="N1244" s="54"/>
      <c r="O1244" s="336"/>
      <c r="P1244" s="334"/>
      <c r="Q1244" s="335"/>
      <c r="R1244" s="336"/>
      <c r="U1244" s="337"/>
    </row>
    <row r="1245" spans="1:21" ht="30" customHeight="1" x14ac:dyDescent="0.25">
      <c r="A1245" s="1172" t="s">
        <v>745</v>
      </c>
      <c r="B1245" s="1173"/>
      <c r="C1245" s="1173"/>
      <c r="D1245" s="1174"/>
      <c r="E1245" s="247"/>
      <c r="F1245" s="365"/>
      <c r="G1245" s="366"/>
      <c r="H1245" s="662"/>
      <c r="I1245" s="365"/>
      <c r="J1245" s="365" t="s">
        <v>408</v>
      </c>
      <c r="K1245" s="247">
        <f>SUM(K1227:K1244)</f>
        <v>5192832.3034918932</v>
      </c>
      <c r="L1245" s="365" t="s">
        <v>812</v>
      </c>
      <c r="M1245" s="54"/>
      <c r="N1245" s="54"/>
      <c r="O1245" s="336"/>
      <c r="P1245" s="334"/>
      <c r="Q1245" s="335"/>
      <c r="R1245" s="336"/>
      <c r="U1245" s="337"/>
    </row>
    <row r="1246" spans="1:21" ht="30" customHeight="1" thickBot="1" x14ac:dyDescent="0.3">
      <c r="A1246" s="1336"/>
      <c r="B1246" s="1337"/>
      <c r="C1246" s="1337"/>
      <c r="D1246" s="1338"/>
      <c r="E1246" s="366"/>
      <c r="F1246" s="366"/>
      <c r="G1246" s="580" t="s">
        <v>306</v>
      </c>
      <c r="H1246" s="366"/>
      <c r="I1246" s="366"/>
      <c r="J1246" s="521">
        <f>VLOOKUP(B1224,'Mil Cost Premiums for PUCs'!$A$4:$R$277,18,FALSE)</f>
        <v>1.0821211439999998</v>
      </c>
      <c r="K1246" s="246">
        <f>+K1245*J1246</f>
        <v>5619273.6328548016</v>
      </c>
      <c r="L1246" s="365" t="s">
        <v>812</v>
      </c>
      <c r="M1246" s="54"/>
      <c r="N1246" s="54"/>
      <c r="O1246" s="336"/>
      <c r="P1246" s="334"/>
      <c r="Q1246" s="335"/>
      <c r="R1246" s="336"/>
      <c r="U1246" s="337"/>
    </row>
    <row r="1247" spans="1:21" ht="30" customHeight="1" thickBot="1" x14ac:dyDescent="0.3">
      <c r="A1247" s="1180"/>
      <c r="B1247" s="1181"/>
      <c r="C1247" s="1181"/>
      <c r="D1247" s="1181"/>
      <c r="E1247" s="1181"/>
      <c r="F1247" s="1181"/>
      <c r="G1247" s="1181"/>
      <c r="H1247" s="1181"/>
      <c r="I1247" s="1181"/>
      <c r="J1247" s="1181"/>
      <c r="K1247" s="1181"/>
      <c r="L1247" s="1182"/>
      <c r="M1247" s="54"/>
      <c r="N1247" s="54"/>
      <c r="O1247" s="336"/>
      <c r="P1247" s="334"/>
      <c r="Q1247" s="335"/>
      <c r="R1247" s="336"/>
      <c r="U1247" s="337"/>
    </row>
    <row r="1248" spans="1:21" ht="75" customHeight="1" x14ac:dyDescent="0.25">
      <c r="A1248" s="327" t="s">
        <v>5</v>
      </c>
      <c r="B1248" s="328">
        <v>1772</v>
      </c>
      <c r="C1248" s="1251" t="s">
        <v>915</v>
      </c>
      <c r="D1248" s="1252"/>
      <c r="E1248" s="331" t="s">
        <v>8</v>
      </c>
      <c r="F1248" s="332" t="s">
        <v>76</v>
      </c>
      <c r="G1248" s="346" t="s">
        <v>916</v>
      </c>
      <c r="H1248" s="711">
        <v>1</v>
      </c>
      <c r="I1248" s="331" t="s">
        <v>10</v>
      </c>
      <c r="J1248" s="1220" t="s">
        <v>764</v>
      </c>
      <c r="K1248" s="1220"/>
      <c r="L1248" s="1221"/>
      <c r="M1248" s="54"/>
      <c r="N1248" s="54"/>
      <c r="O1248" s="336"/>
      <c r="P1248" s="334"/>
      <c r="Q1248" s="335"/>
      <c r="R1248" s="336"/>
      <c r="U1248" s="337"/>
    </row>
    <row r="1249" spans="1:21" ht="30" customHeight="1" x14ac:dyDescent="0.25">
      <c r="A1249" s="356" t="s">
        <v>735</v>
      </c>
      <c r="B1249" s="1222" t="s">
        <v>326</v>
      </c>
      <c r="C1249" s="1235"/>
      <c r="D1249" s="1223"/>
      <c r="E1249" s="577" t="s">
        <v>116</v>
      </c>
      <c r="F1249" s="577" t="s">
        <v>117</v>
      </c>
      <c r="G1249" s="1194" t="s">
        <v>118</v>
      </c>
      <c r="H1249" s="1195"/>
      <c r="I1249" s="356" t="s">
        <v>296</v>
      </c>
      <c r="J1249" s="633" t="s">
        <v>303</v>
      </c>
      <c r="K1249" s="1236" t="s">
        <v>285</v>
      </c>
      <c r="L1249" s="1237"/>
      <c r="M1249" s="54"/>
      <c r="N1249" s="54"/>
      <c r="O1249" s="336"/>
      <c r="P1249" s="334"/>
      <c r="Q1249" s="335"/>
      <c r="R1249" s="336"/>
      <c r="U1249" s="337"/>
    </row>
    <row r="1250" spans="1:21" ht="30" customHeight="1" x14ac:dyDescent="0.25">
      <c r="A1250" s="356"/>
      <c r="B1250" s="1214" t="s">
        <v>917</v>
      </c>
      <c r="C1250" s="1215"/>
      <c r="D1250" s="1216"/>
      <c r="E1250" s="577"/>
      <c r="F1250" s="577"/>
      <c r="G1250" s="750"/>
      <c r="H1250" s="751"/>
      <c r="I1250" s="398"/>
      <c r="J1250" s="398"/>
      <c r="K1250" s="577"/>
      <c r="L1250" s="577"/>
      <c r="M1250" s="54"/>
      <c r="N1250" s="54"/>
      <c r="O1250" s="336"/>
      <c r="P1250" s="334"/>
      <c r="Q1250" s="335"/>
      <c r="R1250" s="336"/>
      <c r="U1250" s="337"/>
    </row>
    <row r="1251" spans="1:21" ht="30" customHeight="1" x14ac:dyDescent="0.25">
      <c r="A1251" s="365" t="s">
        <v>684</v>
      </c>
      <c r="B1251" s="1209" t="s">
        <v>918</v>
      </c>
      <c r="C1251" s="1210"/>
      <c r="D1251" s="1211"/>
      <c r="E1251" s="256">
        <f>+Q924</f>
        <v>9.6300000000000008</v>
      </c>
      <c r="F1251" s="365" t="s">
        <v>205</v>
      </c>
      <c r="G1251" s="753">
        <f>294*62</f>
        <v>18228</v>
      </c>
      <c r="H1251" s="695" t="s">
        <v>859</v>
      </c>
      <c r="I1251" s="706">
        <f>+S924</f>
        <v>1.23</v>
      </c>
      <c r="J1251" s="706">
        <f>+T924</f>
        <v>1</v>
      </c>
      <c r="K1251" s="247">
        <f t="shared" ref="K1251:K1262" si="20">+E1251*G1251*I1251*J1251</f>
        <v>215908.83720000001</v>
      </c>
      <c r="L1251" s="365" t="s">
        <v>76</v>
      </c>
      <c r="M1251" s="54"/>
      <c r="N1251" s="54"/>
      <c r="O1251" s="336"/>
      <c r="P1251" s="334"/>
      <c r="Q1251" s="335"/>
      <c r="R1251" s="336"/>
      <c r="U1251" s="337"/>
    </row>
    <row r="1252" spans="1:21" ht="30" customHeight="1" x14ac:dyDescent="0.25">
      <c r="A1252" s="365" t="s">
        <v>301</v>
      </c>
      <c r="B1252" s="1209" t="s">
        <v>691</v>
      </c>
      <c r="C1252" s="1210"/>
      <c r="D1252" s="1211"/>
      <c r="E1252" s="256">
        <f>+Q928</f>
        <v>504.5</v>
      </c>
      <c r="F1252" s="661" t="s">
        <v>76</v>
      </c>
      <c r="G1252" s="753">
        <v>306</v>
      </c>
      <c r="H1252" s="695" t="s">
        <v>860</v>
      </c>
      <c r="I1252" s="706">
        <f>+S928</f>
        <v>1.1000000000000001</v>
      </c>
      <c r="J1252" s="706">
        <f>+T928</f>
        <v>1</v>
      </c>
      <c r="K1252" s="247">
        <f t="shared" si="20"/>
        <v>169814.7</v>
      </c>
      <c r="L1252" s="365" t="s">
        <v>76</v>
      </c>
      <c r="M1252" s="54"/>
      <c r="N1252" s="54"/>
      <c r="O1252" s="336"/>
      <c r="P1252" s="334"/>
      <c r="Q1252" s="335"/>
      <c r="R1252" s="336"/>
      <c r="U1252" s="337"/>
    </row>
    <row r="1253" spans="1:21" ht="30" customHeight="1" x14ac:dyDescent="0.25">
      <c r="A1253" s="365" t="s">
        <v>301</v>
      </c>
      <c r="B1253" s="1209" t="s">
        <v>696</v>
      </c>
      <c r="C1253" s="1210"/>
      <c r="D1253" s="1211"/>
      <c r="E1253" s="256">
        <f>+Q930</f>
        <v>362.5</v>
      </c>
      <c r="F1253" s="661" t="s">
        <v>76</v>
      </c>
      <c r="G1253" s="753">
        <v>306</v>
      </c>
      <c r="H1253" s="695" t="s">
        <v>860</v>
      </c>
      <c r="I1253" s="706">
        <f>+S930</f>
        <v>1.1000000000000001</v>
      </c>
      <c r="J1253" s="706">
        <f>+T930</f>
        <v>1</v>
      </c>
      <c r="K1253" s="247">
        <f t="shared" si="20"/>
        <v>122017.50000000001</v>
      </c>
      <c r="L1253" s="365" t="s">
        <v>76</v>
      </c>
      <c r="M1253" s="54"/>
      <c r="N1253" s="54"/>
      <c r="O1253" s="336"/>
      <c r="P1253" s="334"/>
      <c r="Q1253" s="335"/>
      <c r="R1253" s="336"/>
      <c r="U1253" s="337"/>
    </row>
    <row r="1254" spans="1:21" ht="30" customHeight="1" x14ac:dyDescent="0.25">
      <c r="A1254" s="365" t="s">
        <v>684</v>
      </c>
      <c r="B1254" s="1281" t="s">
        <v>919</v>
      </c>
      <c r="C1254" s="1281"/>
      <c r="D1254" s="1281"/>
      <c r="E1254" s="256">
        <f>+Q925</f>
        <v>11.77</v>
      </c>
      <c r="F1254" s="365" t="s">
        <v>205</v>
      </c>
      <c r="G1254" s="753">
        <f>80*468</f>
        <v>37440</v>
      </c>
      <c r="H1254" s="695" t="s">
        <v>859</v>
      </c>
      <c r="I1254" s="706">
        <f>+S925</f>
        <v>1.23</v>
      </c>
      <c r="J1254" s="706">
        <f>+T925</f>
        <v>1</v>
      </c>
      <c r="K1254" s="247">
        <f t="shared" si="20"/>
        <v>542022.62399999995</v>
      </c>
      <c r="L1254" s="365" t="s">
        <v>76</v>
      </c>
      <c r="M1254" s="54"/>
      <c r="N1254" s="54"/>
      <c r="O1254" s="336"/>
      <c r="P1254" s="334"/>
      <c r="Q1254" s="335"/>
      <c r="R1254" s="336"/>
      <c r="U1254" s="337"/>
    </row>
    <row r="1255" spans="1:21" ht="30" customHeight="1" x14ac:dyDescent="0.25">
      <c r="A1255" s="365" t="s">
        <v>533</v>
      </c>
      <c r="B1255" s="1281" t="s">
        <v>920</v>
      </c>
      <c r="C1255" s="1281"/>
      <c r="D1255" s="1281"/>
      <c r="E1255" s="256">
        <f>+Q926</f>
        <v>20.25</v>
      </c>
      <c r="F1255" s="365" t="s">
        <v>205</v>
      </c>
      <c r="G1255" s="753">
        <f>2152*12</f>
        <v>25824</v>
      </c>
      <c r="H1255" s="695" t="s">
        <v>859</v>
      </c>
      <c r="I1255" s="706">
        <f>+S926</f>
        <v>1.1200000000000001</v>
      </c>
      <c r="J1255" s="706">
        <f>+T926</f>
        <v>1</v>
      </c>
      <c r="K1255" s="247">
        <f t="shared" si="20"/>
        <v>585688.32000000007</v>
      </c>
      <c r="L1255" s="365" t="s">
        <v>76</v>
      </c>
      <c r="M1255" s="54"/>
      <c r="N1255" s="54"/>
      <c r="P1255" s="334"/>
      <c r="Q1255" s="335"/>
      <c r="R1255" s="336"/>
      <c r="U1255" s="337"/>
    </row>
    <row r="1256" spans="1:21" ht="30" customHeight="1" x14ac:dyDescent="0.25">
      <c r="A1256" s="365" t="s">
        <v>533</v>
      </c>
      <c r="B1256" s="1281" t="s">
        <v>921</v>
      </c>
      <c r="C1256" s="1281"/>
      <c r="D1256" s="1281"/>
      <c r="E1256" s="256">
        <f>+Q926</f>
        <v>20.25</v>
      </c>
      <c r="F1256" s="365" t="s">
        <v>205</v>
      </c>
      <c r="G1256" s="780">
        <f>80.7*45</f>
        <v>3631.5</v>
      </c>
      <c r="H1256" s="695" t="s">
        <v>859</v>
      </c>
      <c r="I1256" s="706">
        <f>+S926</f>
        <v>1.1200000000000001</v>
      </c>
      <c r="J1256" s="706">
        <f>+T926</f>
        <v>1</v>
      </c>
      <c r="K1256" s="247">
        <f t="shared" si="20"/>
        <v>82362.420000000013</v>
      </c>
      <c r="L1256" s="365" t="s">
        <v>76</v>
      </c>
      <c r="M1256" s="54"/>
      <c r="N1256" s="54"/>
      <c r="O1256" s="336"/>
      <c r="P1256" s="334"/>
      <c r="Q1256" s="335"/>
      <c r="R1256" s="336"/>
      <c r="U1256" s="337"/>
    </row>
    <row r="1257" spans="1:21" s="336" customFormat="1" ht="30" customHeight="1" x14ac:dyDescent="0.25">
      <c r="A1257" s="365" t="s">
        <v>301</v>
      </c>
      <c r="B1257" s="1281" t="s">
        <v>694</v>
      </c>
      <c r="C1257" s="1281"/>
      <c r="D1257" s="1281"/>
      <c r="E1257" s="256">
        <f>+Q929</f>
        <v>920</v>
      </c>
      <c r="F1257" s="661" t="s">
        <v>76</v>
      </c>
      <c r="G1257" s="753">
        <v>137</v>
      </c>
      <c r="H1257" s="695" t="s">
        <v>860</v>
      </c>
      <c r="I1257" s="706">
        <f>+S929</f>
        <v>1.1000000000000001</v>
      </c>
      <c r="J1257" s="706">
        <f>+T929</f>
        <v>1</v>
      </c>
      <c r="K1257" s="247">
        <f t="shared" si="20"/>
        <v>138644</v>
      </c>
      <c r="L1257" s="365" t="s">
        <v>76</v>
      </c>
      <c r="M1257" s="54"/>
      <c r="N1257" s="64"/>
      <c r="Q1257" s="793"/>
    </row>
    <row r="1258" spans="1:21" ht="30" customHeight="1" x14ac:dyDescent="0.25">
      <c r="A1258" s="365" t="s">
        <v>520</v>
      </c>
      <c r="B1258" s="1281" t="s">
        <v>922</v>
      </c>
      <c r="C1258" s="1281"/>
      <c r="D1258" s="1281"/>
      <c r="E1258" s="256">
        <f>+Q935</f>
        <v>21.1</v>
      </c>
      <c r="F1258" s="661" t="s">
        <v>40</v>
      </c>
      <c r="G1258" s="753">
        <f>+((656*12)+(49*45))</f>
        <v>10077</v>
      </c>
      <c r="H1258" s="695" t="s">
        <v>863</v>
      </c>
      <c r="I1258" s="706">
        <f>+S935</f>
        <v>1.04</v>
      </c>
      <c r="J1258" s="706">
        <f>+T935</f>
        <v>1</v>
      </c>
      <c r="K1258" s="247">
        <f t="shared" si="20"/>
        <v>221129.68800000002</v>
      </c>
      <c r="L1258" s="365" t="s">
        <v>76</v>
      </c>
      <c r="M1258" s="54"/>
      <c r="N1258" s="54"/>
      <c r="O1258" s="781"/>
      <c r="P1258" s="334"/>
      <c r="Q1258" s="335"/>
      <c r="R1258" s="336"/>
      <c r="U1258" s="337"/>
    </row>
    <row r="1259" spans="1:21" ht="30" customHeight="1" x14ac:dyDescent="0.25">
      <c r="A1259" s="365" t="s">
        <v>520</v>
      </c>
      <c r="B1259" s="1209" t="s">
        <v>877</v>
      </c>
      <c r="C1259" s="1210"/>
      <c r="D1259" s="1211"/>
      <c r="E1259" s="256">
        <f>+Q936</f>
        <v>3227.5</v>
      </c>
      <c r="F1259" s="661" t="s">
        <v>76</v>
      </c>
      <c r="G1259" s="753">
        <v>57</v>
      </c>
      <c r="H1259" s="695" t="s">
        <v>860</v>
      </c>
      <c r="I1259" s="706">
        <f>+S936</f>
        <v>1.04</v>
      </c>
      <c r="J1259" s="706">
        <f>+T936</f>
        <v>1</v>
      </c>
      <c r="K1259" s="247">
        <f t="shared" si="20"/>
        <v>191326.2</v>
      </c>
      <c r="L1259" s="365" t="s">
        <v>76</v>
      </c>
      <c r="M1259" s="54"/>
      <c r="N1259" s="54"/>
      <c r="O1259" s="781"/>
      <c r="P1259" s="334"/>
      <c r="Q1259" s="335"/>
      <c r="R1259" s="336"/>
      <c r="U1259" s="337"/>
    </row>
    <row r="1260" spans="1:21" ht="30" customHeight="1" x14ac:dyDescent="0.25">
      <c r="A1260" s="365" t="s">
        <v>301</v>
      </c>
      <c r="B1260" s="1209" t="s">
        <v>796</v>
      </c>
      <c r="C1260" s="1210"/>
      <c r="D1260" s="1211"/>
      <c r="E1260" s="256">
        <f>+Q931</f>
        <v>1125</v>
      </c>
      <c r="F1260" s="661" t="s">
        <v>76</v>
      </c>
      <c r="G1260" s="753">
        <v>137</v>
      </c>
      <c r="H1260" s="695" t="s">
        <v>860</v>
      </c>
      <c r="I1260" s="706">
        <f t="shared" ref="I1260:J1262" si="21">+S931</f>
        <v>1.1000000000000001</v>
      </c>
      <c r="J1260" s="706">
        <f t="shared" si="21"/>
        <v>1</v>
      </c>
      <c r="K1260" s="247">
        <f t="shared" si="20"/>
        <v>169537.5</v>
      </c>
      <c r="L1260" s="365" t="s">
        <v>76</v>
      </c>
      <c r="M1260" s="54"/>
      <c r="N1260" s="54"/>
      <c r="O1260" s="336"/>
      <c r="P1260" s="334"/>
      <c r="Q1260" s="335"/>
      <c r="R1260" s="336"/>
      <c r="U1260" s="337"/>
    </row>
    <row r="1261" spans="1:21" ht="30" customHeight="1" x14ac:dyDescent="0.25">
      <c r="A1261" s="365" t="s">
        <v>698</v>
      </c>
      <c r="B1261" s="1281" t="s">
        <v>878</v>
      </c>
      <c r="C1261" s="1281"/>
      <c r="D1261" s="1281"/>
      <c r="E1261" s="256">
        <f>+Q932</f>
        <v>145.58000000000001</v>
      </c>
      <c r="F1261" s="661" t="s">
        <v>76</v>
      </c>
      <c r="G1261" s="753">
        <v>1852</v>
      </c>
      <c r="H1261" s="695" t="s">
        <v>860</v>
      </c>
      <c r="I1261" s="706">
        <f t="shared" si="21"/>
        <v>1.1000000000000001</v>
      </c>
      <c r="J1261" s="706">
        <f t="shared" si="21"/>
        <v>1</v>
      </c>
      <c r="K1261" s="247">
        <f t="shared" si="20"/>
        <v>296575.57600000006</v>
      </c>
      <c r="L1261" s="365" t="s">
        <v>76</v>
      </c>
      <c r="M1261" s="54"/>
      <c r="N1261" s="54"/>
      <c r="O1261" s="336"/>
      <c r="P1261" s="334"/>
      <c r="Q1261" s="335"/>
      <c r="R1261" s="336"/>
      <c r="U1261" s="337"/>
    </row>
    <row r="1262" spans="1:21" ht="30" customHeight="1" x14ac:dyDescent="0.25">
      <c r="A1262" s="365" t="s">
        <v>702</v>
      </c>
      <c r="B1262" s="1209" t="s">
        <v>923</v>
      </c>
      <c r="C1262" s="1210"/>
      <c r="D1262" s="1211"/>
      <c r="E1262" s="256">
        <f>Q933</f>
        <v>19.62</v>
      </c>
      <c r="F1262" s="661" t="s">
        <v>40</v>
      </c>
      <c r="G1262" s="753">
        <f>176233*6.5</f>
        <v>1145514.5</v>
      </c>
      <c r="H1262" s="695" t="s">
        <v>863</v>
      </c>
      <c r="I1262" s="706">
        <f t="shared" si="21"/>
        <v>1.1000000000000001</v>
      </c>
      <c r="J1262" s="706">
        <f t="shared" si="21"/>
        <v>1</v>
      </c>
      <c r="K1262" s="247">
        <f t="shared" si="20"/>
        <v>24722493.939000003</v>
      </c>
      <c r="L1262" s="365" t="s">
        <v>76</v>
      </c>
      <c r="M1262" s="54"/>
      <c r="N1262" s="54"/>
      <c r="O1262" s="336"/>
      <c r="P1262" s="334"/>
      <c r="Q1262" s="335"/>
      <c r="R1262" s="336"/>
      <c r="U1262" s="337"/>
    </row>
    <row r="1263" spans="1:21" ht="30" customHeight="1" x14ac:dyDescent="0.25">
      <c r="A1263" s="365">
        <v>93410</v>
      </c>
      <c r="B1263" s="1209" t="s">
        <v>924</v>
      </c>
      <c r="C1263" s="1210"/>
      <c r="D1263" s="1211"/>
      <c r="E1263" s="255">
        <f>+Q943</f>
        <v>1.2</v>
      </c>
      <c r="F1263" s="661" t="s">
        <v>9</v>
      </c>
      <c r="G1263" s="753">
        <v>7464</v>
      </c>
      <c r="H1263" s="695" t="s">
        <v>864</v>
      </c>
      <c r="I1263" s="758">
        <f>+'2022 MILCON Inflation Table'!F21</f>
        <v>0.94047825952836139</v>
      </c>
      <c r="J1263" s="365"/>
      <c r="K1263" s="247">
        <f>+E1263*G1263*I1263</f>
        <v>8423.6756749436263</v>
      </c>
      <c r="L1263" s="365" t="s">
        <v>76</v>
      </c>
      <c r="M1263" s="54"/>
      <c r="N1263" s="54"/>
      <c r="O1263" s="336"/>
      <c r="P1263" s="334"/>
      <c r="Q1263" s="335"/>
      <c r="R1263" s="336"/>
      <c r="U1263" s="337"/>
    </row>
    <row r="1264" spans="1:21" ht="30" customHeight="1" x14ac:dyDescent="0.25">
      <c r="A1264" s="365" t="s">
        <v>684</v>
      </c>
      <c r="B1264" s="1209" t="s">
        <v>925</v>
      </c>
      <c r="C1264" s="1210"/>
      <c r="D1264" s="1211"/>
      <c r="E1264" s="256">
        <f>+Q925</f>
        <v>11.77</v>
      </c>
      <c r="F1264" s="365" t="s">
        <v>205</v>
      </c>
      <c r="G1264" s="753">
        <f>481*30</f>
        <v>14430</v>
      </c>
      <c r="H1264" s="695" t="s">
        <v>859</v>
      </c>
      <c r="I1264" s="706">
        <f>+S925</f>
        <v>1.23</v>
      </c>
      <c r="J1264" s="706">
        <f>+T925</f>
        <v>1</v>
      </c>
      <c r="K1264" s="247">
        <f>+E1264*G1264*I1264*J1264</f>
        <v>208904.55300000001</v>
      </c>
      <c r="L1264" s="365" t="s">
        <v>76</v>
      </c>
      <c r="M1264" s="54"/>
      <c r="N1264" s="54"/>
      <c r="O1264" s="336"/>
      <c r="P1264" s="334"/>
      <c r="Q1264" s="335"/>
      <c r="R1264" s="336"/>
      <c r="U1264" s="337"/>
    </row>
    <row r="1265" spans="1:21" ht="30" customHeight="1" x14ac:dyDescent="0.25">
      <c r="A1265" s="365">
        <v>93410</v>
      </c>
      <c r="B1265" s="1209" t="s">
        <v>926</v>
      </c>
      <c r="C1265" s="1210"/>
      <c r="D1265" s="1211"/>
      <c r="E1265" s="256">
        <f>+Q942</f>
        <v>8.6999999999999993</v>
      </c>
      <c r="F1265" s="661" t="s">
        <v>25</v>
      </c>
      <c r="G1265" s="753">
        <v>17139</v>
      </c>
      <c r="H1265" s="695" t="s">
        <v>867</v>
      </c>
      <c r="I1265" s="758">
        <f>+I1263</f>
        <v>0.94047825952836139</v>
      </c>
      <c r="J1265" s="365"/>
      <c r="K1265" s="247">
        <f>+E1265*G1265*I1265</f>
        <v>140234.05494349229</v>
      </c>
      <c r="L1265" s="365" t="s">
        <v>76</v>
      </c>
      <c r="M1265" s="54"/>
      <c r="N1265" s="54"/>
      <c r="O1265" s="336"/>
      <c r="P1265" s="334"/>
      <c r="Q1265" s="335"/>
      <c r="R1265" s="336"/>
      <c r="U1265" s="337"/>
    </row>
    <row r="1266" spans="1:21" ht="30" customHeight="1" x14ac:dyDescent="0.25">
      <c r="A1266" s="365" t="s">
        <v>684</v>
      </c>
      <c r="B1266" s="1209" t="s">
        <v>927</v>
      </c>
      <c r="C1266" s="1210"/>
      <c r="D1266" s="1211"/>
      <c r="E1266" s="255">
        <f>+Q924</f>
        <v>9.6300000000000008</v>
      </c>
      <c r="F1266" s="661" t="s">
        <v>205</v>
      </c>
      <c r="G1266" s="753">
        <f>4*144</f>
        <v>576</v>
      </c>
      <c r="H1266" s="695" t="s">
        <v>859</v>
      </c>
      <c r="I1266" s="365">
        <f>+S924</f>
        <v>1.23</v>
      </c>
      <c r="J1266" s="706">
        <f>+T924</f>
        <v>1</v>
      </c>
      <c r="K1266" s="247">
        <f>+E1266*G1266*I1266*J1266</f>
        <v>6822.6624000000002</v>
      </c>
      <c r="L1266" s="365" t="s">
        <v>76</v>
      </c>
      <c r="M1266" s="54"/>
      <c r="N1266" s="54"/>
      <c r="O1266" s="336"/>
      <c r="P1266" s="334"/>
      <c r="Q1266" s="335"/>
      <c r="R1266" s="336"/>
      <c r="U1266" s="337"/>
    </row>
    <row r="1267" spans="1:21" ht="30" customHeight="1" x14ac:dyDescent="0.25">
      <c r="A1267" s="365">
        <v>93210</v>
      </c>
      <c r="B1267" s="1209" t="s">
        <v>928</v>
      </c>
      <c r="C1267" s="1210"/>
      <c r="D1267" s="1211"/>
      <c r="E1267" s="256">
        <f>+Q944</f>
        <v>48.6</v>
      </c>
      <c r="F1267" s="661" t="s">
        <v>25</v>
      </c>
      <c r="G1267" s="753">
        <v>44650</v>
      </c>
      <c r="H1267" s="695" t="s">
        <v>867</v>
      </c>
      <c r="I1267" s="758">
        <f>+I1265</f>
        <v>0.94047825952836139</v>
      </c>
      <c r="J1267" s="365"/>
      <c r="K1267" s="247">
        <f>+E1267*G1267*I1267</f>
        <v>2040828.418393949</v>
      </c>
      <c r="L1267" s="365" t="s">
        <v>76</v>
      </c>
      <c r="M1267" s="54"/>
      <c r="N1267" s="54"/>
      <c r="P1267" s="334"/>
      <c r="Q1267" s="335"/>
      <c r="R1267" s="336"/>
      <c r="U1267" s="337"/>
    </row>
    <row r="1268" spans="1:21" ht="30" customHeight="1" x14ac:dyDescent="0.25">
      <c r="A1268" s="365" t="s">
        <v>680</v>
      </c>
      <c r="B1268" s="1209" t="s">
        <v>929</v>
      </c>
      <c r="C1268" s="1210"/>
      <c r="D1268" s="1211"/>
      <c r="E1268" s="255">
        <f>+Q922</f>
        <v>21.15</v>
      </c>
      <c r="F1268" s="661" t="s">
        <v>205</v>
      </c>
      <c r="G1268" s="753">
        <v>4800</v>
      </c>
      <c r="H1268" s="695" t="s">
        <v>859</v>
      </c>
      <c r="I1268" s="706">
        <f>+S922</f>
        <v>1.1599999999999999</v>
      </c>
      <c r="J1268" s="706">
        <f>+T922</f>
        <v>0.97169811320754718</v>
      </c>
      <c r="K1268" s="247">
        <f>+E1268*G1268*I1268*J1268</f>
        <v>114430.27924528302</v>
      </c>
      <c r="L1268" s="365" t="s">
        <v>76</v>
      </c>
      <c r="M1268" s="54"/>
      <c r="N1268" s="54"/>
      <c r="O1268" s="336"/>
      <c r="P1268" s="334"/>
      <c r="Q1268" s="335"/>
      <c r="R1268" s="336"/>
      <c r="U1268" s="337"/>
    </row>
    <row r="1269" spans="1:21" ht="30" customHeight="1" x14ac:dyDescent="0.25">
      <c r="A1269" s="365"/>
      <c r="B1269" s="1281"/>
      <c r="C1269" s="1281"/>
      <c r="D1269" s="1281"/>
      <c r="E1269" s="247"/>
      <c r="F1269" s="365"/>
      <c r="G1269" s="366"/>
      <c r="H1269" s="662"/>
      <c r="I1269" s="365"/>
      <c r="J1269" s="365" t="s">
        <v>408</v>
      </c>
      <c r="K1269" s="247">
        <f>SUM(K1251:K1268)</f>
        <v>29977164.947857667</v>
      </c>
      <c r="L1269" s="365" t="s">
        <v>76</v>
      </c>
      <c r="M1269" s="54"/>
      <c r="N1269" s="54"/>
      <c r="O1269" s="336"/>
      <c r="P1269" s="334"/>
      <c r="Q1269" s="335"/>
      <c r="R1269" s="336"/>
      <c r="U1269" s="337"/>
    </row>
    <row r="1270" spans="1:21" ht="30" customHeight="1" x14ac:dyDescent="0.25">
      <c r="A1270" s="365"/>
      <c r="B1270" s="365"/>
      <c r="C1270" s="366"/>
      <c r="D1270" s="366"/>
      <c r="E1270" s="366"/>
      <c r="F1270" s="366"/>
      <c r="G1270" s="366"/>
      <c r="H1270" s="366"/>
      <c r="I1270" s="366"/>
      <c r="J1270" s="365" t="s">
        <v>72</v>
      </c>
      <c r="K1270" s="246">
        <f>+K1269</f>
        <v>29977164.947857667</v>
      </c>
      <c r="L1270" s="365" t="s">
        <v>76</v>
      </c>
      <c r="M1270" s="54"/>
      <c r="N1270" s="54"/>
      <c r="O1270" s="336"/>
      <c r="P1270" s="334"/>
      <c r="Q1270" s="335"/>
      <c r="R1270" s="336"/>
      <c r="U1270" s="337"/>
    </row>
    <row r="1271" spans="1:21" ht="30" customHeight="1" x14ac:dyDescent="0.25">
      <c r="A1271" s="365"/>
      <c r="B1271" s="365"/>
      <c r="C1271" s="366"/>
      <c r="D1271" s="366"/>
      <c r="E1271" s="366"/>
      <c r="F1271" s="366"/>
      <c r="G1271" s="580" t="s">
        <v>306</v>
      </c>
      <c r="H1271" s="366"/>
      <c r="I1271" s="366"/>
      <c r="J1271" s="521">
        <f>VLOOKUP(B1248,'Mil Cost Premiums for PUCs'!$A$4:$R$277,18,FALSE)</f>
        <v>1.0821211439999998</v>
      </c>
      <c r="K1271" s="246">
        <f>+K1270*J1271</f>
        <v>32438924.027252432</v>
      </c>
      <c r="L1271" s="365" t="s">
        <v>76</v>
      </c>
      <c r="M1271" s="54"/>
      <c r="N1271" s="54"/>
      <c r="O1271" s="336"/>
      <c r="P1271" s="334"/>
      <c r="Q1271" s="335"/>
      <c r="R1271" s="336"/>
      <c r="U1271" s="337"/>
    </row>
    <row r="1272" spans="1:21" ht="78.75" customHeight="1" x14ac:dyDescent="0.25">
      <c r="A1272" s="1230" t="s">
        <v>307</v>
      </c>
      <c r="B1272" s="1231"/>
      <c r="C1272" s="1231"/>
      <c r="D1272" s="1231"/>
      <c r="E1272" s="1231"/>
      <c r="F1272" s="1231"/>
      <c r="G1272" s="1231"/>
      <c r="H1272" s="1231"/>
      <c r="I1272" s="1231"/>
      <c r="J1272" s="1231"/>
      <c r="K1272" s="1231"/>
      <c r="L1272" s="1232"/>
      <c r="M1272" s="64"/>
      <c r="N1272" s="54"/>
      <c r="O1272" s="336"/>
      <c r="P1272" s="334"/>
      <c r="Q1272" s="335"/>
      <c r="R1272" s="336"/>
      <c r="U1272" s="337"/>
    </row>
    <row r="1273" spans="1:21" ht="60" customHeight="1" x14ac:dyDescent="0.25">
      <c r="A1273" s="1330" t="s">
        <v>308</v>
      </c>
      <c r="B1273" s="1331"/>
      <c r="C1273" s="1332"/>
      <c r="D1273" s="1268" t="s">
        <v>930</v>
      </c>
      <c r="E1273" s="1167"/>
      <c r="F1273" s="1167"/>
      <c r="G1273" s="1167"/>
      <c r="H1273" s="1167"/>
      <c r="I1273" s="1167"/>
      <c r="J1273" s="1167"/>
      <c r="K1273" s="1167"/>
      <c r="L1273" s="1168"/>
      <c r="M1273" s="54"/>
      <c r="N1273" s="54"/>
      <c r="O1273" s="336"/>
      <c r="P1273" s="334"/>
      <c r="Q1273" s="335"/>
      <c r="R1273" s="336"/>
      <c r="U1273" s="337"/>
    </row>
    <row r="1274" spans="1:21" ht="30" customHeight="1" x14ac:dyDescent="0.25">
      <c r="A1274" s="1330" t="s">
        <v>310</v>
      </c>
      <c r="B1274" s="1331"/>
      <c r="C1274" s="1332"/>
      <c r="D1274" s="1230" t="s">
        <v>931</v>
      </c>
      <c r="E1274" s="1231"/>
      <c r="F1274" s="1231"/>
      <c r="G1274" s="1231"/>
      <c r="H1274" s="1231"/>
      <c r="I1274" s="1231"/>
      <c r="J1274" s="1231"/>
      <c r="K1274" s="1231"/>
      <c r="L1274" s="1232"/>
      <c r="M1274" s="54"/>
      <c r="N1274" s="54"/>
      <c r="O1274" s="336"/>
      <c r="P1274" s="334"/>
      <c r="Q1274" s="335"/>
      <c r="R1274" s="336"/>
      <c r="U1274" s="337"/>
    </row>
    <row r="1275" spans="1:21" ht="30" customHeight="1" x14ac:dyDescent="0.25">
      <c r="A1275" s="1330" t="s">
        <v>312</v>
      </c>
      <c r="B1275" s="1331"/>
      <c r="C1275" s="1332"/>
      <c r="D1275" s="1230" t="s">
        <v>932</v>
      </c>
      <c r="E1275" s="1231"/>
      <c r="F1275" s="1231"/>
      <c r="G1275" s="1231"/>
      <c r="H1275" s="1231"/>
      <c r="I1275" s="1231"/>
      <c r="J1275" s="1231"/>
      <c r="K1275" s="1231"/>
      <c r="L1275" s="1232"/>
      <c r="M1275" s="54"/>
      <c r="N1275" s="54"/>
      <c r="O1275" s="575"/>
      <c r="P1275" s="334"/>
      <c r="Q1275" s="335"/>
      <c r="R1275" s="336"/>
      <c r="U1275" s="337"/>
    </row>
    <row r="1276" spans="1:21" ht="30" customHeight="1" x14ac:dyDescent="0.25">
      <c r="A1276" s="1330" t="s">
        <v>314</v>
      </c>
      <c r="B1276" s="1331"/>
      <c r="C1276" s="1332"/>
      <c r="D1276" s="1230" t="s">
        <v>933</v>
      </c>
      <c r="E1276" s="1231"/>
      <c r="F1276" s="1231"/>
      <c r="G1276" s="1231"/>
      <c r="H1276" s="1231"/>
      <c r="I1276" s="1231"/>
      <c r="J1276" s="1231"/>
      <c r="K1276" s="1231"/>
      <c r="L1276" s="1232"/>
      <c r="M1276" s="54"/>
      <c r="N1276" s="54"/>
      <c r="O1276" s="336"/>
      <c r="P1276" s="334"/>
      <c r="Q1276" s="335"/>
      <c r="R1276" s="336"/>
      <c r="U1276" s="337"/>
    </row>
    <row r="1277" spans="1:21" ht="30" customHeight="1" x14ac:dyDescent="0.25">
      <c r="A1277" s="1330" t="s">
        <v>316</v>
      </c>
      <c r="B1277" s="1331"/>
      <c r="C1277" s="1332"/>
      <c r="D1277" s="1230" t="s">
        <v>824</v>
      </c>
      <c r="E1277" s="1231"/>
      <c r="F1277" s="1231"/>
      <c r="G1277" s="1231"/>
      <c r="H1277" s="1231"/>
      <c r="I1277" s="1231"/>
      <c r="J1277" s="1231"/>
      <c r="K1277" s="1231"/>
      <c r="L1277" s="1232"/>
      <c r="M1277" s="54"/>
      <c r="N1277" s="54"/>
      <c r="O1277" s="336"/>
      <c r="P1277" s="334"/>
      <c r="Q1277" s="335"/>
      <c r="R1277" s="336"/>
      <c r="U1277" s="337"/>
    </row>
    <row r="1278" spans="1:21" ht="30" customHeight="1" x14ac:dyDescent="0.25">
      <c r="A1278" s="1330" t="s">
        <v>318</v>
      </c>
      <c r="B1278" s="1331"/>
      <c r="C1278" s="1332"/>
      <c r="D1278" s="1230" t="s">
        <v>825</v>
      </c>
      <c r="E1278" s="1231"/>
      <c r="F1278" s="1231"/>
      <c r="G1278" s="1231"/>
      <c r="H1278" s="1231"/>
      <c r="I1278" s="1231"/>
      <c r="J1278" s="1231"/>
      <c r="K1278" s="1231"/>
      <c r="L1278" s="1232"/>
      <c r="M1278" s="54"/>
      <c r="N1278" s="54"/>
      <c r="O1278" s="336"/>
      <c r="P1278" s="334"/>
      <c r="Q1278" s="335"/>
      <c r="R1278" s="336"/>
      <c r="U1278" s="337"/>
    </row>
    <row r="1279" spans="1:21" ht="30" customHeight="1" x14ac:dyDescent="0.25">
      <c r="A1279" s="1330" t="s">
        <v>320</v>
      </c>
      <c r="B1279" s="1331"/>
      <c r="C1279" s="1332"/>
      <c r="D1279" s="1256" t="s">
        <v>826</v>
      </c>
      <c r="E1279" s="1257"/>
      <c r="F1279" s="1257"/>
      <c r="G1279" s="1257"/>
      <c r="H1279" s="1257"/>
      <c r="I1279" s="1257"/>
      <c r="J1279" s="1257"/>
      <c r="K1279" s="1257"/>
      <c r="L1279" s="1258"/>
      <c r="M1279" s="54"/>
      <c r="N1279" s="54"/>
      <c r="O1279" s="336"/>
      <c r="P1279" s="334"/>
      <c r="Q1279" s="335"/>
      <c r="R1279" s="336"/>
      <c r="U1279" s="337"/>
    </row>
    <row r="1280" spans="1:21" ht="45" customHeight="1" x14ac:dyDescent="0.25">
      <c r="A1280" s="1330" t="s">
        <v>559</v>
      </c>
      <c r="B1280" s="1331"/>
      <c r="C1280" s="1332"/>
      <c r="D1280" s="1206" t="s">
        <v>828</v>
      </c>
      <c r="E1280" s="1207"/>
      <c r="F1280" s="1207"/>
      <c r="G1280" s="1207"/>
      <c r="H1280" s="1207"/>
      <c r="I1280" s="1207"/>
      <c r="J1280" s="1207"/>
      <c r="K1280" s="1207"/>
      <c r="L1280" s="1208"/>
      <c r="M1280" s="54"/>
      <c r="N1280" s="54"/>
      <c r="O1280" s="336"/>
      <c r="P1280" s="334"/>
      <c r="Q1280" s="335"/>
      <c r="R1280" s="336"/>
      <c r="U1280" s="337"/>
    </row>
    <row r="1281" spans="1:21" ht="30" customHeight="1" thickBot="1" x14ac:dyDescent="0.3">
      <c r="A1281" s="1256" t="s">
        <v>350</v>
      </c>
      <c r="B1281" s="1257"/>
      <c r="C1281" s="1258"/>
      <c r="D1281" s="1291" t="s">
        <v>745</v>
      </c>
      <c r="E1281" s="1292"/>
      <c r="F1281" s="1292"/>
      <c r="G1281" s="1292"/>
      <c r="H1281" s="1292"/>
      <c r="I1281" s="1292"/>
      <c r="J1281" s="1292"/>
      <c r="K1281" s="1292"/>
      <c r="L1281" s="1293"/>
      <c r="M1281" s="54"/>
      <c r="N1281" s="54"/>
      <c r="O1281" s="336"/>
      <c r="P1281" s="334"/>
      <c r="Q1281" s="335"/>
      <c r="R1281" s="336"/>
      <c r="U1281" s="337"/>
    </row>
    <row r="1282" spans="1:21" ht="30" customHeight="1" thickBot="1" x14ac:dyDescent="0.3">
      <c r="A1282" s="1180"/>
      <c r="B1282" s="1181"/>
      <c r="C1282" s="1181"/>
      <c r="D1282" s="1181"/>
      <c r="E1282" s="1181"/>
      <c r="F1282" s="1181"/>
      <c r="G1282" s="1181"/>
      <c r="H1282" s="1181"/>
      <c r="I1282" s="1181"/>
      <c r="J1282" s="1181"/>
      <c r="K1282" s="1181"/>
      <c r="L1282" s="1182"/>
      <c r="M1282" s="54"/>
      <c r="N1282" s="54"/>
      <c r="O1282" s="336"/>
      <c r="P1282" s="334"/>
      <c r="Q1282" s="335"/>
      <c r="R1282" s="336"/>
      <c r="U1282" s="337"/>
    </row>
    <row r="1283" spans="1:21" ht="60" customHeight="1" x14ac:dyDescent="0.25">
      <c r="A1283" s="327" t="s">
        <v>5</v>
      </c>
      <c r="B1283" s="328">
        <v>1773</v>
      </c>
      <c r="C1283" s="1251" t="s">
        <v>934</v>
      </c>
      <c r="D1283" s="1252"/>
      <c r="E1283" s="331" t="s">
        <v>8</v>
      </c>
      <c r="F1283" s="332" t="s">
        <v>812</v>
      </c>
      <c r="G1283" s="346" t="s">
        <v>935</v>
      </c>
      <c r="H1283" s="711">
        <v>4</v>
      </c>
      <c r="I1283" s="331" t="s">
        <v>10</v>
      </c>
      <c r="J1283" s="1220" t="s">
        <v>807</v>
      </c>
      <c r="K1283" s="1220"/>
      <c r="L1283" s="1221"/>
      <c r="M1283" s="54"/>
      <c r="N1283" s="54"/>
      <c r="O1283" s="336"/>
      <c r="P1283" s="334"/>
      <c r="Q1283" s="335"/>
      <c r="R1283" s="336"/>
      <c r="U1283" s="337"/>
    </row>
    <row r="1284" spans="1:21" ht="30" customHeight="1" x14ac:dyDescent="0.25">
      <c r="A1284" s="356" t="s">
        <v>735</v>
      </c>
      <c r="B1284" s="1222" t="s">
        <v>326</v>
      </c>
      <c r="C1284" s="1235"/>
      <c r="D1284" s="1223"/>
      <c r="E1284" s="577" t="s">
        <v>116</v>
      </c>
      <c r="F1284" s="577" t="s">
        <v>117</v>
      </c>
      <c r="G1284" s="1194" t="s">
        <v>118</v>
      </c>
      <c r="H1284" s="1195"/>
      <c r="I1284" s="356" t="s">
        <v>296</v>
      </c>
      <c r="J1284" s="633" t="s">
        <v>303</v>
      </c>
      <c r="K1284" s="1236" t="s">
        <v>285</v>
      </c>
      <c r="L1284" s="1237"/>
      <c r="M1284" s="54"/>
      <c r="N1284" s="54"/>
      <c r="O1284" s="336"/>
      <c r="P1284" s="334"/>
      <c r="Q1284" s="335"/>
      <c r="R1284" s="336"/>
      <c r="U1284" s="337"/>
    </row>
    <row r="1285" spans="1:21" ht="30" customHeight="1" x14ac:dyDescent="0.25">
      <c r="A1285" s="356"/>
      <c r="B1285" s="1214" t="s">
        <v>936</v>
      </c>
      <c r="C1285" s="1215"/>
      <c r="D1285" s="1216"/>
      <c r="E1285" s="577"/>
      <c r="F1285" s="577"/>
      <c r="G1285" s="750"/>
      <c r="H1285" s="751"/>
      <c r="I1285" s="398"/>
      <c r="J1285" s="398"/>
      <c r="K1285" s="577"/>
      <c r="L1285" s="577"/>
      <c r="M1285" s="54"/>
      <c r="N1285" s="54"/>
      <c r="O1285" s="336"/>
      <c r="P1285" s="334"/>
      <c r="Q1285" s="335"/>
      <c r="R1285" s="336"/>
      <c r="U1285" s="337"/>
    </row>
    <row r="1286" spans="1:21" ht="30" customHeight="1" x14ac:dyDescent="0.25">
      <c r="A1286" s="365" t="s">
        <v>684</v>
      </c>
      <c r="B1286" s="1209" t="s">
        <v>937</v>
      </c>
      <c r="C1286" s="1210"/>
      <c r="D1286" s="1211"/>
      <c r="E1286" s="256">
        <f>+Q924</f>
        <v>9.6300000000000008</v>
      </c>
      <c r="F1286" s="365" t="s">
        <v>205</v>
      </c>
      <c r="G1286" s="661">
        <f>6*62</f>
        <v>372</v>
      </c>
      <c r="H1286" s="695" t="s">
        <v>815</v>
      </c>
      <c r="I1286" s="706">
        <f>+S924</f>
        <v>1.23</v>
      </c>
      <c r="J1286" s="706">
        <f>+T924</f>
        <v>1</v>
      </c>
      <c r="K1286" s="247">
        <f>+E1286*G1286*I1286*J1286</f>
        <v>4406.3028000000004</v>
      </c>
      <c r="L1286" s="365" t="s">
        <v>812</v>
      </c>
      <c r="M1286" s="54"/>
      <c r="N1286" s="54"/>
      <c r="O1286" s="336"/>
      <c r="P1286" s="334"/>
      <c r="Q1286" s="335"/>
      <c r="R1286" s="336"/>
      <c r="U1286" s="337"/>
    </row>
    <row r="1287" spans="1:21" ht="30" customHeight="1" x14ac:dyDescent="0.25">
      <c r="A1287" s="365" t="s">
        <v>301</v>
      </c>
      <c r="B1287" s="1209" t="s">
        <v>691</v>
      </c>
      <c r="C1287" s="1210"/>
      <c r="D1287" s="1211"/>
      <c r="E1287" s="256">
        <f>+Q928</f>
        <v>504.5</v>
      </c>
      <c r="F1287" s="661" t="s">
        <v>76</v>
      </c>
      <c r="G1287" s="661">
        <v>6</v>
      </c>
      <c r="H1287" s="695" t="s">
        <v>847</v>
      </c>
      <c r="I1287" s="706">
        <f>+S928</f>
        <v>1.1000000000000001</v>
      </c>
      <c r="J1287" s="706">
        <f>+T928</f>
        <v>1</v>
      </c>
      <c r="K1287" s="247">
        <f>+E1287*G1287*I1287*J1287</f>
        <v>3329.7000000000003</v>
      </c>
      <c r="L1287" s="365" t="s">
        <v>812</v>
      </c>
      <c r="M1287" s="54"/>
      <c r="N1287" s="54"/>
      <c r="O1287" s="336"/>
      <c r="P1287" s="334"/>
      <c r="Q1287" s="335"/>
      <c r="R1287" s="336"/>
      <c r="U1287" s="337"/>
    </row>
    <row r="1288" spans="1:21" ht="30" customHeight="1" x14ac:dyDescent="0.25">
      <c r="A1288" s="365" t="s">
        <v>301</v>
      </c>
      <c r="B1288" s="1209" t="s">
        <v>696</v>
      </c>
      <c r="C1288" s="1210"/>
      <c r="D1288" s="1211"/>
      <c r="E1288" s="256">
        <f>+Q930</f>
        <v>362.5</v>
      </c>
      <c r="F1288" s="661" t="s">
        <v>76</v>
      </c>
      <c r="G1288" s="661">
        <v>6</v>
      </c>
      <c r="H1288" s="695" t="s">
        <v>847</v>
      </c>
      <c r="I1288" s="706">
        <f>+S930</f>
        <v>1.1000000000000001</v>
      </c>
      <c r="J1288" s="706">
        <f>+T930</f>
        <v>1</v>
      </c>
      <c r="K1288" s="247">
        <f>+E1288*G1288*I1288*J1288</f>
        <v>2392.5</v>
      </c>
      <c r="L1288" s="365" t="s">
        <v>812</v>
      </c>
      <c r="M1288" s="54"/>
      <c r="N1288" s="54"/>
      <c r="O1288" s="336"/>
      <c r="P1288" s="334"/>
      <c r="Q1288" s="335"/>
      <c r="R1288" s="336"/>
      <c r="U1288" s="337"/>
    </row>
    <row r="1289" spans="1:21" ht="30" customHeight="1" x14ac:dyDescent="0.25">
      <c r="A1289" s="365" t="s">
        <v>698</v>
      </c>
      <c r="B1289" s="1281" t="s">
        <v>938</v>
      </c>
      <c r="C1289" s="1281"/>
      <c r="D1289" s="1281"/>
      <c r="E1289" s="256">
        <f>+Q932</f>
        <v>145.58000000000001</v>
      </c>
      <c r="F1289" s="661" t="s">
        <v>76</v>
      </c>
      <c r="G1289" s="661">
        <v>24</v>
      </c>
      <c r="H1289" s="695" t="s">
        <v>847</v>
      </c>
      <c r="I1289" s="706">
        <f>+S932</f>
        <v>1.1000000000000001</v>
      </c>
      <c r="J1289" s="706">
        <f>+T932</f>
        <v>1</v>
      </c>
      <c r="K1289" s="247">
        <f>+E1289*G1289*I1289*J1289</f>
        <v>3843.3120000000004</v>
      </c>
      <c r="L1289" s="365" t="s">
        <v>812</v>
      </c>
      <c r="M1289" s="54"/>
      <c r="N1289" s="54"/>
      <c r="O1289" s="336"/>
      <c r="P1289" s="334"/>
      <c r="Q1289" s="335"/>
      <c r="R1289" s="336"/>
      <c r="U1289" s="337"/>
    </row>
    <row r="1290" spans="1:21" ht="30" customHeight="1" x14ac:dyDescent="0.25">
      <c r="A1290" s="365" t="s">
        <v>702</v>
      </c>
      <c r="B1290" s="1209" t="s">
        <v>939</v>
      </c>
      <c r="C1290" s="1210"/>
      <c r="D1290" s="1211"/>
      <c r="E1290" s="256">
        <f>+Q933</f>
        <v>19.62</v>
      </c>
      <c r="F1290" s="661" t="s">
        <v>40</v>
      </c>
      <c r="G1290" s="753">
        <f>346*6</f>
        <v>2076</v>
      </c>
      <c r="H1290" s="695" t="s">
        <v>849</v>
      </c>
      <c r="I1290" s="706">
        <f>+S933</f>
        <v>1.1000000000000001</v>
      </c>
      <c r="J1290" s="706">
        <f>+T933</f>
        <v>1</v>
      </c>
      <c r="K1290" s="247">
        <f>+E1290*G1290*I1290*J1290</f>
        <v>44804.232000000004</v>
      </c>
      <c r="L1290" s="365" t="s">
        <v>812</v>
      </c>
      <c r="M1290" s="54"/>
      <c r="N1290" s="54"/>
      <c r="O1290" s="336"/>
      <c r="P1290" s="334"/>
      <c r="Q1290" s="335"/>
      <c r="R1290" s="336"/>
      <c r="U1290" s="337"/>
    </row>
    <row r="1291" spans="1:21" ht="30" customHeight="1" x14ac:dyDescent="0.25">
      <c r="A1291" s="365">
        <v>93410</v>
      </c>
      <c r="B1291" s="1209" t="s">
        <v>940</v>
      </c>
      <c r="C1291" s="1210"/>
      <c r="D1291" s="1211"/>
      <c r="E1291" s="256">
        <f>+Q942</f>
        <v>8.6999999999999993</v>
      </c>
      <c r="F1291" s="661" t="s">
        <v>25</v>
      </c>
      <c r="G1291" s="753">
        <f>2354*2</f>
        <v>4708</v>
      </c>
      <c r="H1291" s="695" t="s">
        <v>817</v>
      </c>
      <c r="I1291" s="782">
        <f>+'2022 MILCON Inflation Table'!F21</f>
        <v>0.94047825952836139</v>
      </c>
      <c r="J1291" s="365"/>
      <c r="K1291" s="247">
        <f>+E1291*G1291*I1291</f>
        <v>38521.61331897787</v>
      </c>
      <c r="L1291" s="365" t="s">
        <v>812</v>
      </c>
      <c r="M1291" s="54"/>
      <c r="N1291" s="54"/>
      <c r="O1291" s="336"/>
      <c r="P1291" s="334"/>
      <c r="Q1291" s="335"/>
      <c r="R1291" s="336"/>
      <c r="U1291" s="337"/>
    </row>
    <row r="1292" spans="1:21" s="655" customFormat="1" ht="30" customHeight="1" x14ac:dyDescent="0.25">
      <c r="A1292" s="365">
        <v>93210</v>
      </c>
      <c r="B1292" s="1209" t="s">
        <v>941</v>
      </c>
      <c r="C1292" s="1210"/>
      <c r="D1292" s="1211"/>
      <c r="E1292" s="256">
        <f>Q944</f>
        <v>48.6</v>
      </c>
      <c r="F1292" s="661" t="s">
        <v>25</v>
      </c>
      <c r="G1292" s="794">
        <v>39</v>
      </c>
      <c r="H1292" s="695" t="s">
        <v>817</v>
      </c>
      <c r="I1292" s="782">
        <f>+I1291</f>
        <v>0.94047825952836139</v>
      </c>
      <c r="J1292" s="365"/>
      <c r="K1292" s="247">
        <f>+E1292*G1292*I1292</f>
        <v>1782.5824931100562</v>
      </c>
      <c r="L1292" s="365" t="s">
        <v>812</v>
      </c>
      <c r="M1292" s="54"/>
      <c r="N1292" s="117"/>
      <c r="Q1292" s="795"/>
    </row>
    <row r="1293" spans="1:21" ht="30" customHeight="1" x14ac:dyDescent="0.25">
      <c r="A1293" s="1172" t="s">
        <v>745</v>
      </c>
      <c r="B1293" s="1173"/>
      <c r="C1293" s="1173"/>
      <c r="D1293" s="1174"/>
      <c r="E1293" s="247"/>
      <c r="F1293" s="365"/>
      <c r="G1293" s="366"/>
      <c r="H1293" s="662"/>
      <c r="I1293" s="365"/>
      <c r="J1293" s="365" t="s">
        <v>408</v>
      </c>
      <c r="K1293" s="247">
        <f>SUM(K1286:K1292)</f>
        <v>99080.242612087924</v>
      </c>
      <c r="L1293" s="365" t="s">
        <v>812</v>
      </c>
      <c r="M1293" s="54"/>
      <c r="N1293" s="54"/>
      <c r="O1293" s="336"/>
      <c r="P1293" s="334"/>
      <c r="Q1293" s="335"/>
      <c r="R1293" s="336"/>
      <c r="U1293" s="337"/>
    </row>
    <row r="1294" spans="1:21" ht="30" customHeight="1" thickBot="1" x14ac:dyDescent="0.3">
      <c r="A1294" s="1336"/>
      <c r="B1294" s="1337"/>
      <c r="C1294" s="1337"/>
      <c r="D1294" s="1338"/>
      <c r="E1294" s="366"/>
      <c r="F1294" s="366"/>
      <c r="G1294" s="580" t="s">
        <v>306</v>
      </c>
      <c r="H1294" s="366"/>
      <c r="I1294" s="366"/>
      <c r="J1294" s="521">
        <f>VLOOKUP(B1283,'Mil Cost Premiums for PUCs'!$A$4:$R$277,18,FALSE)</f>
        <v>1.0485669999999998</v>
      </c>
      <c r="K1294" s="246">
        <f>+K1293*J1294</f>
        <v>103892.27275502917</v>
      </c>
      <c r="L1294" s="365" t="s">
        <v>812</v>
      </c>
      <c r="M1294" s="54"/>
      <c r="N1294" s="54"/>
      <c r="O1294" s="336"/>
      <c r="P1294" s="334"/>
      <c r="Q1294" s="335"/>
      <c r="R1294" s="336"/>
      <c r="U1294" s="337"/>
    </row>
    <row r="1295" spans="1:21" ht="30" customHeight="1" thickBot="1" x14ac:dyDescent="0.3">
      <c r="A1295" s="1180"/>
      <c r="B1295" s="1181"/>
      <c r="C1295" s="1181"/>
      <c r="D1295" s="1181"/>
      <c r="E1295" s="1181"/>
      <c r="F1295" s="1181"/>
      <c r="G1295" s="1181"/>
      <c r="H1295" s="1181"/>
      <c r="I1295" s="1181"/>
      <c r="J1295" s="1181"/>
      <c r="K1295" s="1181"/>
      <c r="L1295" s="1182"/>
      <c r="M1295" s="54"/>
      <c r="N1295" s="54"/>
      <c r="O1295" s="336"/>
      <c r="P1295" s="334"/>
      <c r="Q1295" s="335"/>
      <c r="R1295" s="336"/>
      <c r="U1295" s="337"/>
    </row>
    <row r="1296" spans="1:21" ht="60" customHeight="1" x14ac:dyDescent="0.25">
      <c r="A1296" s="327" t="s">
        <v>5</v>
      </c>
      <c r="B1296" s="328">
        <v>1774</v>
      </c>
      <c r="C1296" s="1364" t="s">
        <v>942</v>
      </c>
      <c r="D1296" s="1365"/>
      <c r="E1296" s="331" t="s">
        <v>8</v>
      </c>
      <c r="F1296" s="341" t="s">
        <v>76</v>
      </c>
      <c r="G1296" s="346" t="s">
        <v>943</v>
      </c>
      <c r="H1296" s="711">
        <v>1</v>
      </c>
      <c r="I1296" s="331" t="s">
        <v>10</v>
      </c>
      <c r="J1296" s="1220" t="s">
        <v>807</v>
      </c>
      <c r="K1296" s="1220"/>
      <c r="L1296" s="1221"/>
      <c r="M1296" s="54"/>
      <c r="N1296" s="54"/>
      <c r="O1296" s="336"/>
      <c r="P1296" s="334"/>
      <c r="Q1296" s="335"/>
      <c r="R1296" s="336"/>
      <c r="U1296" s="337"/>
    </row>
    <row r="1297" spans="1:21" ht="30" customHeight="1" x14ac:dyDescent="0.25">
      <c r="A1297" s="356" t="s">
        <v>735</v>
      </c>
      <c r="B1297" s="1222" t="s">
        <v>326</v>
      </c>
      <c r="C1297" s="1235"/>
      <c r="D1297" s="1223"/>
      <c r="E1297" s="577" t="s">
        <v>116</v>
      </c>
      <c r="F1297" s="577" t="s">
        <v>117</v>
      </c>
      <c r="G1297" s="1194" t="s">
        <v>118</v>
      </c>
      <c r="H1297" s="1195"/>
      <c r="I1297" s="356" t="s">
        <v>296</v>
      </c>
      <c r="J1297" s="633" t="s">
        <v>303</v>
      </c>
      <c r="K1297" s="1236" t="s">
        <v>285</v>
      </c>
      <c r="L1297" s="1237"/>
      <c r="M1297" s="54"/>
      <c r="N1297" s="54"/>
      <c r="O1297" s="336"/>
      <c r="P1297" s="334"/>
      <c r="Q1297" s="335"/>
      <c r="R1297" s="336"/>
      <c r="U1297" s="337"/>
    </row>
    <row r="1298" spans="1:21" ht="30" customHeight="1" x14ac:dyDescent="0.25">
      <c r="A1298" s="356"/>
      <c r="B1298" s="1214" t="s">
        <v>944</v>
      </c>
      <c r="C1298" s="1215"/>
      <c r="D1298" s="1216"/>
      <c r="E1298" s="577"/>
      <c r="F1298" s="577"/>
      <c r="G1298" s="750"/>
      <c r="H1298" s="751"/>
      <c r="I1298" s="398"/>
      <c r="J1298" s="398"/>
      <c r="K1298" s="577"/>
      <c r="L1298" s="577"/>
      <c r="M1298" s="54"/>
      <c r="N1298" s="54"/>
      <c r="O1298" s="336"/>
      <c r="P1298" s="334"/>
      <c r="Q1298" s="335"/>
      <c r="R1298" s="336"/>
      <c r="U1298" s="337"/>
    </row>
    <row r="1299" spans="1:21" ht="30" customHeight="1" x14ac:dyDescent="0.25">
      <c r="A1299" s="365" t="s">
        <v>684</v>
      </c>
      <c r="B1299" s="1209" t="s">
        <v>945</v>
      </c>
      <c r="C1299" s="1210"/>
      <c r="D1299" s="1211"/>
      <c r="E1299" s="256">
        <f>+Q924</f>
        <v>9.6300000000000008</v>
      </c>
      <c r="F1299" s="365" t="s">
        <v>205</v>
      </c>
      <c r="G1299" s="753">
        <f>31*62</f>
        <v>1922</v>
      </c>
      <c r="H1299" s="695" t="s">
        <v>859</v>
      </c>
      <c r="I1299" s="706">
        <f>+S924</f>
        <v>1.23</v>
      </c>
      <c r="J1299" s="706">
        <f>+T924</f>
        <v>1</v>
      </c>
      <c r="K1299" s="247">
        <f t="shared" ref="K1299:K1304" si="22">+E1299*G1299*I1299*J1299</f>
        <v>22765.897799999999</v>
      </c>
      <c r="L1299" s="365" t="s">
        <v>76</v>
      </c>
      <c r="M1299" s="54"/>
      <c r="N1299" s="54"/>
      <c r="O1299" s="336"/>
      <c r="P1299" s="334"/>
      <c r="Q1299" s="335"/>
      <c r="R1299" s="336"/>
      <c r="U1299" s="337"/>
    </row>
    <row r="1300" spans="1:21" ht="30" customHeight="1" x14ac:dyDescent="0.25">
      <c r="A1300" s="365" t="s">
        <v>301</v>
      </c>
      <c r="B1300" s="1209" t="s">
        <v>691</v>
      </c>
      <c r="C1300" s="1210"/>
      <c r="D1300" s="1211"/>
      <c r="E1300" s="256">
        <f>+Q928</f>
        <v>504.5</v>
      </c>
      <c r="F1300" s="661" t="s">
        <v>76</v>
      </c>
      <c r="G1300" s="661">
        <v>31</v>
      </c>
      <c r="H1300" s="695" t="s">
        <v>860</v>
      </c>
      <c r="I1300" s="706">
        <f>+S928</f>
        <v>1.1000000000000001</v>
      </c>
      <c r="J1300" s="706">
        <f>+T928</f>
        <v>1</v>
      </c>
      <c r="K1300" s="247">
        <f t="shared" si="22"/>
        <v>17203.45</v>
      </c>
      <c r="L1300" s="365" t="s">
        <v>76</v>
      </c>
      <c r="M1300" s="54"/>
      <c r="N1300" s="54"/>
      <c r="O1300" s="336"/>
      <c r="P1300" s="334"/>
      <c r="Q1300" s="335"/>
      <c r="R1300" s="336"/>
      <c r="U1300" s="337"/>
    </row>
    <row r="1301" spans="1:21" ht="30" customHeight="1" x14ac:dyDescent="0.25">
      <c r="A1301" s="365" t="s">
        <v>301</v>
      </c>
      <c r="B1301" s="1209" t="s">
        <v>696</v>
      </c>
      <c r="C1301" s="1210"/>
      <c r="D1301" s="1211"/>
      <c r="E1301" s="256">
        <f>+Q930</f>
        <v>362.5</v>
      </c>
      <c r="F1301" s="661" t="s">
        <v>76</v>
      </c>
      <c r="G1301" s="661">
        <v>31</v>
      </c>
      <c r="H1301" s="695" t="s">
        <v>860</v>
      </c>
      <c r="I1301" s="706">
        <f>+S930</f>
        <v>1.1000000000000001</v>
      </c>
      <c r="J1301" s="706">
        <f>+T930</f>
        <v>1</v>
      </c>
      <c r="K1301" s="247">
        <f t="shared" si="22"/>
        <v>12361.250000000002</v>
      </c>
      <c r="L1301" s="365" t="s">
        <v>76</v>
      </c>
      <c r="M1301" s="54"/>
      <c r="N1301" s="54"/>
      <c r="O1301" s="336"/>
      <c r="P1301" s="334"/>
      <c r="Q1301" s="335"/>
      <c r="R1301" s="336"/>
      <c r="U1301" s="337"/>
    </row>
    <row r="1302" spans="1:21" ht="30" customHeight="1" x14ac:dyDescent="0.25">
      <c r="A1302" s="365" t="s">
        <v>698</v>
      </c>
      <c r="B1302" s="1281" t="s">
        <v>938</v>
      </c>
      <c r="C1302" s="1281"/>
      <c r="D1302" s="1281"/>
      <c r="E1302" s="256">
        <f>+Q932</f>
        <v>145.58000000000001</v>
      </c>
      <c r="F1302" s="661" t="s">
        <v>76</v>
      </c>
      <c r="G1302" s="661">
        <f>31*4</f>
        <v>124</v>
      </c>
      <c r="H1302" s="695" t="s">
        <v>860</v>
      </c>
      <c r="I1302" s="706">
        <f>+S932</f>
        <v>1.1000000000000001</v>
      </c>
      <c r="J1302" s="706">
        <f>+T932</f>
        <v>1</v>
      </c>
      <c r="K1302" s="247">
        <f t="shared" si="22"/>
        <v>19857.112000000005</v>
      </c>
      <c r="L1302" s="365" t="s">
        <v>76</v>
      </c>
      <c r="M1302" s="54"/>
      <c r="N1302" s="54"/>
      <c r="O1302" s="336"/>
      <c r="P1302" s="334"/>
      <c r="Q1302" s="335"/>
      <c r="R1302" s="336"/>
      <c r="U1302" s="337"/>
    </row>
    <row r="1303" spans="1:21" ht="30" customHeight="1" x14ac:dyDescent="0.25">
      <c r="A1303" s="365" t="s">
        <v>702</v>
      </c>
      <c r="B1303" s="1209" t="s">
        <v>760</v>
      </c>
      <c r="C1303" s="1210"/>
      <c r="D1303" s="1211"/>
      <c r="E1303" s="256">
        <f>+Q933</f>
        <v>19.62</v>
      </c>
      <c r="F1303" s="661" t="s">
        <v>40</v>
      </c>
      <c r="G1303" s="753">
        <v>8152</v>
      </c>
      <c r="H1303" s="695" t="s">
        <v>863</v>
      </c>
      <c r="I1303" s="706">
        <f>+S933</f>
        <v>1.1000000000000001</v>
      </c>
      <c r="J1303" s="706">
        <f>+T933</f>
        <v>1</v>
      </c>
      <c r="K1303" s="247">
        <f t="shared" si="22"/>
        <v>175936.46400000004</v>
      </c>
      <c r="L1303" s="365" t="s">
        <v>76</v>
      </c>
      <c r="M1303" s="54"/>
      <c r="N1303" s="54"/>
      <c r="O1303" s="336"/>
      <c r="P1303" s="334"/>
      <c r="Q1303" s="335"/>
      <c r="R1303" s="336"/>
      <c r="U1303" s="337"/>
    </row>
    <row r="1304" spans="1:21" ht="30" customHeight="1" x14ac:dyDescent="0.25">
      <c r="A1304" s="365" t="s">
        <v>684</v>
      </c>
      <c r="B1304" s="1209" t="s">
        <v>946</v>
      </c>
      <c r="C1304" s="1210"/>
      <c r="D1304" s="1211"/>
      <c r="E1304" s="255">
        <f>+Q924</f>
        <v>9.6300000000000008</v>
      </c>
      <c r="F1304" s="661" t="s">
        <v>205</v>
      </c>
      <c r="G1304" s="661">
        <f>5*104</f>
        <v>520</v>
      </c>
      <c r="H1304" s="695" t="s">
        <v>860</v>
      </c>
      <c r="I1304" s="706">
        <f>+S924</f>
        <v>1.23</v>
      </c>
      <c r="J1304" s="706">
        <f>+T924</f>
        <v>1</v>
      </c>
      <c r="K1304" s="247">
        <f t="shared" si="22"/>
        <v>6159.348</v>
      </c>
      <c r="L1304" s="365" t="s">
        <v>76</v>
      </c>
      <c r="M1304" s="54"/>
      <c r="N1304" s="54"/>
      <c r="O1304" s="336"/>
      <c r="P1304" s="334"/>
      <c r="Q1304" s="335"/>
      <c r="R1304" s="336"/>
      <c r="U1304" s="337"/>
    </row>
    <row r="1305" spans="1:21" ht="30" customHeight="1" x14ac:dyDescent="0.25">
      <c r="A1305" s="365">
        <v>93410</v>
      </c>
      <c r="B1305" s="1209" t="s">
        <v>947</v>
      </c>
      <c r="C1305" s="1210"/>
      <c r="D1305" s="1211"/>
      <c r="E1305" s="256">
        <f>+Q942</f>
        <v>8.6999999999999993</v>
      </c>
      <c r="F1305" s="661" t="s">
        <v>25</v>
      </c>
      <c r="G1305" s="696">
        <v>785</v>
      </c>
      <c r="H1305" s="695" t="s">
        <v>743</v>
      </c>
      <c r="I1305" s="758">
        <f>+'2022 MILCON Inflation Table'!F21</f>
        <v>0.94047825952836139</v>
      </c>
      <c r="J1305" s="365"/>
      <c r="K1305" s="247">
        <f>+E1305*G1305*I1305</f>
        <v>6422.9962734489436</v>
      </c>
      <c r="L1305" s="365" t="s">
        <v>76</v>
      </c>
      <c r="M1305" s="54"/>
      <c r="N1305" s="54"/>
      <c r="O1305" s="336"/>
      <c r="P1305" s="334"/>
      <c r="Q1305" s="335"/>
      <c r="R1305" s="336"/>
      <c r="U1305" s="337"/>
    </row>
    <row r="1306" spans="1:21" ht="30" customHeight="1" x14ac:dyDescent="0.25">
      <c r="A1306" s="365">
        <v>93210</v>
      </c>
      <c r="B1306" s="1209" t="s">
        <v>948</v>
      </c>
      <c r="C1306" s="1210"/>
      <c r="D1306" s="1211"/>
      <c r="E1306" s="256">
        <f>+Q944</f>
        <v>48.6</v>
      </c>
      <c r="F1306" s="661" t="s">
        <v>25</v>
      </c>
      <c r="G1306" s="696">
        <v>353</v>
      </c>
      <c r="H1306" s="695" t="s">
        <v>743</v>
      </c>
      <c r="I1306" s="782">
        <f>+I1305</f>
        <v>0.94047825952836139</v>
      </c>
      <c r="J1306" s="365"/>
      <c r="K1306" s="247">
        <f>+E1306*G1306*I1306</f>
        <v>16134.656924816662</v>
      </c>
      <c r="L1306" s="365" t="s">
        <v>76</v>
      </c>
      <c r="M1306" s="54"/>
      <c r="N1306" s="54"/>
      <c r="O1306" s="336"/>
      <c r="P1306" s="334"/>
      <c r="Q1306" s="335"/>
      <c r="R1306" s="336"/>
      <c r="U1306" s="337"/>
    </row>
    <row r="1307" spans="1:21" ht="30" customHeight="1" x14ac:dyDescent="0.25">
      <c r="A1307" s="1172" t="s">
        <v>745</v>
      </c>
      <c r="B1307" s="1173"/>
      <c r="C1307" s="1173"/>
      <c r="D1307" s="1174"/>
      <c r="E1307" s="247"/>
      <c r="F1307" s="365"/>
      <c r="G1307" s="366"/>
      <c r="H1307" s="662"/>
      <c r="I1307" s="365"/>
      <c r="J1307" s="365" t="s">
        <v>408</v>
      </c>
      <c r="K1307" s="247">
        <f>SUM(K1299:K1306)</f>
        <v>276841.17499826563</v>
      </c>
      <c r="L1307" s="365" t="s">
        <v>76</v>
      </c>
      <c r="M1307" s="117"/>
      <c r="N1307" s="54"/>
      <c r="O1307" s="336"/>
      <c r="P1307" s="334"/>
      <c r="Q1307" s="335"/>
      <c r="R1307" s="336"/>
      <c r="U1307" s="337"/>
    </row>
    <row r="1308" spans="1:21" ht="30" customHeight="1" thickBot="1" x14ac:dyDescent="0.3">
      <c r="A1308" s="1336"/>
      <c r="B1308" s="1337"/>
      <c r="C1308" s="1337"/>
      <c r="D1308" s="1338"/>
      <c r="E1308" s="366"/>
      <c r="F1308" s="366"/>
      <c r="G1308" s="580" t="s">
        <v>306</v>
      </c>
      <c r="H1308" s="366"/>
      <c r="I1308" s="366"/>
      <c r="J1308" s="521">
        <f>VLOOKUP(B1296,'Mil Cost Premiums for PUCs'!$A$4:$R$277,18,FALSE)</f>
        <v>1.0485669999999998</v>
      </c>
      <c r="K1308" s="246">
        <f>+K1307*J1308</f>
        <v>290286.52034440637</v>
      </c>
      <c r="L1308" s="365" t="s">
        <v>76</v>
      </c>
      <c r="M1308" s="54"/>
      <c r="N1308" s="54"/>
      <c r="O1308" s="336"/>
      <c r="P1308" s="334"/>
      <c r="Q1308" s="335"/>
      <c r="R1308" s="336"/>
      <c r="U1308" s="337"/>
    </row>
    <row r="1309" spans="1:21" ht="30" customHeight="1" thickBot="1" x14ac:dyDescent="0.3">
      <c r="A1309" s="1180"/>
      <c r="B1309" s="1181"/>
      <c r="C1309" s="1181"/>
      <c r="D1309" s="1181"/>
      <c r="E1309" s="1181"/>
      <c r="F1309" s="1181"/>
      <c r="G1309" s="1181"/>
      <c r="H1309" s="1181"/>
      <c r="I1309" s="1181"/>
      <c r="J1309" s="1181"/>
      <c r="K1309" s="1181"/>
      <c r="L1309" s="1182"/>
      <c r="M1309" s="54"/>
      <c r="N1309" s="54"/>
      <c r="O1309" s="336"/>
      <c r="P1309" s="334"/>
      <c r="Q1309" s="335"/>
      <c r="R1309" s="336"/>
      <c r="U1309" s="337"/>
    </row>
    <row r="1310" spans="1:21" ht="60" customHeight="1" x14ac:dyDescent="0.25">
      <c r="A1310" s="327" t="s">
        <v>5</v>
      </c>
      <c r="B1310" s="328">
        <v>1775</v>
      </c>
      <c r="C1310" s="1251" t="s">
        <v>949</v>
      </c>
      <c r="D1310" s="1252"/>
      <c r="E1310" s="331" t="s">
        <v>8</v>
      </c>
      <c r="F1310" s="332" t="s">
        <v>76</v>
      </c>
      <c r="G1310" s="346" t="s">
        <v>950</v>
      </c>
      <c r="H1310" s="711">
        <v>1</v>
      </c>
      <c r="I1310" s="331" t="s">
        <v>10</v>
      </c>
      <c r="J1310" s="1220" t="s">
        <v>764</v>
      </c>
      <c r="K1310" s="1220"/>
      <c r="L1310" s="1221"/>
      <c r="M1310" s="54"/>
      <c r="N1310" s="54"/>
      <c r="O1310" s="336"/>
      <c r="P1310" s="334"/>
      <c r="Q1310" s="335"/>
      <c r="R1310" s="336"/>
      <c r="U1310" s="337"/>
    </row>
    <row r="1311" spans="1:21" ht="30" customHeight="1" x14ac:dyDescent="0.25">
      <c r="A1311" s="356" t="s">
        <v>735</v>
      </c>
      <c r="B1311" s="1222" t="s">
        <v>326</v>
      </c>
      <c r="C1311" s="1235"/>
      <c r="D1311" s="1223"/>
      <c r="E1311" s="577" t="s">
        <v>116</v>
      </c>
      <c r="F1311" s="577" t="s">
        <v>117</v>
      </c>
      <c r="G1311" s="1194" t="s">
        <v>118</v>
      </c>
      <c r="H1311" s="1195"/>
      <c r="I1311" s="356" t="s">
        <v>296</v>
      </c>
      <c r="J1311" s="633" t="s">
        <v>303</v>
      </c>
      <c r="K1311" s="1236" t="s">
        <v>285</v>
      </c>
      <c r="L1311" s="1237"/>
      <c r="M1311" s="54"/>
      <c r="N1311" s="54"/>
      <c r="O1311" s="336"/>
      <c r="P1311" s="334"/>
      <c r="Q1311" s="335"/>
      <c r="R1311" s="336"/>
      <c r="U1311" s="337"/>
    </row>
    <row r="1312" spans="1:21" ht="30" customHeight="1" x14ac:dyDescent="0.25">
      <c r="A1312" s="356"/>
      <c r="B1312" s="1214" t="s">
        <v>951</v>
      </c>
      <c r="C1312" s="1215"/>
      <c r="D1312" s="1216"/>
      <c r="E1312" s="577"/>
      <c r="F1312" s="577"/>
      <c r="G1312" s="750"/>
      <c r="H1312" s="751"/>
      <c r="I1312" s="398"/>
      <c r="J1312" s="398"/>
      <c r="K1312" s="577"/>
      <c r="L1312" s="577"/>
      <c r="M1312" s="54"/>
      <c r="N1312" s="54"/>
      <c r="O1312" s="336"/>
      <c r="P1312" s="334"/>
      <c r="Q1312" s="335"/>
      <c r="R1312" s="336"/>
      <c r="U1312" s="337"/>
    </row>
    <row r="1313" spans="1:21" ht="30" customHeight="1" x14ac:dyDescent="0.25">
      <c r="A1313" s="365" t="s">
        <v>684</v>
      </c>
      <c r="B1313" s="1209" t="s">
        <v>952</v>
      </c>
      <c r="C1313" s="1210"/>
      <c r="D1313" s="1211"/>
      <c r="E1313" s="256">
        <f>+Q924</f>
        <v>9.6300000000000008</v>
      </c>
      <c r="F1313" s="365" t="s">
        <v>205</v>
      </c>
      <c r="G1313" s="753">
        <f>20*62</f>
        <v>1240</v>
      </c>
      <c r="H1313" s="695" t="s">
        <v>859</v>
      </c>
      <c r="I1313" s="706">
        <f>+S924</f>
        <v>1.23</v>
      </c>
      <c r="J1313" s="706">
        <f>+T924</f>
        <v>1</v>
      </c>
      <c r="K1313" s="247">
        <f t="shared" ref="K1313:K1324" si="23">+E1313*G1313*I1313*J1313</f>
        <v>14687.676000000001</v>
      </c>
      <c r="L1313" s="365" t="s">
        <v>76</v>
      </c>
      <c r="M1313" s="54"/>
      <c r="N1313" s="54"/>
      <c r="O1313" s="336"/>
      <c r="P1313" s="334"/>
      <c r="Q1313" s="335"/>
      <c r="R1313" s="336"/>
      <c r="U1313" s="337"/>
    </row>
    <row r="1314" spans="1:21" ht="30" customHeight="1" x14ac:dyDescent="0.25">
      <c r="A1314" s="365" t="s">
        <v>301</v>
      </c>
      <c r="B1314" s="1209" t="s">
        <v>691</v>
      </c>
      <c r="C1314" s="1210"/>
      <c r="D1314" s="1211"/>
      <c r="E1314" s="256">
        <f>+Q928</f>
        <v>504.5</v>
      </c>
      <c r="F1314" s="661" t="s">
        <v>76</v>
      </c>
      <c r="G1314" s="753">
        <v>20</v>
      </c>
      <c r="H1314" s="695" t="s">
        <v>860</v>
      </c>
      <c r="I1314" s="706">
        <f>+S928</f>
        <v>1.1000000000000001</v>
      </c>
      <c r="J1314" s="706">
        <f>+T928</f>
        <v>1</v>
      </c>
      <c r="K1314" s="247">
        <f t="shared" si="23"/>
        <v>11099</v>
      </c>
      <c r="L1314" s="365" t="s">
        <v>76</v>
      </c>
      <c r="M1314" s="54"/>
      <c r="N1314" s="54"/>
      <c r="O1314" s="336"/>
      <c r="P1314" s="334"/>
      <c r="Q1314" s="335"/>
      <c r="R1314" s="336"/>
      <c r="U1314" s="337"/>
    </row>
    <row r="1315" spans="1:21" ht="30" customHeight="1" x14ac:dyDescent="0.25">
      <c r="A1315" s="365" t="s">
        <v>301</v>
      </c>
      <c r="B1315" s="1281" t="s">
        <v>696</v>
      </c>
      <c r="C1315" s="1281"/>
      <c r="D1315" s="1281"/>
      <c r="E1315" s="256">
        <f>+Q930</f>
        <v>362.5</v>
      </c>
      <c r="F1315" s="661" t="s">
        <v>76</v>
      </c>
      <c r="G1315" s="753">
        <v>20</v>
      </c>
      <c r="H1315" s="695" t="s">
        <v>860</v>
      </c>
      <c r="I1315" s="706">
        <f>+S930</f>
        <v>1.1000000000000001</v>
      </c>
      <c r="J1315" s="706">
        <f>+T930</f>
        <v>1</v>
      </c>
      <c r="K1315" s="247">
        <f t="shared" si="23"/>
        <v>7975.0000000000009</v>
      </c>
      <c r="L1315" s="365" t="s">
        <v>76</v>
      </c>
      <c r="M1315" s="54"/>
      <c r="N1315" s="54"/>
      <c r="O1315" s="336"/>
      <c r="P1315" s="334"/>
      <c r="Q1315" s="335"/>
      <c r="R1315" s="336"/>
      <c r="U1315" s="337"/>
    </row>
    <row r="1316" spans="1:21" ht="30" customHeight="1" x14ac:dyDescent="0.25">
      <c r="A1316" s="365" t="s">
        <v>684</v>
      </c>
      <c r="B1316" s="1281" t="s">
        <v>953</v>
      </c>
      <c r="C1316" s="1281"/>
      <c r="D1316" s="1281"/>
      <c r="E1316" s="256">
        <f>+Q925</f>
        <v>11.77</v>
      </c>
      <c r="F1316" s="365" t="s">
        <v>205</v>
      </c>
      <c r="G1316" s="753">
        <f>6*468</f>
        <v>2808</v>
      </c>
      <c r="H1316" s="695" t="s">
        <v>859</v>
      </c>
      <c r="I1316" s="706">
        <f>+S925</f>
        <v>1.23</v>
      </c>
      <c r="J1316" s="706">
        <f>+T925</f>
        <v>1</v>
      </c>
      <c r="K1316" s="247">
        <f t="shared" si="23"/>
        <v>40651.696799999998</v>
      </c>
      <c r="L1316" s="365" t="s">
        <v>76</v>
      </c>
      <c r="M1316" s="54"/>
      <c r="N1316" s="54"/>
      <c r="O1316" s="336"/>
      <c r="P1316" s="334"/>
      <c r="Q1316" s="335"/>
      <c r="R1316" s="336"/>
      <c r="U1316" s="337"/>
    </row>
    <row r="1317" spans="1:21" ht="30" customHeight="1" x14ac:dyDescent="0.25">
      <c r="A1317" s="365" t="s">
        <v>533</v>
      </c>
      <c r="B1317" s="1281" t="s">
        <v>954</v>
      </c>
      <c r="C1317" s="1281"/>
      <c r="D1317" s="1281"/>
      <c r="E1317" s="256">
        <f>+Q926</f>
        <v>20.25</v>
      </c>
      <c r="F1317" s="365" t="s">
        <v>205</v>
      </c>
      <c r="G1317" s="753">
        <f>2152*1</f>
        <v>2152</v>
      </c>
      <c r="H1317" s="695" t="s">
        <v>859</v>
      </c>
      <c r="I1317" s="706">
        <f>+S926</f>
        <v>1.1200000000000001</v>
      </c>
      <c r="J1317" s="706">
        <f>+T926</f>
        <v>1</v>
      </c>
      <c r="K1317" s="247">
        <f t="shared" si="23"/>
        <v>48807.360000000008</v>
      </c>
      <c r="L1317" s="365" t="s">
        <v>76</v>
      </c>
      <c r="M1317" s="54"/>
      <c r="N1317" s="54"/>
      <c r="O1317" s="336"/>
      <c r="P1317" s="334"/>
      <c r="Q1317" s="335"/>
      <c r="R1317" s="336"/>
      <c r="U1317" s="337"/>
    </row>
    <row r="1318" spans="1:21" ht="30" customHeight="1" x14ac:dyDescent="0.25">
      <c r="A1318" s="365" t="s">
        <v>533</v>
      </c>
      <c r="B1318" s="1281" t="s">
        <v>955</v>
      </c>
      <c r="C1318" s="1281"/>
      <c r="D1318" s="1281"/>
      <c r="E1318" s="256">
        <f>+Q926</f>
        <v>20.25</v>
      </c>
      <c r="F1318" s="365" t="s">
        <v>205</v>
      </c>
      <c r="G1318" s="753">
        <f>80.7*6</f>
        <v>484.20000000000005</v>
      </c>
      <c r="H1318" s="695" t="s">
        <v>859</v>
      </c>
      <c r="I1318" s="706">
        <f>+S926</f>
        <v>1.1200000000000001</v>
      </c>
      <c r="J1318" s="706">
        <f>+T926</f>
        <v>1</v>
      </c>
      <c r="K1318" s="247">
        <f t="shared" si="23"/>
        <v>10981.656000000003</v>
      </c>
      <c r="L1318" s="365" t="s">
        <v>76</v>
      </c>
      <c r="M1318" s="54"/>
      <c r="N1318" s="54"/>
      <c r="O1318" s="336"/>
      <c r="P1318" s="334"/>
      <c r="Q1318" s="335"/>
      <c r="R1318" s="336"/>
      <c r="U1318" s="337"/>
    </row>
    <row r="1319" spans="1:21" ht="30" customHeight="1" x14ac:dyDescent="0.25">
      <c r="A1319" s="365" t="s">
        <v>301</v>
      </c>
      <c r="B1319" s="1281" t="s">
        <v>694</v>
      </c>
      <c r="C1319" s="1281"/>
      <c r="D1319" s="1281"/>
      <c r="E1319" s="256">
        <f>+Q929</f>
        <v>920</v>
      </c>
      <c r="F1319" s="661" t="s">
        <v>76</v>
      </c>
      <c r="G1319" s="753">
        <v>13</v>
      </c>
      <c r="H1319" s="695" t="s">
        <v>860</v>
      </c>
      <c r="I1319" s="706">
        <f>+S929</f>
        <v>1.1000000000000001</v>
      </c>
      <c r="J1319" s="706">
        <f>+T929</f>
        <v>1</v>
      </c>
      <c r="K1319" s="247">
        <f t="shared" si="23"/>
        <v>13156.000000000002</v>
      </c>
      <c r="L1319" s="365" t="s">
        <v>76</v>
      </c>
      <c r="M1319" s="54"/>
      <c r="N1319" s="54"/>
      <c r="O1319" s="336"/>
      <c r="P1319" s="334"/>
      <c r="Q1319" s="335"/>
      <c r="R1319" s="336"/>
      <c r="U1319" s="337"/>
    </row>
    <row r="1320" spans="1:21" ht="30" customHeight="1" x14ac:dyDescent="0.25">
      <c r="A1320" s="365" t="s">
        <v>520</v>
      </c>
      <c r="B1320" s="1281" t="s">
        <v>956</v>
      </c>
      <c r="C1320" s="1281"/>
      <c r="D1320" s="1281"/>
      <c r="E1320" s="256">
        <f>+Q935</f>
        <v>21.1</v>
      </c>
      <c r="F1320" s="661" t="s">
        <v>40</v>
      </c>
      <c r="G1320" s="753">
        <f>+((656*1)+(49*6))</f>
        <v>950</v>
      </c>
      <c r="H1320" s="695" t="s">
        <v>863</v>
      </c>
      <c r="I1320" s="706">
        <f>+S935</f>
        <v>1.04</v>
      </c>
      <c r="J1320" s="706">
        <f>+T935</f>
        <v>1</v>
      </c>
      <c r="K1320" s="247">
        <f t="shared" si="23"/>
        <v>20846.8</v>
      </c>
      <c r="L1320" s="365" t="s">
        <v>76</v>
      </c>
      <c r="M1320" s="54"/>
      <c r="N1320" s="54"/>
      <c r="O1320" s="336"/>
      <c r="P1320" s="334"/>
      <c r="Q1320" s="335"/>
      <c r="R1320" s="336"/>
      <c r="U1320" s="337"/>
    </row>
    <row r="1321" spans="1:21" ht="30" customHeight="1" x14ac:dyDescent="0.25">
      <c r="A1321" s="365" t="s">
        <v>520</v>
      </c>
      <c r="B1321" s="1209" t="s">
        <v>877</v>
      </c>
      <c r="C1321" s="1210"/>
      <c r="D1321" s="1211"/>
      <c r="E1321" s="256">
        <f>+Q936</f>
        <v>3227.5</v>
      </c>
      <c r="F1321" s="661" t="s">
        <v>76</v>
      </c>
      <c r="G1321" s="753">
        <v>7</v>
      </c>
      <c r="H1321" s="695" t="s">
        <v>860</v>
      </c>
      <c r="I1321" s="706">
        <f>+S936</f>
        <v>1.04</v>
      </c>
      <c r="J1321" s="706">
        <f>+T936</f>
        <v>1</v>
      </c>
      <c r="K1321" s="247">
        <f t="shared" si="23"/>
        <v>23496.2</v>
      </c>
      <c r="L1321" s="365" t="s">
        <v>76</v>
      </c>
      <c r="M1321" s="54"/>
      <c r="N1321" s="54"/>
      <c r="O1321" s="336"/>
      <c r="P1321" s="334"/>
      <c r="Q1321" s="335"/>
      <c r="R1321" s="336"/>
      <c r="U1321" s="337"/>
    </row>
    <row r="1322" spans="1:21" ht="30" customHeight="1" x14ac:dyDescent="0.25">
      <c r="A1322" s="365" t="s">
        <v>301</v>
      </c>
      <c r="B1322" s="1209" t="s">
        <v>796</v>
      </c>
      <c r="C1322" s="1210"/>
      <c r="D1322" s="1211"/>
      <c r="E1322" s="256">
        <f>+Q931</f>
        <v>1125</v>
      </c>
      <c r="F1322" s="661" t="s">
        <v>76</v>
      </c>
      <c r="G1322" s="753">
        <v>13</v>
      </c>
      <c r="H1322" s="695" t="s">
        <v>860</v>
      </c>
      <c r="I1322" s="706">
        <f t="shared" ref="I1322:J1324" si="24">+S931</f>
        <v>1.1000000000000001</v>
      </c>
      <c r="J1322" s="706">
        <f t="shared" si="24"/>
        <v>1</v>
      </c>
      <c r="K1322" s="247">
        <f t="shared" si="23"/>
        <v>16087.500000000002</v>
      </c>
      <c r="L1322" s="365" t="s">
        <v>76</v>
      </c>
      <c r="M1322" s="54"/>
      <c r="N1322" s="54"/>
      <c r="O1322" s="336"/>
      <c r="P1322" s="334"/>
      <c r="Q1322" s="335"/>
      <c r="R1322" s="336"/>
      <c r="U1322" s="337"/>
    </row>
    <row r="1323" spans="1:21" ht="30" customHeight="1" x14ac:dyDescent="0.25">
      <c r="A1323" s="365" t="s">
        <v>698</v>
      </c>
      <c r="B1323" s="1281" t="s">
        <v>878</v>
      </c>
      <c r="C1323" s="1281"/>
      <c r="D1323" s="1281"/>
      <c r="E1323" s="256">
        <f>+Q932</f>
        <v>145.58000000000001</v>
      </c>
      <c r="F1323" s="661" t="s">
        <v>76</v>
      </c>
      <c r="G1323" s="753">
        <f>(5*6)+(4*27)</f>
        <v>138</v>
      </c>
      <c r="H1323" s="695" t="s">
        <v>860</v>
      </c>
      <c r="I1323" s="706">
        <f t="shared" si="24"/>
        <v>1.1000000000000001</v>
      </c>
      <c r="J1323" s="706">
        <f t="shared" si="24"/>
        <v>1</v>
      </c>
      <c r="K1323" s="247">
        <f t="shared" si="23"/>
        <v>22099.044000000002</v>
      </c>
      <c r="L1323" s="365" t="s">
        <v>76</v>
      </c>
      <c r="M1323" s="54"/>
      <c r="N1323" s="54"/>
      <c r="O1323" s="781"/>
      <c r="P1323" s="334"/>
      <c r="Q1323" s="335"/>
      <c r="R1323" s="336"/>
      <c r="U1323" s="337"/>
    </row>
    <row r="1324" spans="1:21" ht="30" customHeight="1" x14ac:dyDescent="0.25">
      <c r="A1324" s="365" t="s">
        <v>702</v>
      </c>
      <c r="B1324" s="1209" t="s">
        <v>879</v>
      </c>
      <c r="C1324" s="1210"/>
      <c r="D1324" s="1211"/>
      <c r="E1324" s="256">
        <f>+Q933</f>
        <v>19.62</v>
      </c>
      <c r="F1324" s="661" t="s">
        <v>40</v>
      </c>
      <c r="G1324" s="753">
        <f>3280*34</f>
        <v>111520</v>
      </c>
      <c r="H1324" s="695" t="s">
        <v>863</v>
      </c>
      <c r="I1324" s="706">
        <f t="shared" si="24"/>
        <v>1.1000000000000001</v>
      </c>
      <c r="J1324" s="706">
        <f t="shared" si="24"/>
        <v>1</v>
      </c>
      <c r="K1324" s="247">
        <f t="shared" si="23"/>
        <v>2406824.64</v>
      </c>
      <c r="L1324" s="365" t="s">
        <v>76</v>
      </c>
      <c r="M1324" s="54"/>
      <c r="N1324" s="54"/>
      <c r="O1324" s="781"/>
      <c r="P1324" s="334"/>
      <c r="Q1324" s="335"/>
      <c r="R1324" s="336"/>
      <c r="U1324" s="337"/>
    </row>
    <row r="1325" spans="1:21" ht="30" customHeight="1" x14ac:dyDescent="0.25">
      <c r="A1325" s="365">
        <v>93410</v>
      </c>
      <c r="B1325" s="1209" t="s">
        <v>957</v>
      </c>
      <c r="C1325" s="1210"/>
      <c r="D1325" s="1211"/>
      <c r="E1325" s="255">
        <f>+Q943</f>
        <v>1.2</v>
      </c>
      <c r="F1325" s="661" t="s">
        <v>9</v>
      </c>
      <c r="G1325" s="753">
        <v>2392</v>
      </c>
      <c r="H1325" s="695" t="s">
        <v>864</v>
      </c>
      <c r="I1325" s="782">
        <f>+'2022 MILCON Inflation Table'!F21</f>
        <v>0.94047825952836139</v>
      </c>
      <c r="J1325" s="365"/>
      <c r="K1325" s="247">
        <f>+E1325*G1325*I1325</f>
        <v>2699.5487961502085</v>
      </c>
      <c r="L1325" s="365" t="s">
        <v>76</v>
      </c>
      <c r="M1325" s="54"/>
      <c r="N1325" s="54"/>
      <c r="O1325" s="336"/>
      <c r="P1325" s="334"/>
      <c r="Q1325" s="335"/>
      <c r="R1325" s="336"/>
      <c r="U1325" s="337"/>
    </row>
    <row r="1326" spans="1:21" ht="30" customHeight="1" x14ac:dyDescent="0.25">
      <c r="A1326" s="365">
        <v>93210</v>
      </c>
      <c r="B1326" s="1209" t="s">
        <v>958</v>
      </c>
      <c r="C1326" s="1210"/>
      <c r="D1326" s="1211"/>
      <c r="E1326" s="256">
        <f>+Q944</f>
        <v>48.6</v>
      </c>
      <c r="F1326" s="661" t="s">
        <v>25</v>
      </c>
      <c r="G1326" s="753">
        <v>9225</v>
      </c>
      <c r="H1326" s="695" t="s">
        <v>867</v>
      </c>
      <c r="I1326" s="758">
        <f>+I1325</f>
        <v>0.94047825952836139</v>
      </c>
      <c r="J1326" s="365"/>
      <c r="K1326" s="247">
        <f>+E1326*G1326*I1326</f>
        <v>421649.32048564788</v>
      </c>
      <c r="L1326" s="365" t="s">
        <v>76</v>
      </c>
      <c r="M1326" s="54"/>
      <c r="N1326" s="54"/>
      <c r="O1326" s="336"/>
      <c r="P1326" s="334"/>
      <c r="Q1326" s="335"/>
      <c r="R1326" s="336"/>
      <c r="U1326" s="337"/>
    </row>
    <row r="1327" spans="1:21" ht="30" customHeight="1" x14ac:dyDescent="0.25">
      <c r="A1327" s="365" t="s">
        <v>684</v>
      </c>
      <c r="B1327" s="1209" t="s">
        <v>959</v>
      </c>
      <c r="C1327" s="1210"/>
      <c r="D1327" s="1211"/>
      <c r="E1327" s="255">
        <f>+Q924</f>
        <v>9.6300000000000008</v>
      </c>
      <c r="F1327" s="661" t="s">
        <v>205</v>
      </c>
      <c r="G1327" s="753">
        <f>5*144</f>
        <v>720</v>
      </c>
      <c r="H1327" s="695" t="s">
        <v>859</v>
      </c>
      <c r="I1327" s="365">
        <f>+S924</f>
        <v>1.23</v>
      </c>
      <c r="J1327" s="706">
        <f>+T924</f>
        <v>1</v>
      </c>
      <c r="K1327" s="247">
        <f>+E1327*G1327*I1327*J1327</f>
        <v>8528.3279999999995</v>
      </c>
      <c r="L1327" s="365" t="s">
        <v>76</v>
      </c>
      <c r="M1327" s="54"/>
      <c r="N1327" s="54"/>
      <c r="O1327" s="336"/>
      <c r="P1327" s="334"/>
      <c r="Q1327" s="335"/>
      <c r="R1327" s="336"/>
      <c r="U1327" s="337"/>
    </row>
    <row r="1328" spans="1:21" ht="30" customHeight="1" x14ac:dyDescent="0.25">
      <c r="A1328" s="1172" t="s">
        <v>745</v>
      </c>
      <c r="B1328" s="1173"/>
      <c r="C1328" s="1173"/>
      <c r="D1328" s="1174"/>
      <c r="E1328" s="247"/>
      <c r="F1328" s="365"/>
      <c r="G1328" s="366"/>
      <c r="H1328" s="662"/>
      <c r="I1328" s="365"/>
      <c r="J1328" s="365" t="s">
        <v>408</v>
      </c>
      <c r="K1328" s="247">
        <f>SUM(K1313:K1327)</f>
        <v>3069589.7700817985</v>
      </c>
      <c r="L1328" s="365" t="s">
        <v>76</v>
      </c>
      <c r="M1328" s="54"/>
      <c r="N1328" s="54"/>
      <c r="O1328" s="336"/>
      <c r="P1328" s="334"/>
      <c r="Q1328" s="335"/>
      <c r="R1328" s="336"/>
      <c r="U1328" s="337"/>
    </row>
    <row r="1329" spans="1:21" ht="30" customHeight="1" thickBot="1" x14ac:dyDescent="0.3">
      <c r="A1329" s="1336"/>
      <c r="B1329" s="1337"/>
      <c r="C1329" s="1337"/>
      <c r="D1329" s="1338"/>
      <c r="E1329" s="366"/>
      <c r="F1329" s="366"/>
      <c r="G1329" s="580" t="s">
        <v>306</v>
      </c>
      <c r="H1329" s="366"/>
      <c r="I1329" s="366"/>
      <c r="J1329" s="521">
        <f>VLOOKUP(B1310,'Mil Cost Premiums for PUCs'!$A$4:$R$277,18,FALSE)</f>
        <v>1.0485669999999998</v>
      </c>
      <c r="K1329" s="246">
        <f>+K1328*J1329</f>
        <v>3218670.5364453606</v>
      </c>
      <c r="L1329" s="365" t="s">
        <v>76</v>
      </c>
      <c r="M1329" s="54"/>
      <c r="N1329" s="54"/>
      <c r="O1329" s="336"/>
      <c r="P1329" s="334"/>
      <c r="Q1329" s="335"/>
      <c r="R1329" s="336"/>
      <c r="U1329" s="337"/>
    </row>
    <row r="1330" spans="1:21" ht="30" customHeight="1" thickBot="1" x14ac:dyDescent="0.3">
      <c r="A1330" s="1180"/>
      <c r="B1330" s="1181"/>
      <c r="C1330" s="1181"/>
      <c r="D1330" s="1181"/>
      <c r="E1330" s="1181"/>
      <c r="F1330" s="1181"/>
      <c r="G1330" s="1181"/>
      <c r="H1330" s="1181"/>
      <c r="I1330" s="1181"/>
      <c r="J1330" s="1181"/>
      <c r="K1330" s="1181"/>
      <c r="L1330" s="1182"/>
      <c r="M1330" s="54"/>
      <c r="N1330" s="54"/>
      <c r="O1330" s="336"/>
      <c r="P1330" s="334"/>
      <c r="Q1330" s="335"/>
      <c r="R1330" s="336"/>
      <c r="U1330" s="337"/>
    </row>
    <row r="1331" spans="1:21" ht="60" customHeight="1" x14ac:dyDescent="0.25">
      <c r="A1331" s="327" t="s">
        <v>5</v>
      </c>
      <c r="B1331" s="328">
        <v>1776</v>
      </c>
      <c r="C1331" s="1364" t="s">
        <v>960</v>
      </c>
      <c r="D1331" s="1365"/>
      <c r="E1331" s="331" t="s">
        <v>8</v>
      </c>
      <c r="F1331" s="341" t="s">
        <v>76</v>
      </c>
      <c r="G1331" s="346" t="s">
        <v>961</v>
      </c>
      <c r="H1331" s="711">
        <v>1</v>
      </c>
      <c r="I1331" s="331" t="s">
        <v>10</v>
      </c>
      <c r="J1331" s="1220" t="s">
        <v>764</v>
      </c>
      <c r="K1331" s="1220"/>
      <c r="L1331" s="1221"/>
      <c r="M1331" s="54"/>
      <c r="N1331" s="54"/>
      <c r="O1331" s="336"/>
      <c r="P1331" s="334"/>
      <c r="Q1331" s="335"/>
      <c r="R1331" s="336"/>
      <c r="U1331" s="337"/>
    </row>
    <row r="1332" spans="1:21" ht="30" customHeight="1" x14ac:dyDescent="0.25">
      <c r="A1332" s="356" t="s">
        <v>735</v>
      </c>
      <c r="B1332" s="1222" t="s">
        <v>326</v>
      </c>
      <c r="C1332" s="1235"/>
      <c r="D1332" s="1223"/>
      <c r="E1332" s="577" t="s">
        <v>116</v>
      </c>
      <c r="F1332" s="577" t="s">
        <v>117</v>
      </c>
      <c r="G1332" s="1194" t="s">
        <v>118</v>
      </c>
      <c r="H1332" s="1195"/>
      <c r="I1332" s="356" t="s">
        <v>296</v>
      </c>
      <c r="J1332" s="356" t="s">
        <v>303</v>
      </c>
      <c r="K1332" s="1236" t="s">
        <v>285</v>
      </c>
      <c r="L1332" s="1237"/>
      <c r="M1332" s="54"/>
      <c r="N1332" s="54"/>
      <c r="O1332" s="336"/>
      <c r="P1332" s="334"/>
      <c r="Q1332" s="335"/>
      <c r="R1332" s="336"/>
      <c r="U1332" s="337"/>
    </row>
    <row r="1333" spans="1:21" ht="30" customHeight="1" x14ac:dyDescent="0.25">
      <c r="A1333" s="365" t="s">
        <v>684</v>
      </c>
      <c r="B1333" s="1209" t="s">
        <v>962</v>
      </c>
      <c r="C1333" s="1210"/>
      <c r="D1333" s="1211"/>
      <c r="E1333" s="256">
        <f>+Q924</f>
        <v>9.6300000000000008</v>
      </c>
      <c r="F1333" s="365" t="s">
        <v>205</v>
      </c>
      <c r="G1333" s="753">
        <f>26*62</f>
        <v>1612</v>
      </c>
      <c r="H1333" s="695" t="s">
        <v>859</v>
      </c>
      <c r="I1333" s="706">
        <f>+S924</f>
        <v>1.23</v>
      </c>
      <c r="J1333" s="706">
        <f>+T924</f>
        <v>1</v>
      </c>
      <c r="K1333" s="247">
        <f>+E1333*G1333*I1333*J1333</f>
        <v>19093.978800000001</v>
      </c>
      <c r="L1333" s="365" t="s">
        <v>76</v>
      </c>
      <c r="M1333" s="54"/>
      <c r="N1333" s="54"/>
      <c r="O1333" s="336"/>
      <c r="P1333" s="334"/>
      <c r="Q1333" s="335"/>
      <c r="R1333" s="336"/>
      <c r="U1333" s="337"/>
    </row>
    <row r="1334" spans="1:21" ht="30" customHeight="1" x14ac:dyDescent="0.25">
      <c r="A1334" s="365" t="s">
        <v>301</v>
      </c>
      <c r="B1334" s="1209" t="s">
        <v>691</v>
      </c>
      <c r="C1334" s="1210"/>
      <c r="D1334" s="1211"/>
      <c r="E1334" s="256">
        <f>+Q928</f>
        <v>504.5</v>
      </c>
      <c r="F1334" s="661" t="s">
        <v>76</v>
      </c>
      <c r="G1334" s="753">
        <v>26</v>
      </c>
      <c r="H1334" s="695" t="s">
        <v>860</v>
      </c>
      <c r="I1334" s="706">
        <f>+S928</f>
        <v>1.1000000000000001</v>
      </c>
      <c r="J1334" s="706">
        <f>+T928</f>
        <v>1</v>
      </c>
      <c r="K1334" s="247">
        <f>+E1334*G1334*I1334*J1334</f>
        <v>14428.7</v>
      </c>
      <c r="L1334" s="365" t="s">
        <v>76</v>
      </c>
      <c r="M1334" s="54"/>
      <c r="N1334" s="54"/>
      <c r="O1334" s="336"/>
      <c r="P1334" s="334"/>
      <c r="Q1334" s="335"/>
      <c r="R1334" s="336"/>
      <c r="U1334" s="337"/>
    </row>
    <row r="1335" spans="1:21" ht="30" customHeight="1" x14ac:dyDescent="0.25">
      <c r="A1335" s="365" t="s">
        <v>301</v>
      </c>
      <c r="B1335" s="1209" t="s">
        <v>696</v>
      </c>
      <c r="C1335" s="1210"/>
      <c r="D1335" s="1211"/>
      <c r="E1335" s="256">
        <f>+Q930</f>
        <v>362.5</v>
      </c>
      <c r="F1335" s="661" t="s">
        <v>76</v>
      </c>
      <c r="G1335" s="753">
        <v>26</v>
      </c>
      <c r="H1335" s="695" t="s">
        <v>860</v>
      </c>
      <c r="I1335" s="706">
        <f>+S930</f>
        <v>1.1000000000000001</v>
      </c>
      <c r="J1335" s="706">
        <f>+T930</f>
        <v>1</v>
      </c>
      <c r="K1335" s="247">
        <f>+E1335*G1335*I1335*J1335</f>
        <v>10367.5</v>
      </c>
      <c r="L1335" s="365" t="s">
        <v>76</v>
      </c>
      <c r="M1335" s="54"/>
      <c r="N1335" s="54"/>
      <c r="O1335" s="336"/>
      <c r="P1335" s="334"/>
      <c r="Q1335" s="335"/>
      <c r="R1335" s="336"/>
      <c r="U1335" s="337"/>
    </row>
    <row r="1336" spans="1:21" ht="30" customHeight="1" x14ac:dyDescent="0.25">
      <c r="A1336" s="365" t="s">
        <v>698</v>
      </c>
      <c r="B1336" s="1281" t="s">
        <v>878</v>
      </c>
      <c r="C1336" s="1281"/>
      <c r="D1336" s="1281"/>
      <c r="E1336" s="256">
        <f>+Q932</f>
        <v>145.58000000000001</v>
      </c>
      <c r="F1336" s="661" t="s">
        <v>76</v>
      </c>
      <c r="G1336" s="753">
        <v>104</v>
      </c>
      <c r="H1336" s="695" t="s">
        <v>860</v>
      </c>
      <c r="I1336" s="706">
        <f>+S932</f>
        <v>1.1000000000000001</v>
      </c>
      <c r="J1336" s="706">
        <f>+T932</f>
        <v>1</v>
      </c>
      <c r="K1336" s="247">
        <f>+E1336*G1336*I1336*J1336</f>
        <v>16654.352000000003</v>
      </c>
      <c r="L1336" s="365" t="s">
        <v>76</v>
      </c>
      <c r="M1336" s="54"/>
      <c r="N1336" s="54"/>
      <c r="O1336" s="336"/>
      <c r="P1336" s="334"/>
      <c r="Q1336" s="335"/>
      <c r="R1336" s="336"/>
      <c r="U1336" s="337"/>
    </row>
    <row r="1337" spans="1:21" ht="30" customHeight="1" x14ac:dyDescent="0.25">
      <c r="A1337" s="365" t="s">
        <v>702</v>
      </c>
      <c r="B1337" s="1209" t="s">
        <v>963</v>
      </c>
      <c r="C1337" s="1210"/>
      <c r="D1337" s="1211"/>
      <c r="E1337" s="256">
        <f>+Q933</f>
        <v>19.62</v>
      </c>
      <c r="F1337" s="661" t="s">
        <v>40</v>
      </c>
      <c r="G1337" s="753">
        <v>8105</v>
      </c>
      <c r="H1337" s="695" t="s">
        <v>863</v>
      </c>
      <c r="I1337" s="706">
        <f>+S933</f>
        <v>1.1000000000000001</v>
      </c>
      <c r="J1337" s="706">
        <f>+T933</f>
        <v>1</v>
      </c>
      <c r="K1337" s="247">
        <f>+E1337*G1337*I1337*J1337</f>
        <v>174922.11000000002</v>
      </c>
      <c r="L1337" s="365" t="s">
        <v>76</v>
      </c>
      <c r="M1337" s="54"/>
      <c r="N1337" s="54"/>
      <c r="O1337" s="336"/>
      <c r="P1337" s="334"/>
      <c r="Q1337" s="335"/>
      <c r="R1337" s="336"/>
      <c r="U1337" s="337"/>
    </row>
    <row r="1338" spans="1:21" ht="30" customHeight="1" x14ac:dyDescent="0.25">
      <c r="A1338" s="365">
        <v>85110</v>
      </c>
      <c r="B1338" s="1209" t="s">
        <v>964</v>
      </c>
      <c r="C1338" s="1210"/>
      <c r="D1338" s="1211"/>
      <c r="E1338" s="256">
        <f>+Q941</f>
        <v>62</v>
      </c>
      <c r="F1338" s="365" t="s">
        <v>9</v>
      </c>
      <c r="G1338" s="753">
        <v>897</v>
      </c>
      <c r="H1338" s="695" t="s">
        <v>864</v>
      </c>
      <c r="I1338" s="758">
        <f>+'2022 MILCON Inflation Table'!F21</f>
        <v>0.94047825952836139</v>
      </c>
      <c r="J1338" s="365"/>
      <c r="K1338" s="247">
        <f>+E1338*G1338*I1338</f>
        <v>52303.757925410289</v>
      </c>
      <c r="L1338" s="365" t="s">
        <v>76</v>
      </c>
      <c r="M1338" s="54"/>
      <c r="N1338" s="54"/>
      <c r="O1338" s="336"/>
      <c r="P1338" s="334"/>
      <c r="Q1338" s="335"/>
      <c r="R1338" s="336"/>
      <c r="U1338" s="337"/>
    </row>
    <row r="1339" spans="1:21" ht="30" customHeight="1" x14ac:dyDescent="0.25">
      <c r="A1339" s="365">
        <v>85110</v>
      </c>
      <c r="B1339" s="1209" t="s">
        <v>965</v>
      </c>
      <c r="C1339" s="1210"/>
      <c r="D1339" s="1211"/>
      <c r="E1339" s="256">
        <f>+Q940</f>
        <v>19.600000000000001</v>
      </c>
      <c r="F1339" s="661" t="s">
        <v>9</v>
      </c>
      <c r="G1339" s="753">
        <v>1435</v>
      </c>
      <c r="H1339" s="695" t="s">
        <v>864</v>
      </c>
      <c r="I1339" s="758">
        <f>+I1338</f>
        <v>0.94047825952836139</v>
      </c>
      <c r="J1339" s="365"/>
      <c r="K1339" s="247">
        <f>+E1339*G1339*I1339</f>
        <v>26451.891527494696</v>
      </c>
      <c r="L1339" s="365" t="s">
        <v>76</v>
      </c>
      <c r="M1339" s="54"/>
      <c r="N1339" s="54"/>
      <c r="O1339" s="336"/>
      <c r="P1339" s="334"/>
      <c r="Q1339" s="335"/>
      <c r="R1339" s="336"/>
      <c r="U1339" s="337"/>
    </row>
    <row r="1340" spans="1:21" ht="30" customHeight="1" x14ac:dyDescent="0.25">
      <c r="A1340" s="365" t="s">
        <v>327</v>
      </c>
      <c r="B1340" s="1209" t="s">
        <v>966</v>
      </c>
      <c r="C1340" s="1210"/>
      <c r="D1340" s="1211"/>
      <c r="E1340" s="256">
        <f>+Q921</f>
        <v>48.5</v>
      </c>
      <c r="F1340" s="661" t="s">
        <v>205</v>
      </c>
      <c r="G1340" s="753">
        <f>12*600</f>
        <v>7200</v>
      </c>
      <c r="H1340" s="695" t="s">
        <v>859</v>
      </c>
      <c r="I1340" s="706">
        <f>+S921</f>
        <v>1.22</v>
      </c>
      <c r="J1340" s="706">
        <f>+T921</f>
        <v>1</v>
      </c>
      <c r="K1340" s="247">
        <f>+E1340*G1340*I1340*J1340</f>
        <v>426024</v>
      </c>
      <c r="L1340" s="365" t="s">
        <v>76</v>
      </c>
      <c r="M1340" s="54"/>
      <c r="N1340" s="54"/>
      <c r="O1340" s="336"/>
      <c r="P1340" s="334"/>
      <c r="Q1340" s="335"/>
      <c r="R1340" s="336"/>
      <c r="U1340" s="337"/>
    </row>
    <row r="1341" spans="1:21" ht="30" customHeight="1" x14ac:dyDescent="0.25">
      <c r="A1341" s="365">
        <v>93410</v>
      </c>
      <c r="B1341" s="1209" t="s">
        <v>967</v>
      </c>
      <c r="C1341" s="1210"/>
      <c r="D1341" s="1211"/>
      <c r="E1341" s="256">
        <f>+Q942</f>
        <v>8.6999999999999993</v>
      </c>
      <c r="F1341" s="661" t="s">
        <v>25</v>
      </c>
      <c r="G1341" s="753">
        <v>3923</v>
      </c>
      <c r="H1341" s="695" t="s">
        <v>867</v>
      </c>
      <c r="I1341" s="758">
        <f>+I1339</f>
        <v>0.94047825952836139</v>
      </c>
      <c r="J1341" s="365"/>
      <c r="K1341" s="247">
        <f>+E1341*G1341*I1341</f>
        <v>32098.617045528925</v>
      </c>
      <c r="L1341" s="365" t="s">
        <v>76</v>
      </c>
      <c r="M1341" s="54"/>
      <c r="N1341" s="54"/>
      <c r="O1341" s="336"/>
      <c r="P1341" s="334"/>
      <c r="Q1341" s="335"/>
      <c r="R1341" s="336"/>
      <c r="U1341" s="337"/>
    </row>
    <row r="1342" spans="1:21" ht="30" customHeight="1" x14ac:dyDescent="0.25">
      <c r="A1342" s="365" t="s">
        <v>684</v>
      </c>
      <c r="B1342" s="1209" t="s">
        <v>968</v>
      </c>
      <c r="C1342" s="1210"/>
      <c r="D1342" s="1211"/>
      <c r="E1342" s="255">
        <f>+Q924</f>
        <v>9.6300000000000008</v>
      </c>
      <c r="F1342" s="661" t="s">
        <v>205</v>
      </c>
      <c r="G1342" s="753">
        <f>4*144</f>
        <v>576</v>
      </c>
      <c r="H1342" s="695" t="s">
        <v>859</v>
      </c>
      <c r="I1342" s="365">
        <f>+S924</f>
        <v>1.23</v>
      </c>
      <c r="J1342" s="706">
        <f>+T924</f>
        <v>1</v>
      </c>
      <c r="K1342" s="247">
        <f>+E1342*G1342*I1342*J1342</f>
        <v>6822.6624000000002</v>
      </c>
      <c r="L1342" s="365" t="s">
        <v>76</v>
      </c>
      <c r="M1342" s="54"/>
      <c r="N1342" s="54"/>
      <c r="O1342" s="336"/>
      <c r="P1342" s="334"/>
      <c r="Q1342" s="335"/>
      <c r="R1342" s="336"/>
      <c r="U1342" s="337"/>
    </row>
    <row r="1343" spans="1:21" ht="30" customHeight="1" x14ac:dyDescent="0.25">
      <c r="A1343" s="365">
        <v>93210</v>
      </c>
      <c r="B1343" s="1209" t="s">
        <v>969</v>
      </c>
      <c r="C1343" s="1210"/>
      <c r="D1343" s="1211"/>
      <c r="E1343" s="256">
        <f>+Q944</f>
        <v>48.6</v>
      </c>
      <c r="F1343" s="661" t="s">
        <v>25</v>
      </c>
      <c r="G1343" s="753">
        <v>4622</v>
      </c>
      <c r="H1343" s="695" t="s">
        <v>867</v>
      </c>
      <c r="I1343" s="758">
        <f>+I1341</f>
        <v>0.94047825952836139</v>
      </c>
      <c r="J1343" s="365"/>
      <c r="K1343" s="247">
        <f>+E1343*G1343*I1343</f>
        <v>211258.8790552482</v>
      </c>
      <c r="L1343" s="365" t="s">
        <v>76</v>
      </c>
      <c r="M1343" s="54"/>
      <c r="N1343" s="54"/>
      <c r="O1343" s="336"/>
      <c r="P1343" s="334"/>
      <c r="Q1343" s="335"/>
      <c r="R1343" s="336"/>
      <c r="U1343" s="337"/>
    </row>
    <row r="1344" spans="1:21" ht="30" customHeight="1" x14ac:dyDescent="0.25">
      <c r="A1344" s="365" t="s">
        <v>680</v>
      </c>
      <c r="B1344" s="1209" t="s">
        <v>970</v>
      </c>
      <c r="C1344" s="1210"/>
      <c r="D1344" s="1211"/>
      <c r="E1344" s="255">
        <f>+Q922</f>
        <v>21.15</v>
      </c>
      <c r="F1344" s="661" t="s">
        <v>205</v>
      </c>
      <c r="G1344" s="753">
        <v>1200</v>
      </c>
      <c r="H1344" s="695" t="s">
        <v>859</v>
      </c>
      <c r="I1344" s="706">
        <f>+S922</f>
        <v>1.1599999999999999</v>
      </c>
      <c r="J1344" s="706">
        <f>+T922</f>
        <v>0.97169811320754718</v>
      </c>
      <c r="K1344" s="247">
        <f>+E1344*G1344*I1344*J1344</f>
        <v>28607.569811320755</v>
      </c>
      <c r="L1344" s="365" t="s">
        <v>76</v>
      </c>
      <c r="M1344" s="54"/>
      <c r="N1344" s="54"/>
      <c r="O1344" s="336"/>
      <c r="P1344" s="334"/>
      <c r="Q1344" s="335"/>
      <c r="R1344" s="336"/>
      <c r="U1344" s="337"/>
    </row>
    <row r="1345" spans="1:21" ht="30" customHeight="1" x14ac:dyDescent="0.25">
      <c r="A1345" s="1172" t="s">
        <v>745</v>
      </c>
      <c r="B1345" s="1173"/>
      <c r="C1345" s="1173"/>
      <c r="D1345" s="1174"/>
      <c r="E1345" s="247"/>
      <c r="F1345" s="365"/>
      <c r="G1345" s="366"/>
      <c r="H1345" s="662"/>
      <c r="I1345" s="365"/>
      <c r="J1345" s="365" t="s">
        <v>408</v>
      </c>
      <c r="K1345" s="247">
        <f>SUM(K1333:K1344)</f>
        <v>1019034.0185650031</v>
      </c>
      <c r="L1345" s="365" t="s">
        <v>76</v>
      </c>
      <c r="M1345" s="54"/>
      <c r="N1345" s="54"/>
      <c r="O1345" s="336"/>
      <c r="P1345" s="334"/>
      <c r="Q1345" s="335"/>
      <c r="R1345" s="336"/>
      <c r="U1345" s="337"/>
    </row>
    <row r="1346" spans="1:21" ht="30" customHeight="1" thickBot="1" x14ac:dyDescent="0.3">
      <c r="A1346" s="1336"/>
      <c r="B1346" s="1337"/>
      <c r="C1346" s="1337"/>
      <c r="D1346" s="1338"/>
      <c r="E1346" s="366"/>
      <c r="F1346" s="366"/>
      <c r="G1346" s="580" t="s">
        <v>306</v>
      </c>
      <c r="H1346" s="366"/>
      <c r="I1346" s="366"/>
      <c r="J1346" s="521">
        <f>VLOOKUP(B1331,'Mil Cost Premiums for PUCs'!$A$4:$R$277,18,FALSE)</f>
        <v>1.0821211439999998</v>
      </c>
      <c r="K1346" s="246">
        <f>+K1345*J1346</f>
        <v>1102718.2579444782</v>
      </c>
      <c r="L1346" s="365" t="s">
        <v>76</v>
      </c>
      <c r="M1346" s="54"/>
      <c r="N1346" s="54"/>
      <c r="O1346" s="336"/>
      <c r="P1346" s="334"/>
      <c r="Q1346" s="335"/>
      <c r="R1346" s="336"/>
      <c r="U1346" s="337"/>
    </row>
    <row r="1347" spans="1:21" ht="30" customHeight="1" thickBot="1" x14ac:dyDescent="0.3">
      <c r="A1347" s="1180"/>
      <c r="B1347" s="1181"/>
      <c r="C1347" s="1181"/>
      <c r="D1347" s="1181"/>
      <c r="E1347" s="1181"/>
      <c r="F1347" s="1181"/>
      <c r="G1347" s="1181"/>
      <c r="H1347" s="1181"/>
      <c r="I1347" s="1181"/>
      <c r="J1347" s="1181"/>
      <c r="K1347" s="1181"/>
      <c r="L1347" s="1182"/>
      <c r="M1347" s="54"/>
      <c r="N1347" s="54"/>
      <c r="O1347" s="336"/>
      <c r="P1347" s="334"/>
      <c r="Q1347" s="335"/>
      <c r="R1347" s="336"/>
      <c r="U1347" s="337"/>
    </row>
    <row r="1348" spans="1:21" ht="60" customHeight="1" x14ac:dyDescent="0.25">
      <c r="A1348" s="327" t="s">
        <v>5</v>
      </c>
      <c r="B1348" s="328">
        <v>1777</v>
      </c>
      <c r="C1348" s="1251" t="s">
        <v>971</v>
      </c>
      <c r="D1348" s="1252"/>
      <c r="E1348" s="331" t="s">
        <v>8</v>
      </c>
      <c r="F1348" s="341" t="s">
        <v>732</v>
      </c>
      <c r="G1348" s="346" t="s">
        <v>972</v>
      </c>
      <c r="H1348" s="711">
        <v>1</v>
      </c>
      <c r="I1348" s="331" t="s">
        <v>10</v>
      </c>
      <c r="J1348" s="1220" t="s">
        <v>807</v>
      </c>
      <c r="K1348" s="1220"/>
      <c r="L1348" s="1221"/>
      <c r="M1348" s="54"/>
      <c r="N1348" s="54"/>
      <c r="O1348" s="336"/>
      <c r="P1348" s="334"/>
      <c r="Q1348" s="335"/>
      <c r="R1348" s="336"/>
      <c r="U1348" s="337"/>
    </row>
    <row r="1349" spans="1:21" ht="30" customHeight="1" x14ac:dyDescent="0.25">
      <c r="A1349" s="356" t="s">
        <v>735</v>
      </c>
      <c r="B1349" s="1222" t="s">
        <v>326</v>
      </c>
      <c r="C1349" s="1235"/>
      <c r="D1349" s="1223"/>
      <c r="E1349" s="577" t="s">
        <v>116</v>
      </c>
      <c r="F1349" s="577" t="s">
        <v>117</v>
      </c>
      <c r="G1349" s="1194" t="s">
        <v>118</v>
      </c>
      <c r="H1349" s="1195"/>
      <c r="I1349" s="356" t="s">
        <v>296</v>
      </c>
      <c r="J1349" s="633" t="s">
        <v>303</v>
      </c>
      <c r="K1349" s="1236" t="s">
        <v>285</v>
      </c>
      <c r="L1349" s="1237"/>
      <c r="M1349" s="54"/>
      <c r="N1349" s="54"/>
      <c r="O1349" s="336"/>
      <c r="P1349" s="334"/>
      <c r="Q1349" s="335"/>
      <c r="R1349" s="336"/>
      <c r="U1349" s="337"/>
    </row>
    <row r="1350" spans="1:21" ht="30" customHeight="1" x14ac:dyDescent="0.25">
      <c r="A1350" s="356"/>
      <c r="B1350" s="1214" t="s">
        <v>973</v>
      </c>
      <c r="C1350" s="1215"/>
      <c r="D1350" s="1216"/>
      <c r="E1350" s="577"/>
      <c r="F1350" s="577"/>
      <c r="G1350" s="750"/>
      <c r="H1350" s="751"/>
      <c r="I1350" s="398"/>
      <c r="J1350" s="398"/>
      <c r="K1350" s="577"/>
      <c r="L1350" s="577"/>
      <c r="M1350" s="54"/>
      <c r="N1350" s="54"/>
      <c r="O1350" s="336"/>
      <c r="P1350" s="334"/>
      <c r="Q1350" s="335"/>
      <c r="R1350" s="336"/>
      <c r="U1350" s="337"/>
    </row>
    <row r="1351" spans="1:21" ht="30" customHeight="1" x14ac:dyDescent="0.25">
      <c r="A1351" s="365" t="s">
        <v>684</v>
      </c>
      <c r="B1351" s="1209" t="s">
        <v>974</v>
      </c>
      <c r="C1351" s="1210"/>
      <c r="D1351" s="1211"/>
      <c r="E1351" s="256">
        <f>+Q924</f>
        <v>9.6300000000000008</v>
      </c>
      <c r="F1351" s="365" t="s">
        <v>205</v>
      </c>
      <c r="G1351" s="753">
        <f>9*62</f>
        <v>558</v>
      </c>
      <c r="H1351" s="695" t="s">
        <v>737</v>
      </c>
      <c r="I1351" s="706">
        <f>+S924</f>
        <v>1.23</v>
      </c>
      <c r="J1351" s="706">
        <f>+T924</f>
        <v>1</v>
      </c>
      <c r="K1351" s="247">
        <f t="shared" ref="K1351:K1362" si="25">+E1351*G1351*I1351*J1351</f>
        <v>6609.454200000001</v>
      </c>
      <c r="L1351" s="365" t="s">
        <v>732</v>
      </c>
      <c r="M1351" s="54"/>
      <c r="N1351" s="54"/>
      <c r="O1351" s="336"/>
      <c r="P1351" s="334"/>
      <c r="Q1351" s="335"/>
      <c r="R1351" s="336"/>
      <c r="U1351" s="337"/>
    </row>
    <row r="1352" spans="1:21" ht="30" customHeight="1" x14ac:dyDescent="0.25">
      <c r="A1352" s="365" t="s">
        <v>301</v>
      </c>
      <c r="B1352" s="1209" t="s">
        <v>691</v>
      </c>
      <c r="C1352" s="1210"/>
      <c r="D1352" s="1211"/>
      <c r="E1352" s="256">
        <f>+Q928</f>
        <v>504.5</v>
      </c>
      <c r="F1352" s="661" t="s">
        <v>76</v>
      </c>
      <c r="G1352" s="753">
        <v>9</v>
      </c>
      <c r="H1352" s="695" t="s">
        <v>738</v>
      </c>
      <c r="I1352" s="706">
        <f>+S928</f>
        <v>1.1000000000000001</v>
      </c>
      <c r="J1352" s="706">
        <f>+T928</f>
        <v>1</v>
      </c>
      <c r="K1352" s="247">
        <f t="shared" si="25"/>
        <v>4994.55</v>
      </c>
      <c r="L1352" s="365" t="s">
        <v>732</v>
      </c>
      <c r="M1352" s="54"/>
      <c r="N1352" s="54"/>
      <c r="O1352" s="336"/>
      <c r="P1352" s="334"/>
      <c r="Q1352" s="335"/>
      <c r="R1352" s="336"/>
      <c r="U1352" s="337"/>
    </row>
    <row r="1353" spans="1:21" ht="30" customHeight="1" x14ac:dyDescent="0.25">
      <c r="A1353" s="365" t="s">
        <v>301</v>
      </c>
      <c r="B1353" s="1281" t="s">
        <v>696</v>
      </c>
      <c r="C1353" s="1281"/>
      <c r="D1353" s="1281"/>
      <c r="E1353" s="256">
        <f>+Q930</f>
        <v>362.5</v>
      </c>
      <c r="F1353" s="661" t="s">
        <v>76</v>
      </c>
      <c r="G1353" s="753">
        <v>9</v>
      </c>
      <c r="H1353" s="695" t="s">
        <v>738</v>
      </c>
      <c r="I1353" s="706">
        <f>+S930</f>
        <v>1.1000000000000001</v>
      </c>
      <c r="J1353" s="706">
        <f>+T930</f>
        <v>1</v>
      </c>
      <c r="K1353" s="247">
        <f t="shared" si="25"/>
        <v>3588.7500000000005</v>
      </c>
      <c r="L1353" s="365" t="s">
        <v>732</v>
      </c>
      <c r="M1353" s="54"/>
      <c r="N1353" s="54"/>
      <c r="O1353" s="336"/>
      <c r="P1353" s="334"/>
      <c r="Q1353" s="335"/>
      <c r="R1353" s="336"/>
      <c r="U1353" s="337"/>
    </row>
    <row r="1354" spans="1:21" ht="30" customHeight="1" x14ac:dyDescent="0.25">
      <c r="A1354" s="365" t="s">
        <v>684</v>
      </c>
      <c r="B1354" s="1281" t="s">
        <v>794</v>
      </c>
      <c r="C1354" s="1281"/>
      <c r="D1354" s="1281"/>
      <c r="E1354" s="256">
        <f>+Q925</f>
        <v>11.77</v>
      </c>
      <c r="F1354" s="365" t="s">
        <v>205</v>
      </c>
      <c r="G1354" s="753">
        <f>2*468</f>
        <v>936</v>
      </c>
      <c r="H1354" s="695" t="s">
        <v>737</v>
      </c>
      <c r="I1354" s="706">
        <f>+S925</f>
        <v>1.23</v>
      </c>
      <c r="J1354" s="706">
        <f>+T925</f>
        <v>1</v>
      </c>
      <c r="K1354" s="247">
        <f t="shared" si="25"/>
        <v>13550.5656</v>
      </c>
      <c r="L1354" s="365" t="s">
        <v>732</v>
      </c>
      <c r="M1354" s="54"/>
      <c r="N1354" s="54"/>
      <c r="O1354" s="336"/>
      <c r="P1354" s="334"/>
      <c r="Q1354" s="335"/>
      <c r="R1354" s="336"/>
      <c r="U1354" s="337"/>
    </row>
    <row r="1355" spans="1:21" ht="30" customHeight="1" x14ac:dyDescent="0.25">
      <c r="A1355" s="365" t="s">
        <v>533</v>
      </c>
      <c r="B1355" s="1281" t="s">
        <v>975</v>
      </c>
      <c r="C1355" s="1281"/>
      <c r="D1355" s="1281"/>
      <c r="E1355" s="256">
        <f>+Q926</f>
        <v>20.25</v>
      </c>
      <c r="F1355" s="365" t="s">
        <v>205</v>
      </c>
      <c r="G1355" s="753">
        <f>2152*2</f>
        <v>4304</v>
      </c>
      <c r="H1355" s="695" t="s">
        <v>737</v>
      </c>
      <c r="I1355" s="706">
        <f>+S926</f>
        <v>1.1200000000000001</v>
      </c>
      <c r="J1355" s="706">
        <f>+T926</f>
        <v>1</v>
      </c>
      <c r="K1355" s="247">
        <f t="shared" si="25"/>
        <v>97614.720000000016</v>
      </c>
      <c r="L1355" s="365" t="s">
        <v>732</v>
      </c>
      <c r="M1355" s="54"/>
      <c r="N1355" s="54"/>
      <c r="O1355" s="575"/>
      <c r="P1355" s="334"/>
      <c r="Q1355" s="335"/>
      <c r="R1355" s="336"/>
      <c r="U1355" s="337"/>
    </row>
    <row r="1356" spans="1:21" ht="30" customHeight="1" x14ac:dyDescent="0.25">
      <c r="A1356" s="365" t="s">
        <v>533</v>
      </c>
      <c r="B1356" s="1281" t="s">
        <v>893</v>
      </c>
      <c r="C1356" s="1281"/>
      <c r="D1356" s="1281"/>
      <c r="E1356" s="256">
        <f>+Q926</f>
        <v>20.25</v>
      </c>
      <c r="F1356" s="365" t="s">
        <v>205</v>
      </c>
      <c r="G1356" s="780">
        <f>80.7*1</f>
        <v>80.7</v>
      </c>
      <c r="H1356" s="695" t="s">
        <v>737</v>
      </c>
      <c r="I1356" s="706">
        <f>+S926</f>
        <v>1.1200000000000001</v>
      </c>
      <c r="J1356" s="706">
        <f>+T926</f>
        <v>1</v>
      </c>
      <c r="K1356" s="247">
        <f t="shared" si="25"/>
        <v>1830.2760000000001</v>
      </c>
      <c r="L1356" s="365" t="s">
        <v>732</v>
      </c>
      <c r="M1356" s="54"/>
      <c r="N1356" s="54"/>
      <c r="O1356" s="336"/>
      <c r="P1356" s="334"/>
      <c r="Q1356" s="335"/>
      <c r="R1356" s="336"/>
      <c r="U1356" s="337"/>
    </row>
    <row r="1357" spans="1:21" ht="30" customHeight="1" x14ac:dyDescent="0.25">
      <c r="A1357" s="365" t="s">
        <v>301</v>
      </c>
      <c r="B1357" s="1281" t="s">
        <v>694</v>
      </c>
      <c r="C1357" s="1281"/>
      <c r="D1357" s="1281"/>
      <c r="E1357" s="256">
        <f>+Q929</f>
        <v>920</v>
      </c>
      <c r="F1357" s="661" t="s">
        <v>76</v>
      </c>
      <c r="G1357" s="753">
        <v>5</v>
      </c>
      <c r="H1357" s="695" t="s">
        <v>738</v>
      </c>
      <c r="I1357" s="706">
        <f>+S929</f>
        <v>1.1000000000000001</v>
      </c>
      <c r="J1357" s="706">
        <f>+T929</f>
        <v>1</v>
      </c>
      <c r="K1357" s="247">
        <f t="shared" si="25"/>
        <v>5060</v>
      </c>
      <c r="L1357" s="365" t="s">
        <v>732</v>
      </c>
      <c r="M1357" s="54"/>
      <c r="N1357" s="54"/>
      <c r="O1357" s="336"/>
      <c r="P1357" s="334"/>
      <c r="Q1357" s="335"/>
      <c r="R1357" s="336"/>
      <c r="U1357" s="337"/>
    </row>
    <row r="1358" spans="1:21" ht="30" customHeight="1" x14ac:dyDescent="0.25">
      <c r="A1358" s="365" t="s">
        <v>520</v>
      </c>
      <c r="B1358" s="1281" t="s">
        <v>976</v>
      </c>
      <c r="C1358" s="1281"/>
      <c r="D1358" s="1281"/>
      <c r="E1358" s="256">
        <f>+Q935</f>
        <v>21.1</v>
      </c>
      <c r="F1358" s="661" t="s">
        <v>40</v>
      </c>
      <c r="G1358" s="753">
        <f>+((656*2)+(49*1))</f>
        <v>1361</v>
      </c>
      <c r="H1358" s="695" t="s">
        <v>740</v>
      </c>
      <c r="I1358" s="706">
        <f>+S935</f>
        <v>1.04</v>
      </c>
      <c r="J1358" s="706">
        <f>+T935</f>
        <v>1</v>
      </c>
      <c r="K1358" s="247">
        <f t="shared" si="25"/>
        <v>29865.784000000003</v>
      </c>
      <c r="L1358" s="365" t="s">
        <v>732</v>
      </c>
      <c r="M1358" s="54"/>
      <c r="N1358" s="54"/>
      <c r="O1358" s="336"/>
      <c r="P1358" s="334"/>
      <c r="Q1358" s="335"/>
      <c r="R1358" s="336"/>
      <c r="U1358" s="337"/>
    </row>
    <row r="1359" spans="1:21" ht="30" customHeight="1" x14ac:dyDescent="0.25">
      <c r="A1359" s="365" t="s">
        <v>520</v>
      </c>
      <c r="B1359" s="1281" t="s">
        <v>877</v>
      </c>
      <c r="C1359" s="1281"/>
      <c r="D1359" s="1281"/>
      <c r="E1359" s="256">
        <f>+Q936</f>
        <v>3227.5</v>
      </c>
      <c r="F1359" s="661" t="s">
        <v>76</v>
      </c>
      <c r="G1359" s="753">
        <v>3</v>
      </c>
      <c r="H1359" s="695" t="s">
        <v>738</v>
      </c>
      <c r="I1359" s="706">
        <f>+S936</f>
        <v>1.04</v>
      </c>
      <c r="J1359" s="706">
        <f>+T936</f>
        <v>1</v>
      </c>
      <c r="K1359" s="247">
        <f t="shared" si="25"/>
        <v>10069.800000000001</v>
      </c>
      <c r="L1359" s="365" t="s">
        <v>732</v>
      </c>
      <c r="M1359" s="54"/>
      <c r="N1359" s="54"/>
      <c r="O1359" s="336"/>
      <c r="P1359" s="334"/>
      <c r="Q1359" s="335"/>
      <c r="R1359" s="336"/>
      <c r="U1359" s="337"/>
    </row>
    <row r="1360" spans="1:21" ht="30" customHeight="1" x14ac:dyDescent="0.25">
      <c r="A1360" s="365" t="s">
        <v>301</v>
      </c>
      <c r="B1360" s="1281" t="s">
        <v>796</v>
      </c>
      <c r="C1360" s="1281"/>
      <c r="D1360" s="1281"/>
      <c r="E1360" s="256">
        <f>+Q931</f>
        <v>1125</v>
      </c>
      <c r="F1360" s="661" t="s">
        <v>76</v>
      </c>
      <c r="G1360" s="753">
        <v>5</v>
      </c>
      <c r="H1360" s="695" t="s">
        <v>738</v>
      </c>
      <c r="I1360" s="706">
        <f t="shared" ref="I1360:J1362" si="26">+S931</f>
        <v>1.1000000000000001</v>
      </c>
      <c r="J1360" s="706">
        <f t="shared" si="26"/>
        <v>1</v>
      </c>
      <c r="K1360" s="247">
        <f t="shared" si="25"/>
        <v>6187.5000000000009</v>
      </c>
      <c r="L1360" s="365" t="s">
        <v>732</v>
      </c>
      <c r="M1360" s="54"/>
      <c r="N1360" s="54"/>
      <c r="O1360" s="336"/>
      <c r="P1360" s="334"/>
      <c r="Q1360" s="335"/>
      <c r="R1360" s="336"/>
      <c r="U1360" s="337"/>
    </row>
    <row r="1361" spans="1:21" ht="30" customHeight="1" x14ac:dyDescent="0.25">
      <c r="A1361" s="365" t="s">
        <v>698</v>
      </c>
      <c r="B1361" s="1281" t="s">
        <v>878</v>
      </c>
      <c r="C1361" s="1281"/>
      <c r="D1361" s="1281"/>
      <c r="E1361" s="256">
        <f>+Q932</f>
        <v>145.58000000000001</v>
      </c>
      <c r="F1361" s="661" t="s">
        <v>76</v>
      </c>
      <c r="G1361" s="753">
        <v>46</v>
      </c>
      <c r="H1361" s="695" t="s">
        <v>738</v>
      </c>
      <c r="I1361" s="706">
        <f t="shared" si="26"/>
        <v>1.1000000000000001</v>
      </c>
      <c r="J1361" s="706">
        <f t="shared" si="26"/>
        <v>1</v>
      </c>
      <c r="K1361" s="247">
        <f t="shared" si="25"/>
        <v>7366.3480000000009</v>
      </c>
      <c r="L1361" s="365" t="s">
        <v>732</v>
      </c>
      <c r="M1361" s="54"/>
      <c r="N1361" s="54"/>
      <c r="P1361" s="334"/>
      <c r="Q1361" s="784"/>
    </row>
    <row r="1362" spans="1:21" ht="30" customHeight="1" x14ac:dyDescent="0.25">
      <c r="A1362" s="365" t="s">
        <v>702</v>
      </c>
      <c r="B1362" s="1209" t="s">
        <v>703</v>
      </c>
      <c r="C1362" s="1210"/>
      <c r="D1362" s="1211"/>
      <c r="E1362" s="256">
        <f>+Q933</f>
        <v>19.62</v>
      </c>
      <c r="F1362" s="661" t="s">
        <v>40</v>
      </c>
      <c r="G1362" s="753">
        <v>13582</v>
      </c>
      <c r="H1362" s="695" t="s">
        <v>740</v>
      </c>
      <c r="I1362" s="706">
        <f t="shared" si="26"/>
        <v>1.1000000000000001</v>
      </c>
      <c r="J1362" s="706">
        <f t="shared" si="26"/>
        <v>1</v>
      </c>
      <c r="K1362" s="247">
        <f t="shared" si="25"/>
        <v>293126.72400000005</v>
      </c>
      <c r="L1362" s="365" t="s">
        <v>732</v>
      </c>
      <c r="M1362" s="54"/>
      <c r="N1362" s="54"/>
      <c r="O1362" s="336"/>
      <c r="P1362" s="334"/>
      <c r="Q1362" s="335"/>
      <c r="R1362" s="336"/>
      <c r="U1362" s="337"/>
    </row>
    <row r="1363" spans="1:21" ht="30" customHeight="1" x14ac:dyDescent="0.25">
      <c r="A1363" s="365">
        <v>93410</v>
      </c>
      <c r="B1363" s="1209" t="s">
        <v>977</v>
      </c>
      <c r="C1363" s="1210"/>
      <c r="D1363" s="1211"/>
      <c r="E1363" s="255">
        <f>+Q943</f>
        <v>1.2</v>
      </c>
      <c r="F1363" s="661" t="s">
        <v>9</v>
      </c>
      <c r="G1363" s="753">
        <v>1435</v>
      </c>
      <c r="H1363" s="695" t="s">
        <v>978</v>
      </c>
      <c r="I1363" s="758">
        <f>+'2022 MILCON Inflation Table'!F21</f>
        <v>0.94047825952836139</v>
      </c>
      <c r="J1363" s="365"/>
      <c r="K1363" s="247">
        <f>+E1363*G1363*I1363</f>
        <v>1619.5035629078384</v>
      </c>
      <c r="L1363" s="365" t="s">
        <v>732</v>
      </c>
      <c r="M1363" s="54"/>
      <c r="N1363" s="54"/>
      <c r="O1363" s="336"/>
      <c r="P1363" s="334"/>
      <c r="Q1363" s="335"/>
      <c r="R1363" s="336"/>
      <c r="U1363" s="337"/>
    </row>
    <row r="1364" spans="1:21" ht="30" customHeight="1" x14ac:dyDescent="0.25">
      <c r="A1364" s="365">
        <v>93410</v>
      </c>
      <c r="B1364" s="1209" t="s">
        <v>979</v>
      </c>
      <c r="C1364" s="1210"/>
      <c r="D1364" s="1211"/>
      <c r="E1364" s="256">
        <f>+Q942</f>
        <v>8.6999999999999993</v>
      </c>
      <c r="F1364" s="661" t="s">
        <v>25</v>
      </c>
      <c r="G1364" s="753">
        <v>17139</v>
      </c>
      <c r="H1364" s="695" t="s">
        <v>743</v>
      </c>
      <c r="I1364" s="758">
        <f>+I1363</f>
        <v>0.94047825952836139</v>
      </c>
      <c r="J1364" s="365"/>
      <c r="K1364" s="247">
        <f>+E1364*G1364*I1364</f>
        <v>140234.05494349229</v>
      </c>
      <c r="L1364" s="365" t="s">
        <v>732</v>
      </c>
      <c r="M1364" s="54"/>
      <c r="N1364" s="54"/>
      <c r="O1364" s="336"/>
      <c r="P1364" s="334"/>
      <c r="Q1364" s="335"/>
      <c r="R1364" s="336"/>
      <c r="U1364" s="337"/>
    </row>
    <row r="1365" spans="1:21" ht="30" customHeight="1" x14ac:dyDescent="0.25">
      <c r="A1365" s="365">
        <v>93210</v>
      </c>
      <c r="B1365" s="1209" t="s">
        <v>980</v>
      </c>
      <c r="C1365" s="1210"/>
      <c r="D1365" s="1211"/>
      <c r="E1365" s="256">
        <f>+Q944</f>
        <v>48.6</v>
      </c>
      <c r="F1365" s="661" t="s">
        <v>25</v>
      </c>
      <c r="G1365" s="753">
        <v>431</v>
      </c>
      <c r="H1365" s="695" t="s">
        <v>743</v>
      </c>
      <c r="I1365" s="758">
        <f>+I1364</f>
        <v>0.94047825952836139</v>
      </c>
      <c r="J1365" s="365"/>
      <c r="K1365" s="247">
        <f>+E1365*G1365*I1365</f>
        <v>19699.821911036775</v>
      </c>
      <c r="L1365" s="365" t="s">
        <v>732</v>
      </c>
      <c r="M1365" s="54"/>
      <c r="N1365" s="54"/>
      <c r="O1365" s="336"/>
      <c r="P1365" s="334"/>
      <c r="Q1365" s="335"/>
      <c r="R1365" s="336"/>
      <c r="U1365" s="337"/>
    </row>
    <row r="1366" spans="1:21" ht="30" customHeight="1" x14ac:dyDescent="0.25">
      <c r="A1366" s="365" t="s">
        <v>680</v>
      </c>
      <c r="B1366" s="1209" t="s">
        <v>981</v>
      </c>
      <c r="C1366" s="1210"/>
      <c r="D1366" s="1211"/>
      <c r="E1366" s="255">
        <f>+Q922</f>
        <v>21.15</v>
      </c>
      <c r="F1366" s="661" t="s">
        <v>205</v>
      </c>
      <c r="G1366" s="753">
        <v>1600</v>
      </c>
      <c r="H1366" s="695" t="s">
        <v>737</v>
      </c>
      <c r="I1366" s="742">
        <f>+S922</f>
        <v>1.1599999999999999</v>
      </c>
      <c r="J1366" s="706">
        <f>+T922</f>
        <v>0.97169811320754718</v>
      </c>
      <c r="K1366" s="247">
        <f>+E1366*G1366*I1366*J1366</f>
        <v>38143.426415094335</v>
      </c>
      <c r="L1366" s="365" t="s">
        <v>732</v>
      </c>
      <c r="M1366" s="54"/>
      <c r="N1366" s="54"/>
      <c r="O1366" s="336"/>
      <c r="P1366" s="334"/>
      <c r="Q1366" s="335"/>
      <c r="R1366" s="336"/>
      <c r="U1366" s="337"/>
    </row>
    <row r="1367" spans="1:21" ht="30" customHeight="1" x14ac:dyDescent="0.25">
      <c r="A1367" s="1172" t="s">
        <v>745</v>
      </c>
      <c r="B1367" s="1173"/>
      <c r="C1367" s="1173"/>
      <c r="D1367" s="1174"/>
      <c r="E1367" s="247"/>
      <c r="F1367" s="365"/>
      <c r="G1367" s="366"/>
      <c r="H1367" s="662"/>
      <c r="I1367" s="365"/>
      <c r="J1367" s="365" t="s">
        <v>408</v>
      </c>
      <c r="K1367" s="247">
        <f>SUM(K1351:K1366)</f>
        <v>679561.27863253129</v>
      </c>
      <c r="L1367" s="365" t="s">
        <v>732</v>
      </c>
      <c r="M1367" s="54"/>
      <c r="N1367" s="54"/>
      <c r="O1367" s="336"/>
      <c r="P1367" s="334"/>
      <c r="Q1367" s="335"/>
      <c r="R1367" s="336"/>
      <c r="U1367" s="337"/>
    </row>
    <row r="1368" spans="1:21" ht="30" customHeight="1" thickBot="1" x14ac:dyDescent="0.3">
      <c r="A1368" s="1336"/>
      <c r="B1368" s="1337"/>
      <c r="C1368" s="1337"/>
      <c r="D1368" s="1338"/>
      <c r="E1368" s="366"/>
      <c r="F1368" s="366"/>
      <c r="G1368" s="580" t="s">
        <v>306</v>
      </c>
      <c r="H1368" s="366"/>
      <c r="I1368" s="366"/>
      <c r="J1368" s="521">
        <f>VLOOKUP(B1348,'Mil Cost Premiums for PUCs'!$A$4:$R$277,18,FALSE)</f>
        <v>1.0485669999999998</v>
      </c>
      <c r="K1368" s="246">
        <f>+K1367*J1368</f>
        <v>712565.53125187731</v>
      </c>
      <c r="L1368" s="365" t="s">
        <v>732</v>
      </c>
      <c r="M1368" s="54"/>
      <c r="N1368" s="54"/>
      <c r="O1368" s="336"/>
      <c r="P1368" s="334"/>
      <c r="Q1368" s="335"/>
      <c r="R1368" s="336"/>
      <c r="U1368" s="337"/>
    </row>
    <row r="1369" spans="1:21" ht="30" customHeight="1" thickBot="1" x14ac:dyDescent="0.3">
      <c r="A1369" s="1180"/>
      <c r="B1369" s="1181"/>
      <c r="C1369" s="1181"/>
      <c r="D1369" s="1181"/>
      <c r="E1369" s="1181"/>
      <c r="F1369" s="1181"/>
      <c r="G1369" s="1181"/>
      <c r="H1369" s="1181"/>
      <c r="I1369" s="1181"/>
      <c r="J1369" s="1181"/>
      <c r="K1369" s="1181"/>
      <c r="L1369" s="1182"/>
      <c r="M1369" s="54"/>
      <c r="N1369" s="54"/>
      <c r="O1369" s="336"/>
      <c r="P1369" s="334"/>
      <c r="Q1369" s="335"/>
      <c r="R1369" s="336"/>
      <c r="U1369" s="337"/>
    </row>
    <row r="1370" spans="1:21" ht="60" customHeight="1" x14ac:dyDescent="0.25">
      <c r="A1370" s="327" t="s">
        <v>5</v>
      </c>
      <c r="B1370" s="328">
        <v>1781</v>
      </c>
      <c r="C1370" s="1251" t="s">
        <v>982</v>
      </c>
      <c r="D1370" s="1252"/>
      <c r="E1370" s="331" t="s">
        <v>8</v>
      </c>
      <c r="F1370" s="332" t="s">
        <v>732</v>
      </c>
      <c r="G1370" s="346" t="s">
        <v>983</v>
      </c>
      <c r="H1370" s="711">
        <v>1</v>
      </c>
      <c r="I1370" s="331" t="s">
        <v>10</v>
      </c>
      <c r="J1370" s="1220" t="s">
        <v>807</v>
      </c>
      <c r="K1370" s="1220"/>
      <c r="L1370" s="1221"/>
      <c r="M1370" s="54"/>
      <c r="N1370" s="54"/>
      <c r="O1370" s="336"/>
      <c r="P1370" s="334"/>
      <c r="Q1370" s="335"/>
      <c r="R1370" s="336"/>
      <c r="U1370" s="337"/>
    </row>
    <row r="1371" spans="1:21" ht="30" customHeight="1" x14ac:dyDescent="0.25">
      <c r="A1371" s="356" t="s">
        <v>735</v>
      </c>
      <c r="B1371" s="1222" t="s">
        <v>326</v>
      </c>
      <c r="C1371" s="1235"/>
      <c r="D1371" s="1223"/>
      <c r="E1371" s="577" t="s">
        <v>116</v>
      </c>
      <c r="F1371" s="577" t="s">
        <v>117</v>
      </c>
      <c r="G1371" s="1194" t="s">
        <v>118</v>
      </c>
      <c r="H1371" s="1195"/>
      <c r="I1371" s="356" t="s">
        <v>296</v>
      </c>
      <c r="J1371" s="633" t="s">
        <v>303</v>
      </c>
      <c r="K1371" s="1236" t="s">
        <v>285</v>
      </c>
      <c r="L1371" s="1237"/>
      <c r="M1371" s="54"/>
      <c r="N1371" s="54"/>
      <c r="O1371" s="336"/>
      <c r="P1371" s="334"/>
      <c r="Q1371" s="335"/>
      <c r="R1371" s="336"/>
      <c r="U1371" s="337"/>
    </row>
    <row r="1372" spans="1:21" ht="30" customHeight="1" x14ac:dyDescent="0.25">
      <c r="A1372" s="365">
        <v>93210</v>
      </c>
      <c r="B1372" s="1209" t="s">
        <v>984</v>
      </c>
      <c r="C1372" s="1210"/>
      <c r="D1372" s="1211"/>
      <c r="E1372" s="256">
        <f>+Q944</f>
        <v>48.6</v>
      </c>
      <c r="F1372" s="661" t="s">
        <v>25</v>
      </c>
      <c r="G1372" s="753">
        <v>205</v>
      </c>
      <c r="H1372" s="695" t="s">
        <v>743</v>
      </c>
      <c r="I1372" s="286">
        <v>0.9405</v>
      </c>
      <c r="J1372" s="365"/>
      <c r="K1372" s="247">
        <f>+E1372*G1372*I1372</f>
        <v>9370.2014999999992</v>
      </c>
      <c r="L1372" s="365" t="s">
        <v>732</v>
      </c>
      <c r="M1372" s="54"/>
      <c r="N1372" s="54"/>
      <c r="O1372" s="336"/>
      <c r="P1372" s="334"/>
      <c r="Q1372" s="335"/>
      <c r="R1372" s="336"/>
      <c r="U1372" s="337"/>
    </row>
    <row r="1373" spans="1:21" ht="30" customHeight="1" x14ac:dyDescent="0.25">
      <c r="A1373" s="365" t="s">
        <v>684</v>
      </c>
      <c r="B1373" s="1209" t="s">
        <v>985</v>
      </c>
      <c r="C1373" s="1210"/>
      <c r="D1373" s="1211"/>
      <c r="E1373" s="255">
        <f>+Q924</f>
        <v>9.6300000000000008</v>
      </c>
      <c r="F1373" s="661" t="s">
        <v>205</v>
      </c>
      <c r="G1373" s="753">
        <v>160</v>
      </c>
      <c r="H1373" s="695" t="s">
        <v>737</v>
      </c>
      <c r="I1373" s="365">
        <f>+S924</f>
        <v>1.23</v>
      </c>
      <c r="J1373" s="706">
        <f>+T924</f>
        <v>1</v>
      </c>
      <c r="K1373" s="247">
        <f>+E1373*G1373*I1373*J1373</f>
        <v>1895.1840000000002</v>
      </c>
      <c r="L1373" s="365" t="s">
        <v>732</v>
      </c>
      <c r="M1373" s="54"/>
      <c r="N1373" s="54"/>
      <c r="O1373" s="336"/>
      <c r="P1373" s="334"/>
      <c r="Q1373" s="335"/>
      <c r="R1373" s="336"/>
      <c r="U1373" s="337"/>
    </row>
    <row r="1374" spans="1:21" ht="30" customHeight="1" x14ac:dyDescent="0.25">
      <c r="A1374" s="365" t="s">
        <v>684</v>
      </c>
      <c r="B1374" s="1209" t="s">
        <v>986</v>
      </c>
      <c r="C1374" s="1210"/>
      <c r="D1374" s="1211"/>
      <c r="E1374" s="255">
        <f>+Q925</f>
        <v>11.77</v>
      </c>
      <c r="F1374" s="365" t="s">
        <v>205</v>
      </c>
      <c r="G1374" s="753">
        <v>1614</v>
      </c>
      <c r="H1374" s="695" t="s">
        <v>737</v>
      </c>
      <c r="I1374" s="365">
        <f>+S925</f>
        <v>1.23</v>
      </c>
      <c r="J1374" s="706">
        <f>+T925</f>
        <v>1</v>
      </c>
      <c r="K1374" s="247">
        <f>+E1374*G1374*I1374*J1374</f>
        <v>23366.039399999998</v>
      </c>
      <c r="L1374" s="365" t="s">
        <v>732</v>
      </c>
      <c r="M1374" s="54"/>
      <c r="N1374" s="54"/>
      <c r="O1374" s="336"/>
      <c r="P1374" s="334"/>
      <c r="Q1374" s="335"/>
      <c r="R1374" s="336"/>
      <c r="U1374" s="337"/>
    </row>
    <row r="1375" spans="1:21" ht="30" customHeight="1" x14ac:dyDescent="0.25">
      <c r="A1375" s="365">
        <v>93410</v>
      </c>
      <c r="B1375" s="1209" t="s">
        <v>987</v>
      </c>
      <c r="C1375" s="1210"/>
      <c r="D1375" s="1211"/>
      <c r="E1375" s="256">
        <f>+Q942</f>
        <v>8.6999999999999993</v>
      </c>
      <c r="F1375" s="661" t="s">
        <v>25</v>
      </c>
      <c r="G1375" s="753">
        <v>235</v>
      </c>
      <c r="H1375" s="695" t="s">
        <v>743</v>
      </c>
      <c r="I1375" s="758">
        <f>+'2022 MILCON Inflation Table'!F21</f>
        <v>0.94047825952836139</v>
      </c>
      <c r="J1375" s="365"/>
      <c r="K1375" s="247">
        <f>+E1375*G1375*I1375</f>
        <v>1922.8078016057348</v>
      </c>
      <c r="L1375" s="365" t="s">
        <v>732</v>
      </c>
      <c r="M1375" s="54"/>
      <c r="N1375" s="54"/>
      <c r="O1375" s="336"/>
      <c r="P1375" s="334"/>
      <c r="Q1375" s="335"/>
      <c r="R1375" s="336"/>
      <c r="U1375" s="337"/>
    </row>
    <row r="1376" spans="1:21" ht="30" customHeight="1" x14ac:dyDescent="0.25">
      <c r="A1376" s="1172" t="s">
        <v>745</v>
      </c>
      <c r="B1376" s="1173"/>
      <c r="C1376" s="1173"/>
      <c r="D1376" s="1174"/>
      <c r="E1376" s="247"/>
      <c r="F1376" s="365"/>
      <c r="G1376" s="366"/>
      <c r="H1376" s="662"/>
      <c r="I1376" s="365"/>
      <c r="J1376" s="365" t="s">
        <v>408</v>
      </c>
      <c r="K1376" s="247">
        <f>SUM(K1372:K1374)</f>
        <v>34631.424899999998</v>
      </c>
      <c r="L1376" s="365" t="s">
        <v>732</v>
      </c>
      <c r="M1376" s="54"/>
      <c r="N1376" s="54"/>
      <c r="O1376" s="336"/>
      <c r="P1376" s="334"/>
      <c r="Q1376" s="335"/>
      <c r="R1376" s="336"/>
      <c r="U1376" s="337"/>
    </row>
    <row r="1377" spans="1:21" ht="30" customHeight="1" thickBot="1" x14ac:dyDescent="0.3">
      <c r="A1377" s="1336"/>
      <c r="B1377" s="1337"/>
      <c r="C1377" s="1337"/>
      <c r="D1377" s="1338"/>
      <c r="E1377" s="366"/>
      <c r="F1377" s="366"/>
      <c r="G1377" s="580" t="s">
        <v>306</v>
      </c>
      <c r="H1377" s="366"/>
      <c r="I1377" s="366"/>
      <c r="J1377" s="521">
        <f>VLOOKUP(B1370,'Mil Cost Premiums for PUCs'!$A$4:$R$277,18,FALSE)</f>
        <v>1.0485669999999998</v>
      </c>
      <c r="K1377" s="246">
        <f>+K1376*J1377</f>
        <v>36313.369313118288</v>
      </c>
      <c r="L1377" s="365" t="s">
        <v>732</v>
      </c>
      <c r="M1377" s="54"/>
      <c r="N1377" s="54"/>
      <c r="O1377" s="336"/>
      <c r="P1377" s="334"/>
      <c r="Q1377" s="335"/>
      <c r="R1377" s="336"/>
      <c r="U1377" s="337"/>
    </row>
    <row r="1378" spans="1:21" ht="30" customHeight="1" thickBot="1" x14ac:dyDescent="0.3">
      <c r="A1378" s="1180"/>
      <c r="B1378" s="1181"/>
      <c r="C1378" s="1181"/>
      <c r="D1378" s="1181"/>
      <c r="E1378" s="1181"/>
      <c r="F1378" s="1181"/>
      <c r="G1378" s="1181"/>
      <c r="H1378" s="1181"/>
      <c r="I1378" s="1181"/>
      <c r="J1378" s="1181"/>
      <c r="K1378" s="1181"/>
      <c r="L1378" s="1182"/>
      <c r="M1378" s="54"/>
      <c r="N1378" s="54"/>
      <c r="O1378" s="336"/>
      <c r="P1378" s="334"/>
      <c r="Q1378" s="335"/>
      <c r="R1378" s="336"/>
      <c r="U1378" s="337"/>
    </row>
    <row r="1379" spans="1:21" ht="60" customHeight="1" x14ac:dyDescent="0.25">
      <c r="A1379" s="327" t="s">
        <v>5</v>
      </c>
      <c r="B1379" s="328">
        <v>1782</v>
      </c>
      <c r="C1379" s="1251" t="s">
        <v>988</v>
      </c>
      <c r="D1379" s="1252"/>
      <c r="E1379" s="331" t="s">
        <v>8</v>
      </c>
      <c r="F1379" s="332" t="s">
        <v>732</v>
      </c>
      <c r="G1379" s="346" t="s">
        <v>989</v>
      </c>
      <c r="H1379" s="711">
        <v>10</v>
      </c>
      <c r="I1379" s="331" t="s">
        <v>10</v>
      </c>
      <c r="J1379" s="1220" t="s">
        <v>807</v>
      </c>
      <c r="K1379" s="1220"/>
      <c r="L1379" s="1221"/>
      <c r="M1379" s="54"/>
      <c r="N1379" s="54"/>
      <c r="O1379" s="336"/>
      <c r="P1379" s="334"/>
      <c r="Q1379" s="335"/>
      <c r="R1379" s="336"/>
      <c r="U1379" s="337"/>
    </row>
    <row r="1380" spans="1:21" ht="30" customHeight="1" x14ac:dyDescent="0.25">
      <c r="A1380" s="356" t="s">
        <v>735</v>
      </c>
      <c r="B1380" s="1222" t="s">
        <v>326</v>
      </c>
      <c r="C1380" s="1235"/>
      <c r="D1380" s="1223"/>
      <c r="E1380" s="577" t="s">
        <v>116</v>
      </c>
      <c r="F1380" s="577" t="s">
        <v>117</v>
      </c>
      <c r="G1380" s="1194" t="s">
        <v>118</v>
      </c>
      <c r="H1380" s="1195"/>
      <c r="I1380" s="356" t="s">
        <v>296</v>
      </c>
      <c r="J1380" s="633" t="s">
        <v>303</v>
      </c>
      <c r="K1380" s="1236" t="s">
        <v>285</v>
      </c>
      <c r="L1380" s="1237"/>
      <c r="M1380" s="54"/>
      <c r="N1380" s="54"/>
      <c r="O1380" s="336"/>
      <c r="P1380" s="334"/>
      <c r="Q1380" s="335"/>
      <c r="R1380" s="336"/>
      <c r="U1380" s="337"/>
    </row>
    <row r="1381" spans="1:21" ht="30" customHeight="1" x14ac:dyDescent="0.25">
      <c r="A1381" s="356"/>
      <c r="B1381" s="1214" t="s">
        <v>990</v>
      </c>
      <c r="C1381" s="1215"/>
      <c r="D1381" s="1216"/>
      <c r="E1381" s="577"/>
      <c r="F1381" s="577"/>
      <c r="G1381" s="750"/>
      <c r="H1381" s="751"/>
      <c r="I1381" s="398"/>
      <c r="J1381" s="398"/>
      <c r="K1381" s="577"/>
      <c r="L1381" s="577"/>
      <c r="M1381" s="54"/>
      <c r="N1381" s="54"/>
      <c r="O1381" s="336"/>
      <c r="P1381" s="334"/>
      <c r="Q1381" s="335"/>
      <c r="R1381" s="336"/>
      <c r="U1381" s="337"/>
    </row>
    <row r="1382" spans="1:21" ht="30" customHeight="1" x14ac:dyDescent="0.25">
      <c r="A1382" s="365" t="s">
        <v>684</v>
      </c>
      <c r="B1382" s="1209" t="s">
        <v>991</v>
      </c>
      <c r="C1382" s="1210"/>
      <c r="D1382" s="1211"/>
      <c r="E1382" s="256">
        <f>+Q924</f>
        <v>9.6300000000000008</v>
      </c>
      <c r="F1382" s="365" t="s">
        <v>205</v>
      </c>
      <c r="G1382" s="753">
        <f>9*62</f>
        <v>558</v>
      </c>
      <c r="H1382" s="695" t="s">
        <v>737</v>
      </c>
      <c r="I1382" s="706">
        <f>+S924</f>
        <v>1.23</v>
      </c>
      <c r="J1382" s="706">
        <f>+T924</f>
        <v>1</v>
      </c>
      <c r="K1382" s="247">
        <f t="shared" ref="K1382:K1390" si="27">+E1382*G1382*I1382*J1382</f>
        <v>6609.454200000001</v>
      </c>
      <c r="L1382" s="365" t="s">
        <v>732</v>
      </c>
      <c r="M1382" s="54"/>
      <c r="N1382" s="54"/>
      <c r="O1382" s="336"/>
      <c r="P1382" s="334"/>
      <c r="Q1382" s="335"/>
      <c r="R1382" s="336"/>
      <c r="U1382" s="337"/>
    </row>
    <row r="1383" spans="1:21" ht="30" customHeight="1" x14ac:dyDescent="0.25">
      <c r="A1383" s="365" t="s">
        <v>301</v>
      </c>
      <c r="B1383" s="1209" t="s">
        <v>691</v>
      </c>
      <c r="C1383" s="1210"/>
      <c r="D1383" s="1211"/>
      <c r="E1383" s="256">
        <f>+Q928</f>
        <v>504.5</v>
      </c>
      <c r="F1383" s="661" t="s">
        <v>76</v>
      </c>
      <c r="G1383" s="753">
        <v>9</v>
      </c>
      <c r="H1383" s="695" t="s">
        <v>738</v>
      </c>
      <c r="I1383" s="706">
        <f>+S928</f>
        <v>1.1000000000000001</v>
      </c>
      <c r="J1383" s="706">
        <f>+T928</f>
        <v>1</v>
      </c>
      <c r="K1383" s="247">
        <f t="shared" si="27"/>
        <v>4994.55</v>
      </c>
      <c r="L1383" s="365" t="s">
        <v>732</v>
      </c>
      <c r="M1383" s="54"/>
      <c r="N1383" s="54"/>
      <c r="O1383" s="336"/>
      <c r="P1383" s="334"/>
      <c r="Q1383" s="335"/>
      <c r="R1383" s="336"/>
      <c r="U1383" s="337"/>
    </row>
    <row r="1384" spans="1:21" ht="30" customHeight="1" x14ac:dyDescent="0.25">
      <c r="A1384" s="365" t="s">
        <v>301</v>
      </c>
      <c r="B1384" s="1281" t="s">
        <v>696</v>
      </c>
      <c r="C1384" s="1281"/>
      <c r="D1384" s="1281"/>
      <c r="E1384" s="256">
        <f>+Q930</f>
        <v>362.5</v>
      </c>
      <c r="F1384" s="661" t="s">
        <v>76</v>
      </c>
      <c r="G1384" s="753">
        <v>9</v>
      </c>
      <c r="H1384" s="695" t="s">
        <v>738</v>
      </c>
      <c r="I1384" s="706">
        <f>+S930</f>
        <v>1.1000000000000001</v>
      </c>
      <c r="J1384" s="706">
        <f>+T930</f>
        <v>1</v>
      </c>
      <c r="K1384" s="247">
        <f t="shared" si="27"/>
        <v>3588.7500000000005</v>
      </c>
      <c r="L1384" s="365" t="s">
        <v>732</v>
      </c>
      <c r="M1384" s="54"/>
      <c r="N1384" s="54"/>
      <c r="O1384" s="336"/>
      <c r="P1384" s="334"/>
      <c r="Q1384" s="335"/>
      <c r="R1384" s="336"/>
      <c r="U1384" s="337"/>
    </row>
    <row r="1385" spans="1:21" ht="30" customHeight="1" x14ac:dyDescent="0.25">
      <c r="A1385" s="365" t="s">
        <v>684</v>
      </c>
      <c r="B1385" s="1281" t="s">
        <v>992</v>
      </c>
      <c r="C1385" s="1281"/>
      <c r="D1385" s="1281"/>
      <c r="E1385" s="256">
        <f>+Q925</f>
        <v>11.77</v>
      </c>
      <c r="F1385" s="365" t="s">
        <v>205</v>
      </c>
      <c r="G1385" s="753">
        <f>2*468</f>
        <v>936</v>
      </c>
      <c r="H1385" s="695" t="s">
        <v>737</v>
      </c>
      <c r="I1385" s="706">
        <f>+S925</f>
        <v>1.23</v>
      </c>
      <c r="J1385" s="706">
        <f>+T925</f>
        <v>1</v>
      </c>
      <c r="K1385" s="247">
        <f t="shared" si="27"/>
        <v>13550.5656</v>
      </c>
      <c r="L1385" s="365" t="s">
        <v>732</v>
      </c>
      <c r="M1385" s="54"/>
      <c r="N1385" s="54"/>
      <c r="O1385" s="336"/>
      <c r="P1385" s="334"/>
      <c r="Q1385" s="335"/>
      <c r="R1385" s="336"/>
      <c r="U1385" s="337"/>
    </row>
    <row r="1386" spans="1:21" ht="30" customHeight="1" x14ac:dyDescent="0.25">
      <c r="A1386" s="365" t="s">
        <v>533</v>
      </c>
      <c r="B1386" s="1281" t="s">
        <v>893</v>
      </c>
      <c r="C1386" s="1281"/>
      <c r="D1386" s="1281"/>
      <c r="E1386" s="256">
        <f>+Q926</f>
        <v>20.25</v>
      </c>
      <c r="F1386" s="365" t="s">
        <v>205</v>
      </c>
      <c r="G1386" s="780">
        <f>80.7*1</f>
        <v>80.7</v>
      </c>
      <c r="H1386" s="695" t="s">
        <v>737</v>
      </c>
      <c r="I1386" s="706">
        <f>+S926</f>
        <v>1.1200000000000001</v>
      </c>
      <c r="J1386" s="706">
        <f>+T926</f>
        <v>1</v>
      </c>
      <c r="K1386" s="247">
        <f t="shared" si="27"/>
        <v>1830.2760000000001</v>
      </c>
      <c r="L1386" s="365" t="s">
        <v>732</v>
      </c>
      <c r="M1386" s="54"/>
      <c r="N1386" s="54"/>
      <c r="O1386" s="336"/>
      <c r="P1386" s="334"/>
      <c r="Q1386" s="335"/>
      <c r="R1386" s="336"/>
      <c r="U1386" s="337"/>
    </row>
    <row r="1387" spans="1:21" ht="30" customHeight="1" x14ac:dyDescent="0.25">
      <c r="A1387" s="365" t="s">
        <v>301</v>
      </c>
      <c r="B1387" s="1281" t="s">
        <v>694</v>
      </c>
      <c r="C1387" s="1281"/>
      <c r="D1387" s="1281"/>
      <c r="E1387" s="256">
        <f>+Q929</f>
        <v>920</v>
      </c>
      <c r="F1387" s="661" t="s">
        <v>76</v>
      </c>
      <c r="G1387" s="753">
        <v>2</v>
      </c>
      <c r="H1387" s="695" t="s">
        <v>738</v>
      </c>
      <c r="I1387" s="706">
        <f>+S929</f>
        <v>1.1000000000000001</v>
      </c>
      <c r="J1387" s="706">
        <f>+T929</f>
        <v>1</v>
      </c>
      <c r="K1387" s="247">
        <f t="shared" si="27"/>
        <v>2024.0000000000002</v>
      </c>
      <c r="L1387" s="365" t="s">
        <v>732</v>
      </c>
      <c r="M1387" s="54"/>
      <c r="N1387" s="54"/>
      <c r="O1387" s="336"/>
      <c r="P1387" s="334"/>
      <c r="Q1387" s="335"/>
      <c r="R1387" s="336"/>
      <c r="U1387" s="337"/>
    </row>
    <row r="1388" spans="1:21" ht="30" customHeight="1" x14ac:dyDescent="0.25">
      <c r="A1388" s="365" t="s">
        <v>301</v>
      </c>
      <c r="B1388" s="1281" t="s">
        <v>796</v>
      </c>
      <c r="C1388" s="1281"/>
      <c r="D1388" s="1281"/>
      <c r="E1388" s="256">
        <f>+Q931</f>
        <v>1125</v>
      </c>
      <c r="F1388" s="661" t="s">
        <v>76</v>
      </c>
      <c r="G1388" s="753">
        <v>2</v>
      </c>
      <c r="H1388" s="695" t="s">
        <v>738</v>
      </c>
      <c r="I1388" s="706">
        <f t="shared" ref="I1388:J1390" si="28">+S931</f>
        <v>1.1000000000000001</v>
      </c>
      <c r="J1388" s="706">
        <f t="shared" si="28"/>
        <v>1</v>
      </c>
      <c r="K1388" s="247">
        <f t="shared" si="27"/>
        <v>2475</v>
      </c>
      <c r="L1388" s="365" t="s">
        <v>732</v>
      </c>
      <c r="M1388" s="54"/>
      <c r="N1388" s="54"/>
      <c r="O1388" s="336"/>
      <c r="P1388" s="334"/>
      <c r="Q1388" s="335"/>
      <c r="R1388" s="336"/>
      <c r="U1388" s="337"/>
    </row>
    <row r="1389" spans="1:21" ht="30" customHeight="1" x14ac:dyDescent="0.25">
      <c r="A1389" s="365" t="s">
        <v>698</v>
      </c>
      <c r="B1389" s="1281" t="s">
        <v>993</v>
      </c>
      <c r="C1389" s="1281"/>
      <c r="D1389" s="1281"/>
      <c r="E1389" s="256">
        <f>+Q932</f>
        <v>145.58000000000001</v>
      </c>
      <c r="F1389" s="661" t="s">
        <v>76</v>
      </c>
      <c r="G1389" s="753">
        <v>46</v>
      </c>
      <c r="H1389" s="695" t="s">
        <v>738</v>
      </c>
      <c r="I1389" s="706">
        <f t="shared" si="28"/>
        <v>1.1000000000000001</v>
      </c>
      <c r="J1389" s="706">
        <f t="shared" si="28"/>
        <v>1</v>
      </c>
      <c r="K1389" s="247">
        <f t="shared" si="27"/>
        <v>7366.3480000000009</v>
      </c>
      <c r="L1389" s="365" t="s">
        <v>732</v>
      </c>
      <c r="M1389" s="54"/>
      <c r="N1389" s="54"/>
      <c r="O1389" s="336"/>
      <c r="P1389" s="334"/>
      <c r="Q1389" s="335"/>
      <c r="R1389" s="336"/>
      <c r="U1389" s="337"/>
    </row>
    <row r="1390" spans="1:21" ht="30" customHeight="1" x14ac:dyDescent="0.25">
      <c r="A1390" s="365" t="s">
        <v>702</v>
      </c>
      <c r="B1390" s="1209" t="s">
        <v>703</v>
      </c>
      <c r="C1390" s="1210"/>
      <c r="D1390" s="1211"/>
      <c r="E1390" s="256">
        <f>+Q933</f>
        <v>19.62</v>
      </c>
      <c r="F1390" s="661" t="s">
        <v>40</v>
      </c>
      <c r="G1390" s="753">
        <v>2753</v>
      </c>
      <c r="H1390" s="695" t="s">
        <v>740</v>
      </c>
      <c r="I1390" s="706">
        <f t="shared" si="28"/>
        <v>1.1000000000000001</v>
      </c>
      <c r="J1390" s="706">
        <f t="shared" si="28"/>
        <v>1</v>
      </c>
      <c r="K1390" s="247">
        <f t="shared" si="27"/>
        <v>59415.246000000006</v>
      </c>
      <c r="L1390" s="365" t="s">
        <v>732</v>
      </c>
      <c r="M1390" s="54"/>
      <c r="N1390" s="54"/>
      <c r="O1390" s="336"/>
      <c r="P1390" s="334"/>
      <c r="Q1390" s="335"/>
      <c r="R1390" s="336"/>
      <c r="U1390" s="337"/>
    </row>
    <row r="1391" spans="1:21" ht="30" customHeight="1" x14ac:dyDescent="0.25">
      <c r="A1391" s="365">
        <v>93410</v>
      </c>
      <c r="B1391" s="1209" t="s">
        <v>977</v>
      </c>
      <c r="C1391" s="1210"/>
      <c r="D1391" s="1211"/>
      <c r="E1391" s="255">
        <f>+Q943</f>
        <v>1.2</v>
      </c>
      <c r="F1391" s="661" t="s">
        <v>9</v>
      </c>
      <c r="G1391" s="753">
        <v>1435</v>
      </c>
      <c r="H1391" s="695" t="s">
        <v>978</v>
      </c>
      <c r="I1391" s="758">
        <f>+'2022 MILCON Inflation Table'!F21</f>
        <v>0.94047825952836139</v>
      </c>
      <c r="J1391" s="365"/>
      <c r="K1391" s="247">
        <f>+E1391*G1391*I1391</f>
        <v>1619.5035629078384</v>
      </c>
      <c r="L1391" s="365" t="s">
        <v>732</v>
      </c>
      <c r="M1391" s="54"/>
      <c r="N1391" s="54"/>
      <c r="O1391" s="336"/>
      <c r="P1391" s="334"/>
      <c r="Q1391" s="335"/>
      <c r="R1391" s="336"/>
      <c r="U1391" s="337"/>
    </row>
    <row r="1392" spans="1:21" ht="30" customHeight="1" x14ac:dyDescent="0.25">
      <c r="A1392" s="365">
        <v>93410</v>
      </c>
      <c r="B1392" s="1209" t="s">
        <v>926</v>
      </c>
      <c r="C1392" s="1210"/>
      <c r="D1392" s="1211"/>
      <c r="E1392" s="256">
        <f>+Q942</f>
        <v>8.6999999999999993</v>
      </c>
      <c r="F1392" s="661" t="s">
        <v>25</v>
      </c>
      <c r="G1392" s="753">
        <v>17139</v>
      </c>
      <c r="H1392" s="695" t="s">
        <v>743</v>
      </c>
      <c r="I1392" s="758">
        <f>+I1391</f>
        <v>0.94047825952836139</v>
      </c>
      <c r="J1392" s="365"/>
      <c r="K1392" s="247">
        <f>+E1392*G1392*I1392</f>
        <v>140234.05494349229</v>
      </c>
      <c r="L1392" s="365" t="s">
        <v>732</v>
      </c>
      <c r="M1392" s="54"/>
      <c r="N1392" s="54"/>
      <c r="O1392" s="336"/>
      <c r="P1392" s="334"/>
      <c r="Q1392" s="335"/>
      <c r="R1392" s="336"/>
      <c r="U1392" s="337"/>
    </row>
    <row r="1393" spans="1:21" ht="30" customHeight="1" x14ac:dyDescent="0.25">
      <c r="A1393" s="365">
        <v>93210</v>
      </c>
      <c r="B1393" s="1209" t="s">
        <v>980</v>
      </c>
      <c r="C1393" s="1210"/>
      <c r="D1393" s="1211"/>
      <c r="E1393" s="256">
        <f>+Q944</f>
        <v>48.6</v>
      </c>
      <c r="F1393" s="661" t="s">
        <v>25</v>
      </c>
      <c r="G1393" s="753">
        <v>431</v>
      </c>
      <c r="H1393" s="695" t="s">
        <v>743</v>
      </c>
      <c r="I1393" s="758">
        <f>+I1392</f>
        <v>0.94047825952836139</v>
      </c>
      <c r="J1393" s="365"/>
      <c r="K1393" s="247">
        <f>+E1393*G1393*I1393</f>
        <v>19699.821911036775</v>
      </c>
      <c r="L1393" s="365" t="s">
        <v>732</v>
      </c>
      <c r="M1393" s="54"/>
      <c r="N1393" s="54"/>
      <c r="O1393" s="336"/>
      <c r="P1393" s="334"/>
      <c r="Q1393" s="335"/>
      <c r="R1393" s="336"/>
      <c r="U1393" s="337"/>
    </row>
    <row r="1394" spans="1:21" ht="30" customHeight="1" x14ac:dyDescent="0.25">
      <c r="A1394" s="365" t="s">
        <v>680</v>
      </c>
      <c r="B1394" s="1209" t="s">
        <v>994</v>
      </c>
      <c r="C1394" s="1210"/>
      <c r="D1394" s="1211"/>
      <c r="E1394" s="255">
        <f>+Q922</f>
        <v>21.15</v>
      </c>
      <c r="F1394" s="661" t="s">
        <v>205</v>
      </c>
      <c r="G1394" s="753">
        <v>4800</v>
      </c>
      <c r="H1394" s="695" t="s">
        <v>737</v>
      </c>
      <c r="I1394" s="706">
        <f>+S922</f>
        <v>1.1599999999999999</v>
      </c>
      <c r="J1394" s="706">
        <f>+T922</f>
        <v>0.97169811320754718</v>
      </c>
      <c r="K1394" s="247">
        <f>+E1394*G1394*I1394*J1394</f>
        <v>114430.27924528302</v>
      </c>
      <c r="L1394" s="365" t="s">
        <v>732</v>
      </c>
      <c r="M1394" s="54"/>
      <c r="N1394" s="54"/>
      <c r="O1394" s="336"/>
      <c r="P1394" s="334"/>
      <c r="Q1394" s="335"/>
      <c r="R1394" s="336"/>
      <c r="U1394" s="337"/>
    </row>
    <row r="1395" spans="1:21" ht="30" customHeight="1" x14ac:dyDescent="0.25">
      <c r="A1395" s="365" t="s">
        <v>684</v>
      </c>
      <c r="B1395" s="1209" t="s">
        <v>995</v>
      </c>
      <c r="C1395" s="1210"/>
      <c r="D1395" s="1211"/>
      <c r="E1395" s="255">
        <f>+Q924</f>
        <v>9.6300000000000008</v>
      </c>
      <c r="F1395" s="661" t="s">
        <v>205</v>
      </c>
      <c r="G1395" s="753">
        <f>4*144</f>
        <v>576</v>
      </c>
      <c r="H1395" s="695" t="s">
        <v>737</v>
      </c>
      <c r="I1395" s="706">
        <f>+S924</f>
        <v>1.23</v>
      </c>
      <c r="J1395" s="706">
        <f>+T924</f>
        <v>1</v>
      </c>
      <c r="K1395" s="247">
        <f>+E1395*G1395*I1395*J1395</f>
        <v>6822.6624000000002</v>
      </c>
      <c r="L1395" s="365" t="s">
        <v>732</v>
      </c>
      <c r="M1395" s="54"/>
      <c r="N1395" s="54"/>
      <c r="O1395" s="336"/>
      <c r="P1395" s="334"/>
      <c r="Q1395" s="335"/>
      <c r="R1395" s="336"/>
      <c r="U1395" s="337"/>
    </row>
    <row r="1396" spans="1:21" ht="30" customHeight="1" x14ac:dyDescent="0.25">
      <c r="A1396" s="365" t="s">
        <v>684</v>
      </c>
      <c r="B1396" s="1209" t="s">
        <v>996</v>
      </c>
      <c r="C1396" s="1210"/>
      <c r="D1396" s="1211"/>
      <c r="E1396" s="255">
        <f>+Q925</f>
        <v>11.77</v>
      </c>
      <c r="F1396" s="365" t="s">
        <v>205</v>
      </c>
      <c r="G1396" s="753">
        <v>2152.8000000000002</v>
      </c>
      <c r="H1396" s="695" t="s">
        <v>737</v>
      </c>
      <c r="I1396" s="706">
        <f>+S925</f>
        <v>1.23</v>
      </c>
      <c r="J1396" s="706">
        <f>+T925</f>
        <v>1</v>
      </c>
      <c r="K1396" s="247">
        <f>+E1396*G1396*I1396*J1396</f>
        <v>31166.300880000003</v>
      </c>
      <c r="L1396" s="365" t="s">
        <v>732</v>
      </c>
      <c r="M1396" s="54"/>
      <c r="N1396" s="54"/>
      <c r="O1396" s="336"/>
      <c r="P1396" s="334"/>
      <c r="Q1396" s="335"/>
      <c r="R1396" s="336"/>
      <c r="U1396" s="337"/>
    </row>
    <row r="1397" spans="1:21" ht="30" customHeight="1" x14ac:dyDescent="0.25">
      <c r="A1397" s="1172" t="s">
        <v>745</v>
      </c>
      <c r="B1397" s="1173"/>
      <c r="C1397" s="1173"/>
      <c r="D1397" s="1174"/>
      <c r="E1397" s="247"/>
      <c r="F1397" s="365"/>
      <c r="G1397" s="366"/>
      <c r="H1397" s="662"/>
      <c r="I1397" s="365"/>
      <c r="J1397" s="365" t="s">
        <v>408</v>
      </c>
      <c r="K1397" s="247">
        <f>SUM(K1382:K1394)</f>
        <v>377837.84946271998</v>
      </c>
      <c r="L1397" s="365" t="s">
        <v>732</v>
      </c>
      <c r="M1397" s="54"/>
      <c r="N1397" s="54"/>
      <c r="O1397" s="336"/>
      <c r="P1397" s="334"/>
      <c r="Q1397" s="335"/>
      <c r="R1397" s="336"/>
      <c r="U1397" s="337"/>
    </row>
    <row r="1398" spans="1:21" ht="30" customHeight="1" thickBot="1" x14ac:dyDescent="0.3">
      <c r="A1398" s="1336"/>
      <c r="B1398" s="1337"/>
      <c r="C1398" s="1337"/>
      <c r="D1398" s="1338"/>
      <c r="E1398" s="366"/>
      <c r="F1398" s="366"/>
      <c r="G1398" s="580" t="s">
        <v>306</v>
      </c>
      <c r="H1398" s="366"/>
      <c r="I1398" s="366"/>
      <c r="J1398" s="521">
        <f>VLOOKUP(B1379,'Mil Cost Premiums for PUCs'!$A$4:$R$277,18,FALSE)</f>
        <v>1.0485669999999998</v>
      </c>
      <c r="K1398" s="246">
        <f>+K1397*J1398</f>
        <v>396188.30029757583</v>
      </c>
      <c r="L1398" s="365" t="s">
        <v>732</v>
      </c>
      <c r="M1398" s="54"/>
      <c r="N1398" s="54"/>
      <c r="O1398" s="336"/>
      <c r="P1398" s="334"/>
      <c r="Q1398" s="335"/>
      <c r="R1398" s="336"/>
      <c r="U1398" s="337"/>
    </row>
    <row r="1399" spans="1:21" ht="30" customHeight="1" thickBot="1" x14ac:dyDescent="0.3">
      <c r="A1399" s="1180"/>
      <c r="B1399" s="1181"/>
      <c r="C1399" s="1181"/>
      <c r="D1399" s="1181"/>
      <c r="E1399" s="1181"/>
      <c r="F1399" s="1181"/>
      <c r="G1399" s="1181"/>
      <c r="H1399" s="1181"/>
      <c r="I1399" s="1181"/>
      <c r="J1399" s="1181"/>
      <c r="K1399" s="1181"/>
      <c r="L1399" s="1182"/>
      <c r="M1399" s="54"/>
      <c r="N1399" s="54"/>
      <c r="O1399" s="336"/>
      <c r="P1399" s="334"/>
      <c r="Q1399" s="335"/>
      <c r="R1399" s="336"/>
      <c r="U1399" s="337"/>
    </row>
    <row r="1400" spans="1:21" ht="60" customHeight="1" x14ac:dyDescent="0.25">
      <c r="A1400" s="327" t="s">
        <v>5</v>
      </c>
      <c r="B1400" s="328">
        <v>1783</v>
      </c>
      <c r="C1400" s="1251" t="s">
        <v>997</v>
      </c>
      <c r="D1400" s="1252"/>
      <c r="E1400" s="331" t="s">
        <v>8</v>
      </c>
      <c r="F1400" s="341" t="s">
        <v>732</v>
      </c>
      <c r="G1400" s="346" t="s">
        <v>998</v>
      </c>
      <c r="H1400" s="711">
        <v>1</v>
      </c>
      <c r="I1400" s="331" t="s">
        <v>10</v>
      </c>
      <c r="J1400" s="1220" t="s">
        <v>807</v>
      </c>
      <c r="K1400" s="1220"/>
      <c r="L1400" s="1221"/>
      <c r="M1400" s="54"/>
      <c r="N1400" s="54"/>
      <c r="O1400" s="336"/>
      <c r="P1400" s="334"/>
      <c r="Q1400" s="335"/>
      <c r="R1400" s="336"/>
      <c r="U1400" s="337"/>
    </row>
    <row r="1401" spans="1:21" ht="30" customHeight="1" x14ac:dyDescent="0.25">
      <c r="A1401" s="356" t="s">
        <v>735</v>
      </c>
      <c r="B1401" s="1222" t="s">
        <v>326</v>
      </c>
      <c r="C1401" s="1235"/>
      <c r="D1401" s="1223"/>
      <c r="E1401" s="577" t="s">
        <v>116</v>
      </c>
      <c r="F1401" s="577" t="s">
        <v>117</v>
      </c>
      <c r="G1401" s="1194" t="s">
        <v>118</v>
      </c>
      <c r="H1401" s="1195"/>
      <c r="I1401" s="356" t="s">
        <v>296</v>
      </c>
      <c r="J1401" s="633" t="s">
        <v>303</v>
      </c>
      <c r="K1401" s="1236" t="s">
        <v>285</v>
      </c>
      <c r="L1401" s="1237"/>
      <c r="M1401" s="54"/>
      <c r="N1401" s="54"/>
      <c r="O1401" s="336"/>
      <c r="P1401" s="334"/>
      <c r="Q1401" s="335"/>
      <c r="R1401" s="336"/>
      <c r="U1401" s="337"/>
    </row>
    <row r="1402" spans="1:21" ht="30" customHeight="1" x14ac:dyDescent="0.25">
      <c r="A1402" s="365" t="s">
        <v>684</v>
      </c>
      <c r="B1402" s="1209" t="s">
        <v>999</v>
      </c>
      <c r="C1402" s="1210"/>
      <c r="D1402" s="1211"/>
      <c r="E1402" s="255">
        <f>+Q924</f>
        <v>9.6300000000000008</v>
      </c>
      <c r="F1402" s="661" t="s">
        <v>205</v>
      </c>
      <c r="G1402" s="753">
        <v>2896</v>
      </c>
      <c r="H1402" s="695" t="s">
        <v>737</v>
      </c>
      <c r="I1402" s="365">
        <f>+S924</f>
        <v>1.23</v>
      </c>
      <c r="J1402" s="706">
        <f>+T924</f>
        <v>1</v>
      </c>
      <c r="K1402" s="247">
        <f>+E1402*G1402*I1402*J1402</f>
        <v>34302.830400000006</v>
      </c>
      <c r="L1402" s="365" t="s">
        <v>732</v>
      </c>
      <c r="M1402" s="54"/>
      <c r="N1402" s="54"/>
      <c r="O1402" s="336"/>
      <c r="P1402" s="334"/>
      <c r="Q1402" s="335"/>
      <c r="R1402" s="336"/>
      <c r="U1402" s="337"/>
    </row>
    <row r="1403" spans="1:21" ht="30" customHeight="1" x14ac:dyDescent="0.25">
      <c r="A1403" s="365" t="s">
        <v>684</v>
      </c>
      <c r="B1403" s="1209" t="s">
        <v>1000</v>
      </c>
      <c r="C1403" s="1210"/>
      <c r="D1403" s="1211"/>
      <c r="E1403" s="256">
        <f>+Q925</f>
        <v>11.77</v>
      </c>
      <c r="F1403" s="365" t="s">
        <v>205</v>
      </c>
      <c r="G1403" s="753">
        <f>100*3*10.7639</f>
        <v>3229.17</v>
      </c>
      <c r="H1403" s="695" t="s">
        <v>737</v>
      </c>
      <c r="I1403" s="365">
        <f>+S925</f>
        <v>1.23</v>
      </c>
      <c r="J1403" s="706">
        <f>+T925</f>
        <v>1</v>
      </c>
      <c r="K1403" s="247">
        <f>+E1403*G1403*I1403*J1403</f>
        <v>46749.017007000002</v>
      </c>
      <c r="L1403" s="365" t="s">
        <v>732</v>
      </c>
      <c r="M1403" s="54"/>
      <c r="N1403" s="54"/>
      <c r="O1403" s="336"/>
      <c r="P1403" s="334"/>
      <c r="Q1403" s="335"/>
      <c r="R1403" s="336"/>
      <c r="U1403" s="337"/>
    </row>
    <row r="1404" spans="1:21" ht="30" customHeight="1" x14ac:dyDescent="0.25">
      <c r="A1404" s="365" t="s">
        <v>684</v>
      </c>
      <c r="B1404" s="1209" t="s">
        <v>1001</v>
      </c>
      <c r="C1404" s="1210"/>
      <c r="D1404" s="1211"/>
      <c r="E1404" s="256">
        <f>+Q925</f>
        <v>11.77</v>
      </c>
      <c r="F1404" s="365" t="s">
        <v>205</v>
      </c>
      <c r="G1404" s="753">
        <v>2153</v>
      </c>
      <c r="H1404" s="695" t="s">
        <v>737</v>
      </c>
      <c r="I1404" s="365">
        <f>+S925</f>
        <v>1.23</v>
      </c>
      <c r="J1404" s="706">
        <f>+T925</f>
        <v>1</v>
      </c>
      <c r="K1404" s="247">
        <f>+E1404*G1404*I1404*J1404</f>
        <v>31169.196299999996</v>
      </c>
      <c r="L1404" s="365" t="s">
        <v>732</v>
      </c>
      <c r="M1404" s="54"/>
      <c r="N1404" s="54"/>
      <c r="O1404" s="336"/>
      <c r="P1404" s="334"/>
      <c r="Q1404" s="335"/>
      <c r="R1404" s="336"/>
      <c r="U1404" s="337"/>
    </row>
    <row r="1405" spans="1:21" ht="30" customHeight="1" x14ac:dyDescent="0.25">
      <c r="A1405" s="365">
        <v>93410</v>
      </c>
      <c r="B1405" s="1209" t="s">
        <v>1002</v>
      </c>
      <c r="C1405" s="1210"/>
      <c r="D1405" s="1211"/>
      <c r="E1405" s="256">
        <f>+Q942</f>
        <v>8.6999999999999993</v>
      </c>
      <c r="F1405" s="661" t="s">
        <v>25</v>
      </c>
      <c r="G1405" s="753">
        <v>2040</v>
      </c>
      <c r="H1405" s="695" t="s">
        <v>743</v>
      </c>
      <c r="I1405" s="782">
        <f>+'2022 MILCON Inflation Table'!F21</f>
        <v>0.94047825952836139</v>
      </c>
      <c r="J1405" s="365"/>
      <c r="K1405" s="247">
        <f>+E1405*G1405*I1405</f>
        <v>16691.608150109358</v>
      </c>
      <c r="L1405" s="365" t="s">
        <v>732</v>
      </c>
      <c r="M1405" s="54"/>
      <c r="N1405" s="54"/>
      <c r="O1405" s="336"/>
      <c r="P1405" s="334"/>
      <c r="Q1405" s="335"/>
      <c r="R1405" s="336"/>
      <c r="U1405" s="337"/>
    </row>
    <row r="1406" spans="1:21" ht="30" customHeight="1" x14ac:dyDescent="0.25">
      <c r="A1406" s="1172" t="s">
        <v>745</v>
      </c>
      <c r="B1406" s="1173"/>
      <c r="C1406" s="1173"/>
      <c r="D1406" s="1174"/>
      <c r="E1406" s="247"/>
      <c r="F1406" s="365"/>
      <c r="G1406" s="366"/>
      <c r="H1406" s="662"/>
      <c r="I1406" s="365"/>
      <c r="J1406" s="365" t="s">
        <v>408</v>
      </c>
      <c r="K1406" s="247">
        <f>SUM(K1402:K1403)</f>
        <v>81051.847407000008</v>
      </c>
      <c r="L1406" s="365" t="s">
        <v>732</v>
      </c>
      <c r="M1406" s="54"/>
      <c r="N1406" s="54"/>
      <c r="O1406" s="336"/>
      <c r="P1406" s="334"/>
      <c r="Q1406" s="335"/>
      <c r="R1406" s="336"/>
      <c r="U1406" s="337"/>
    </row>
    <row r="1407" spans="1:21" ht="30" customHeight="1" thickBot="1" x14ac:dyDescent="0.3">
      <c r="A1407" s="1336"/>
      <c r="B1407" s="1337"/>
      <c r="C1407" s="1337"/>
      <c r="D1407" s="1338"/>
      <c r="E1407" s="366"/>
      <c r="F1407" s="366"/>
      <c r="G1407" s="580" t="s">
        <v>306</v>
      </c>
      <c r="H1407" s="366"/>
      <c r="I1407" s="366"/>
      <c r="J1407" s="521">
        <f>VLOOKUP(B1400,'Mil Cost Premiums for PUCs'!$A$4:$R$277,18,FALSE)</f>
        <v>1.0485669999999998</v>
      </c>
      <c r="K1407" s="246">
        <f>+K1406*J1407</f>
        <v>84988.292480015763</v>
      </c>
      <c r="L1407" s="365" t="s">
        <v>732</v>
      </c>
      <c r="M1407" s="54"/>
      <c r="N1407" s="54"/>
      <c r="O1407" s="336"/>
      <c r="P1407" s="334"/>
      <c r="Q1407" s="335"/>
      <c r="R1407" s="336"/>
      <c r="U1407" s="337"/>
    </row>
    <row r="1408" spans="1:21" ht="30" customHeight="1" thickBot="1" x14ac:dyDescent="0.3">
      <c r="A1408" s="1180"/>
      <c r="B1408" s="1181"/>
      <c r="C1408" s="1181"/>
      <c r="D1408" s="1181"/>
      <c r="E1408" s="1181"/>
      <c r="F1408" s="1181"/>
      <c r="G1408" s="1181"/>
      <c r="H1408" s="1181"/>
      <c r="I1408" s="1181"/>
      <c r="J1408" s="1181"/>
      <c r="K1408" s="1181"/>
      <c r="L1408" s="1182"/>
      <c r="M1408" s="54"/>
      <c r="N1408" s="54"/>
      <c r="O1408" s="336"/>
      <c r="P1408" s="334"/>
      <c r="Q1408" s="335"/>
      <c r="R1408" s="336"/>
      <c r="U1408" s="337"/>
    </row>
    <row r="1409" spans="1:21" ht="60" customHeight="1" x14ac:dyDescent="0.25">
      <c r="A1409" s="327" t="s">
        <v>5</v>
      </c>
      <c r="B1409" s="328">
        <v>1790</v>
      </c>
      <c r="C1409" s="1251" t="s">
        <v>1003</v>
      </c>
      <c r="D1409" s="1252"/>
      <c r="E1409" s="331" t="s">
        <v>8</v>
      </c>
      <c r="F1409" s="332" t="s">
        <v>76</v>
      </c>
      <c r="G1409" s="346" t="s">
        <v>989</v>
      </c>
      <c r="H1409" s="711">
        <v>1</v>
      </c>
      <c r="I1409" s="331" t="s">
        <v>10</v>
      </c>
      <c r="J1409" s="1220" t="s">
        <v>807</v>
      </c>
      <c r="K1409" s="1220"/>
      <c r="L1409" s="1221"/>
      <c r="M1409" s="54"/>
      <c r="N1409" s="54"/>
      <c r="O1409" s="336"/>
      <c r="P1409" s="334"/>
      <c r="Q1409" s="335"/>
      <c r="R1409" s="336"/>
      <c r="U1409" s="337"/>
    </row>
    <row r="1410" spans="1:21" ht="30" customHeight="1" x14ac:dyDescent="0.25">
      <c r="A1410" s="356" t="s">
        <v>735</v>
      </c>
      <c r="B1410" s="1222" t="s">
        <v>326</v>
      </c>
      <c r="C1410" s="1235"/>
      <c r="D1410" s="1223"/>
      <c r="E1410" s="577" t="s">
        <v>116</v>
      </c>
      <c r="F1410" s="577" t="s">
        <v>117</v>
      </c>
      <c r="G1410" s="1194" t="s">
        <v>118</v>
      </c>
      <c r="H1410" s="1195"/>
      <c r="I1410" s="356" t="s">
        <v>296</v>
      </c>
      <c r="J1410" s="633" t="s">
        <v>303</v>
      </c>
      <c r="K1410" s="1236" t="s">
        <v>285</v>
      </c>
      <c r="L1410" s="1237"/>
      <c r="M1410" s="54"/>
      <c r="N1410" s="54"/>
      <c r="O1410" s="575"/>
      <c r="P1410" s="334"/>
      <c r="Q1410" s="335"/>
      <c r="R1410" s="336"/>
      <c r="U1410" s="337"/>
    </row>
    <row r="1411" spans="1:21" ht="30" customHeight="1" x14ac:dyDescent="0.25">
      <c r="A1411" s="356"/>
      <c r="B1411" s="1209" t="s">
        <v>1004</v>
      </c>
      <c r="C1411" s="1323"/>
      <c r="D1411" s="1324"/>
      <c r="E1411" s="577"/>
      <c r="F1411" s="577"/>
      <c r="G1411" s="750"/>
      <c r="H1411" s="751"/>
      <c r="I1411" s="356"/>
      <c r="J1411" s="633"/>
      <c r="K1411" s="581"/>
      <c r="L1411" s="382"/>
      <c r="M1411" s="54"/>
      <c r="N1411" s="54"/>
      <c r="O1411" s="336"/>
      <c r="P1411" s="334"/>
      <c r="Q1411" s="335"/>
      <c r="R1411" s="336"/>
      <c r="U1411" s="337"/>
    </row>
    <row r="1412" spans="1:21" ht="30" customHeight="1" x14ac:dyDescent="0.25">
      <c r="A1412" s="365" t="s">
        <v>684</v>
      </c>
      <c r="B1412" s="1209" t="s">
        <v>1005</v>
      </c>
      <c r="C1412" s="1210"/>
      <c r="D1412" s="1211"/>
      <c r="E1412" s="256">
        <f>+Q924</f>
        <v>9.6300000000000008</v>
      </c>
      <c r="F1412" s="365" t="s">
        <v>205</v>
      </c>
      <c r="G1412" s="753">
        <f>6*62</f>
        <v>372</v>
      </c>
      <c r="H1412" s="695" t="s">
        <v>859</v>
      </c>
      <c r="I1412" s="706">
        <f>+S924</f>
        <v>1.23</v>
      </c>
      <c r="J1412" s="706">
        <f>+T924</f>
        <v>1</v>
      </c>
      <c r="K1412" s="247">
        <f t="shared" ref="K1412:K1419" si="29">+E1412*G1412*I1412*J1412</f>
        <v>4406.3028000000004</v>
      </c>
      <c r="L1412" s="365" t="s">
        <v>76</v>
      </c>
      <c r="M1412" s="54"/>
      <c r="N1412" s="54"/>
      <c r="O1412" s="336"/>
      <c r="P1412" s="334"/>
      <c r="Q1412" s="335"/>
      <c r="R1412" s="336"/>
      <c r="U1412" s="337"/>
    </row>
    <row r="1413" spans="1:21" ht="30" customHeight="1" x14ac:dyDescent="0.25">
      <c r="A1413" s="365" t="s">
        <v>301</v>
      </c>
      <c r="B1413" s="1209" t="s">
        <v>691</v>
      </c>
      <c r="C1413" s="1210"/>
      <c r="D1413" s="1211"/>
      <c r="E1413" s="256">
        <f>+Q928</f>
        <v>504.5</v>
      </c>
      <c r="F1413" s="661" t="s">
        <v>76</v>
      </c>
      <c r="G1413" s="753">
        <v>6</v>
      </c>
      <c r="H1413" s="695" t="s">
        <v>860</v>
      </c>
      <c r="I1413" s="706">
        <f>+S928</f>
        <v>1.1000000000000001</v>
      </c>
      <c r="J1413" s="706">
        <f>+T928</f>
        <v>1</v>
      </c>
      <c r="K1413" s="247">
        <f t="shared" si="29"/>
        <v>3329.7000000000003</v>
      </c>
      <c r="L1413" s="365" t="s">
        <v>76</v>
      </c>
      <c r="M1413" s="54"/>
      <c r="N1413" s="54"/>
      <c r="O1413" s="336"/>
      <c r="P1413" s="334"/>
      <c r="Q1413" s="335"/>
      <c r="R1413" s="336"/>
      <c r="U1413" s="337"/>
    </row>
    <row r="1414" spans="1:21" ht="30" customHeight="1" x14ac:dyDescent="0.25">
      <c r="A1414" s="365" t="s">
        <v>301</v>
      </c>
      <c r="B1414" s="1209" t="s">
        <v>696</v>
      </c>
      <c r="C1414" s="1210"/>
      <c r="D1414" s="1211"/>
      <c r="E1414" s="256">
        <f>+Q930</f>
        <v>362.5</v>
      </c>
      <c r="F1414" s="661" t="s">
        <v>76</v>
      </c>
      <c r="G1414" s="753">
        <v>6</v>
      </c>
      <c r="H1414" s="695" t="s">
        <v>860</v>
      </c>
      <c r="I1414" s="706">
        <f>+S930</f>
        <v>1.1000000000000001</v>
      </c>
      <c r="J1414" s="706">
        <f>+T930</f>
        <v>1</v>
      </c>
      <c r="K1414" s="247">
        <f t="shared" si="29"/>
        <v>2392.5</v>
      </c>
      <c r="L1414" s="365" t="s">
        <v>76</v>
      </c>
      <c r="M1414" s="54"/>
      <c r="N1414" s="54"/>
      <c r="O1414" s="336"/>
      <c r="P1414" s="334"/>
      <c r="Q1414" s="335"/>
      <c r="R1414" s="336"/>
      <c r="U1414" s="337"/>
    </row>
    <row r="1415" spans="1:21" ht="30" customHeight="1" x14ac:dyDescent="0.25">
      <c r="A1415" s="365" t="s">
        <v>684</v>
      </c>
      <c r="B1415" s="1209" t="s">
        <v>1006</v>
      </c>
      <c r="C1415" s="1210"/>
      <c r="D1415" s="1211"/>
      <c r="E1415" s="256">
        <f>+Q925</f>
        <v>11.77</v>
      </c>
      <c r="F1415" s="365" t="s">
        <v>205</v>
      </c>
      <c r="G1415" s="753">
        <f>2*468</f>
        <v>936</v>
      </c>
      <c r="H1415" s="695" t="s">
        <v>859</v>
      </c>
      <c r="I1415" s="706">
        <f>+S925</f>
        <v>1.23</v>
      </c>
      <c r="J1415" s="706">
        <f>+T925</f>
        <v>1</v>
      </c>
      <c r="K1415" s="247">
        <f t="shared" si="29"/>
        <v>13550.5656</v>
      </c>
      <c r="L1415" s="365" t="s">
        <v>76</v>
      </c>
      <c r="M1415" s="54"/>
      <c r="N1415" s="54"/>
      <c r="O1415" s="336"/>
      <c r="P1415" s="334"/>
      <c r="Q1415" s="335"/>
      <c r="R1415" s="336"/>
      <c r="U1415" s="337"/>
    </row>
    <row r="1416" spans="1:21" ht="30" customHeight="1" x14ac:dyDescent="0.25">
      <c r="A1416" s="365" t="s">
        <v>301</v>
      </c>
      <c r="B1416" s="1209" t="s">
        <v>694</v>
      </c>
      <c r="C1416" s="1210"/>
      <c r="D1416" s="1211"/>
      <c r="E1416" s="256">
        <f>+Q929</f>
        <v>920</v>
      </c>
      <c r="F1416" s="661" t="s">
        <v>76</v>
      </c>
      <c r="G1416" s="753">
        <v>2</v>
      </c>
      <c r="H1416" s="695" t="s">
        <v>860</v>
      </c>
      <c r="I1416" s="706">
        <f>+S929</f>
        <v>1.1000000000000001</v>
      </c>
      <c r="J1416" s="706">
        <f>+T929</f>
        <v>1</v>
      </c>
      <c r="K1416" s="247">
        <f t="shared" si="29"/>
        <v>2024.0000000000002</v>
      </c>
      <c r="L1416" s="365" t="s">
        <v>76</v>
      </c>
      <c r="M1416" s="54"/>
      <c r="N1416" s="54"/>
      <c r="O1416" s="336"/>
      <c r="P1416" s="334"/>
      <c r="Q1416" s="335"/>
      <c r="R1416" s="336"/>
      <c r="U1416" s="337"/>
    </row>
    <row r="1417" spans="1:21" ht="30" customHeight="1" x14ac:dyDescent="0.25">
      <c r="A1417" s="365" t="s">
        <v>301</v>
      </c>
      <c r="B1417" s="1209" t="s">
        <v>796</v>
      </c>
      <c r="C1417" s="1210"/>
      <c r="D1417" s="1211"/>
      <c r="E1417" s="256">
        <f>+Q931</f>
        <v>1125</v>
      </c>
      <c r="F1417" s="661" t="s">
        <v>76</v>
      </c>
      <c r="G1417" s="753">
        <v>2</v>
      </c>
      <c r="H1417" s="695" t="s">
        <v>860</v>
      </c>
      <c r="I1417" s="706">
        <f t="shared" ref="I1417:J1419" si="30">+S931</f>
        <v>1.1000000000000001</v>
      </c>
      <c r="J1417" s="706">
        <f t="shared" si="30"/>
        <v>1</v>
      </c>
      <c r="K1417" s="247">
        <f t="shared" si="29"/>
        <v>2475</v>
      </c>
      <c r="L1417" s="365" t="s">
        <v>76</v>
      </c>
      <c r="M1417" s="54"/>
      <c r="N1417" s="54"/>
      <c r="O1417" s="336"/>
      <c r="P1417" s="334"/>
      <c r="Q1417" s="335"/>
      <c r="R1417" s="336"/>
      <c r="U1417" s="337"/>
    </row>
    <row r="1418" spans="1:21" ht="30" customHeight="1" x14ac:dyDescent="0.25">
      <c r="A1418" s="365" t="s">
        <v>698</v>
      </c>
      <c r="B1418" s="1281" t="s">
        <v>993</v>
      </c>
      <c r="C1418" s="1281"/>
      <c r="D1418" s="1281"/>
      <c r="E1418" s="256">
        <f>+Q932</f>
        <v>145.58000000000001</v>
      </c>
      <c r="F1418" s="661" t="s">
        <v>76</v>
      </c>
      <c r="G1418" s="753">
        <f>6*4+2*5</f>
        <v>34</v>
      </c>
      <c r="H1418" s="695" t="s">
        <v>860</v>
      </c>
      <c r="I1418" s="706">
        <f t="shared" si="30"/>
        <v>1.1000000000000001</v>
      </c>
      <c r="J1418" s="706">
        <f t="shared" si="30"/>
        <v>1</v>
      </c>
      <c r="K1418" s="247">
        <f t="shared" si="29"/>
        <v>5444.6920000000009</v>
      </c>
      <c r="L1418" s="365" t="s">
        <v>76</v>
      </c>
      <c r="M1418" s="54"/>
      <c r="N1418" s="54"/>
      <c r="O1418" s="336"/>
      <c r="P1418" s="334"/>
      <c r="Q1418" s="335"/>
      <c r="R1418" s="336"/>
      <c r="U1418" s="337"/>
    </row>
    <row r="1419" spans="1:21" ht="30" customHeight="1" x14ac:dyDescent="0.25">
      <c r="A1419" s="365" t="s">
        <v>702</v>
      </c>
      <c r="B1419" s="1209" t="s">
        <v>703</v>
      </c>
      <c r="C1419" s="1210"/>
      <c r="D1419" s="1211"/>
      <c r="E1419" s="256">
        <f>+Q933</f>
        <v>19.62</v>
      </c>
      <c r="F1419" s="661" t="s">
        <v>40</v>
      </c>
      <c r="G1419" s="753">
        <v>905</v>
      </c>
      <c r="H1419" s="695" t="s">
        <v>863</v>
      </c>
      <c r="I1419" s="706">
        <f t="shared" si="30"/>
        <v>1.1000000000000001</v>
      </c>
      <c r="J1419" s="706">
        <f t="shared" si="30"/>
        <v>1</v>
      </c>
      <c r="K1419" s="247">
        <f t="shared" si="29"/>
        <v>19531.710000000003</v>
      </c>
      <c r="L1419" s="365" t="s">
        <v>76</v>
      </c>
      <c r="M1419" s="54"/>
      <c r="N1419" s="54"/>
      <c r="O1419" s="336"/>
      <c r="P1419" s="334"/>
      <c r="Q1419" s="335"/>
      <c r="R1419" s="336"/>
      <c r="U1419" s="337"/>
    </row>
    <row r="1420" spans="1:21" ht="30" customHeight="1" x14ac:dyDescent="0.25">
      <c r="A1420" s="365">
        <v>93410</v>
      </c>
      <c r="B1420" s="1209" t="s">
        <v>1007</v>
      </c>
      <c r="C1420" s="1210"/>
      <c r="D1420" s="1211"/>
      <c r="E1420" s="255">
        <f>+Q943</f>
        <v>1.2</v>
      </c>
      <c r="F1420" s="661" t="s">
        <v>9</v>
      </c>
      <c r="G1420" s="753">
        <v>1913</v>
      </c>
      <c r="H1420" s="695" t="s">
        <v>864</v>
      </c>
      <c r="I1420" s="758">
        <f>+'2022 MILCON Inflation Table'!F21</f>
        <v>0.94047825952836139</v>
      </c>
      <c r="J1420" s="365"/>
      <c r="K1420" s="247">
        <f>+E1420*G1420*I1420</f>
        <v>2158.9618925733062</v>
      </c>
      <c r="L1420" s="365" t="s">
        <v>76</v>
      </c>
      <c r="M1420" s="54"/>
      <c r="N1420" s="54"/>
      <c r="O1420" s="336"/>
      <c r="P1420" s="334"/>
      <c r="Q1420" s="335"/>
      <c r="R1420" s="336"/>
      <c r="U1420" s="337"/>
    </row>
    <row r="1421" spans="1:21" ht="30" customHeight="1" x14ac:dyDescent="0.25">
      <c r="A1421" s="365">
        <v>93410</v>
      </c>
      <c r="B1421" s="1209" t="s">
        <v>1008</v>
      </c>
      <c r="C1421" s="1210"/>
      <c r="D1421" s="1211"/>
      <c r="E1421" s="256">
        <f>+Q942</f>
        <v>8.6999999999999993</v>
      </c>
      <c r="F1421" s="661" t="s">
        <v>25</v>
      </c>
      <c r="G1421" s="753">
        <v>1046</v>
      </c>
      <c r="H1421" s="695" t="s">
        <v>867</v>
      </c>
      <c r="I1421" s="758">
        <f>+I1420</f>
        <v>0.94047825952836139</v>
      </c>
      <c r="J1421" s="365"/>
      <c r="K1421" s="247">
        <f>+E1421*G1421*I1421</f>
        <v>8558.5402573599931</v>
      </c>
      <c r="L1421" s="365" t="s">
        <v>76</v>
      </c>
      <c r="M1421" s="54"/>
      <c r="N1421" s="54"/>
      <c r="O1421" s="336"/>
      <c r="P1421" s="334"/>
      <c r="Q1421" s="335"/>
      <c r="R1421" s="336"/>
      <c r="U1421" s="337"/>
    </row>
    <row r="1422" spans="1:21" ht="30" customHeight="1" x14ac:dyDescent="0.25">
      <c r="A1422" s="365">
        <v>93210</v>
      </c>
      <c r="B1422" s="1209" t="s">
        <v>1009</v>
      </c>
      <c r="C1422" s="1210"/>
      <c r="D1422" s="1211"/>
      <c r="E1422" s="256">
        <f>+Q944</f>
        <v>48.6</v>
      </c>
      <c r="F1422" s="661" t="s">
        <v>25</v>
      </c>
      <c r="G1422" s="753">
        <v>628</v>
      </c>
      <c r="H1422" s="695" t="s">
        <v>867</v>
      </c>
      <c r="I1422" s="758">
        <f>+I1421</f>
        <v>0.94047825952836139</v>
      </c>
      <c r="J1422" s="365"/>
      <c r="K1422" s="247">
        <f>+E1422*G1422*I1422</f>
        <v>28704.148863413211</v>
      </c>
      <c r="L1422" s="365" t="s">
        <v>76</v>
      </c>
      <c r="M1422" s="54"/>
      <c r="N1422" s="54"/>
      <c r="O1422" s="336"/>
      <c r="P1422" s="334"/>
      <c r="Q1422" s="335"/>
      <c r="R1422" s="336"/>
      <c r="U1422" s="337"/>
    </row>
    <row r="1423" spans="1:21" ht="30" customHeight="1" x14ac:dyDescent="0.25">
      <c r="A1423" s="365" t="s">
        <v>680</v>
      </c>
      <c r="B1423" s="1209" t="s">
        <v>1010</v>
      </c>
      <c r="C1423" s="1210"/>
      <c r="D1423" s="1211"/>
      <c r="E1423" s="255">
        <f>+Q922</f>
        <v>21.15</v>
      </c>
      <c r="F1423" s="661" t="s">
        <v>205</v>
      </c>
      <c r="G1423" s="753">
        <v>800</v>
      </c>
      <c r="H1423" s="695" t="s">
        <v>859</v>
      </c>
      <c r="I1423" s="706">
        <f>+S922</f>
        <v>1.1599999999999999</v>
      </c>
      <c r="J1423" s="706">
        <f>+T922</f>
        <v>0.97169811320754718</v>
      </c>
      <c r="K1423" s="247">
        <f>+E1423*G1423*I1423*J1423</f>
        <v>19071.713207547167</v>
      </c>
      <c r="L1423" s="365" t="s">
        <v>76</v>
      </c>
      <c r="M1423" s="54"/>
      <c r="N1423" s="54"/>
      <c r="O1423" s="336"/>
      <c r="P1423" s="334"/>
      <c r="Q1423" s="335"/>
      <c r="R1423" s="336"/>
      <c r="U1423" s="337"/>
    </row>
    <row r="1424" spans="1:21" ht="30" customHeight="1" x14ac:dyDescent="0.25">
      <c r="A1424" s="365" t="s">
        <v>684</v>
      </c>
      <c r="B1424" s="1209" t="s">
        <v>1011</v>
      </c>
      <c r="C1424" s="1210"/>
      <c r="D1424" s="1211"/>
      <c r="E1424" s="255">
        <f>+Q924</f>
        <v>9.6300000000000008</v>
      </c>
      <c r="F1424" s="661" t="s">
        <v>205</v>
      </c>
      <c r="G1424" s="753">
        <f>2*144</f>
        <v>288</v>
      </c>
      <c r="H1424" s="695" t="s">
        <v>859</v>
      </c>
      <c r="I1424" s="365">
        <f>+S924</f>
        <v>1.23</v>
      </c>
      <c r="J1424" s="706">
        <f>+T924</f>
        <v>1</v>
      </c>
      <c r="K1424" s="247">
        <f>+E1424*G1424*I1424*J1424</f>
        <v>3411.3312000000001</v>
      </c>
      <c r="L1424" s="365" t="s">
        <v>76</v>
      </c>
      <c r="M1424" s="54"/>
      <c r="N1424" s="54"/>
      <c r="O1424" s="336"/>
      <c r="P1424" s="334"/>
      <c r="Q1424" s="335"/>
      <c r="R1424" s="336"/>
      <c r="U1424" s="337"/>
    </row>
    <row r="1425" spans="1:21" ht="30" customHeight="1" x14ac:dyDescent="0.25">
      <c r="A1425" s="365"/>
      <c r="B1425" s="1311" t="s">
        <v>1012</v>
      </c>
      <c r="C1425" s="1312"/>
      <c r="D1425" s="1313"/>
      <c r="E1425" s="247"/>
      <c r="F1425" s="365"/>
      <c r="G1425" s="366"/>
      <c r="H1425" s="662"/>
      <c r="I1425" s="365"/>
      <c r="J1425" s="365" t="s">
        <v>408</v>
      </c>
      <c r="K1425" s="247">
        <f>SUM(K1412:K1424)</f>
        <v>115059.1658208937</v>
      </c>
      <c r="L1425" s="365" t="s">
        <v>76</v>
      </c>
      <c r="M1425" s="54"/>
      <c r="N1425" s="54"/>
      <c r="O1425" s="336"/>
      <c r="P1425" s="334"/>
      <c r="Q1425" s="335"/>
      <c r="R1425" s="336"/>
      <c r="S1425" s="337"/>
      <c r="U1425" s="337"/>
    </row>
    <row r="1426" spans="1:21" ht="30" customHeight="1" x14ac:dyDescent="0.25">
      <c r="A1426" s="1173" t="s">
        <v>745</v>
      </c>
      <c r="B1426" s="1173"/>
      <c r="C1426" s="1173"/>
      <c r="D1426" s="1173"/>
      <c r="E1426" s="796"/>
      <c r="F1426" s="371"/>
      <c r="G1426" s="791" t="s">
        <v>306</v>
      </c>
      <c r="H1426" s="371"/>
      <c r="I1426" s="371"/>
      <c r="J1426" s="792">
        <f>VLOOKUP(B1409,'Mil Cost Premiums for PUCs'!$A$4:$R$277,18,FALSE)</f>
        <v>1.0485669999999998</v>
      </c>
      <c r="K1426" s="137">
        <f>+K1425*J1426</f>
        <v>120647.24432731702</v>
      </c>
      <c r="L1426" s="369" t="s">
        <v>76</v>
      </c>
      <c r="M1426" s="54"/>
      <c r="N1426" s="54"/>
      <c r="O1426" s="336"/>
      <c r="P1426" s="334"/>
      <c r="Q1426" s="335"/>
      <c r="R1426" s="336"/>
      <c r="S1426" s="337"/>
    </row>
    <row r="1427" spans="1:21" ht="30" customHeight="1" thickBot="1" x14ac:dyDescent="0.3">
      <c r="A1427" s="1337"/>
      <c r="B1427" s="1337"/>
      <c r="C1427" s="1337"/>
      <c r="D1427" s="1337"/>
      <c r="E1427" s="1651"/>
      <c r="F1427" s="1651"/>
      <c r="G1427" s="1651"/>
      <c r="H1427" s="1651"/>
      <c r="I1427" s="1651"/>
      <c r="J1427" s="1651"/>
      <c r="K1427" s="1651"/>
      <c r="L1427" s="1651"/>
      <c r="M1427" s="54"/>
      <c r="N1427" s="54"/>
      <c r="O1427" s="336"/>
      <c r="P1427" s="334"/>
      <c r="Q1427" s="335"/>
      <c r="R1427" s="336"/>
      <c r="S1427" s="337"/>
    </row>
    <row r="1428" spans="1:21" ht="30" customHeight="1" thickBot="1" x14ac:dyDescent="0.3">
      <c r="A1428" s="1180"/>
      <c r="B1428" s="1181"/>
      <c r="C1428" s="1181"/>
      <c r="D1428" s="1181"/>
      <c r="E1428" s="1415"/>
      <c r="F1428" s="1415"/>
      <c r="G1428" s="1415"/>
      <c r="H1428" s="1415"/>
      <c r="I1428" s="1415"/>
      <c r="J1428" s="1415"/>
      <c r="K1428" s="1415"/>
      <c r="L1428" s="1538"/>
      <c r="M1428" s="54"/>
      <c r="N1428" s="54"/>
      <c r="O1428" s="336"/>
      <c r="P1428" s="334"/>
      <c r="Q1428" s="335"/>
      <c r="R1428" s="336"/>
      <c r="S1428" s="337"/>
    </row>
    <row r="1429" spans="1:21" ht="75" customHeight="1" x14ac:dyDescent="0.25">
      <c r="A1429" s="327" t="s">
        <v>5</v>
      </c>
      <c r="B1429" s="328">
        <v>1791</v>
      </c>
      <c r="C1429" s="1251" t="s">
        <v>1013</v>
      </c>
      <c r="D1429" s="1252"/>
      <c r="E1429" s="331" t="s">
        <v>8</v>
      </c>
      <c r="F1429" s="332" t="s">
        <v>76</v>
      </c>
      <c r="G1429" s="346" t="s">
        <v>1014</v>
      </c>
      <c r="H1429" s="711">
        <v>1</v>
      </c>
      <c r="I1429" s="331" t="s">
        <v>10</v>
      </c>
      <c r="J1429" s="1220" t="s">
        <v>807</v>
      </c>
      <c r="K1429" s="1220"/>
      <c r="L1429" s="1221"/>
      <c r="M1429" s="54"/>
      <c r="N1429" s="54"/>
      <c r="O1429" s="797"/>
      <c r="P1429" s="334"/>
      <c r="Q1429" s="335"/>
      <c r="R1429" s="336"/>
      <c r="S1429" s="337"/>
    </row>
    <row r="1430" spans="1:21" ht="30" customHeight="1" x14ac:dyDescent="0.25">
      <c r="A1430" s="356" t="s">
        <v>735</v>
      </c>
      <c r="B1430" s="1222" t="s">
        <v>326</v>
      </c>
      <c r="C1430" s="1235"/>
      <c r="D1430" s="1223"/>
      <c r="E1430" s="577" t="s">
        <v>116</v>
      </c>
      <c r="F1430" s="577" t="s">
        <v>117</v>
      </c>
      <c r="G1430" s="1194" t="s">
        <v>118</v>
      </c>
      <c r="H1430" s="1195"/>
      <c r="I1430" s="356" t="s">
        <v>296</v>
      </c>
      <c r="J1430" s="633" t="s">
        <v>303</v>
      </c>
      <c r="K1430" s="1236" t="s">
        <v>285</v>
      </c>
      <c r="L1430" s="1237"/>
      <c r="M1430" s="54"/>
      <c r="N1430" s="54"/>
      <c r="O1430" s="798"/>
      <c r="P1430" s="334"/>
      <c r="Q1430" s="335"/>
      <c r="R1430" s="336"/>
      <c r="S1430" s="337"/>
    </row>
    <row r="1431" spans="1:21" ht="30" customHeight="1" x14ac:dyDescent="0.25">
      <c r="A1431" s="356"/>
      <c r="B1431" s="1214" t="s">
        <v>1015</v>
      </c>
      <c r="C1431" s="1215"/>
      <c r="D1431" s="1216"/>
      <c r="E1431" s="577"/>
      <c r="F1431" s="577"/>
      <c r="G1431" s="750"/>
      <c r="H1431" s="751"/>
      <c r="I1431" s="398"/>
      <c r="J1431" s="398"/>
      <c r="K1431" s="577"/>
      <c r="L1431" s="577"/>
      <c r="M1431" s="54"/>
      <c r="N1431" s="54"/>
      <c r="O1431" s="336"/>
      <c r="P1431" s="334"/>
      <c r="Q1431" s="335"/>
      <c r="R1431" s="336"/>
      <c r="S1431" s="337"/>
    </row>
    <row r="1432" spans="1:21" ht="30" customHeight="1" x14ac:dyDescent="0.25">
      <c r="A1432" s="365" t="s">
        <v>684</v>
      </c>
      <c r="B1432" s="1209" t="s">
        <v>1016</v>
      </c>
      <c r="C1432" s="1210"/>
      <c r="D1432" s="1211"/>
      <c r="E1432" s="256">
        <f>+Q924</f>
        <v>9.6300000000000008</v>
      </c>
      <c r="F1432" s="365" t="s">
        <v>205</v>
      </c>
      <c r="G1432" s="753">
        <f>8*62</f>
        <v>496</v>
      </c>
      <c r="H1432" s="695" t="s">
        <v>859</v>
      </c>
      <c r="I1432" s="706">
        <f>+S924</f>
        <v>1.23</v>
      </c>
      <c r="J1432" s="706">
        <f>+T924</f>
        <v>1</v>
      </c>
      <c r="K1432" s="247">
        <f t="shared" ref="K1432:K1439" si="31">+E1432*G1432*I1432*J1432</f>
        <v>5875.0704000000005</v>
      </c>
      <c r="L1432" s="365" t="s">
        <v>76</v>
      </c>
      <c r="M1432" s="54"/>
      <c r="N1432" s="54"/>
      <c r="O1432" s="336"/>
      <c r="P1432" s="334"/>
      <c r="Q1432" s="335"/>
      <c r="R1432" s="336"/>
      <c r="S1432" s="337"/>
    </row>
    <row r="1433" spans="1:21" ht="30" customHeight="1" x14ac:dyDescent="0.25">
      <c r="A1433" s="365" t="s">
        <v>301</v>
      </c>
      <c r="B1433" s="1209" t="s">
        <v>691</v>
      </c>
      <c r="C1433" s="1210"/>
      <c r="D1433" s="1211"/>
      <c r="E1433" s="256">
        <f>+Q928</f>
        <v>504.5</v>
      </c>
      <c r="F1433" s="661" t="s">
        <v>76</v>
      </c>
      <c r="G1433" s="753">
        <v>8</v>
      </c>
      <c r="H1433" s="695" t="s">
        <v>860</v>
      </c>
      <c r="I1433" s="706">
        <f>+S928</f>
        <v>1.1000000000000001</v>
      </c>
      <c r="J1433" s="706">
        <f>+T928</f>
        <v>1</v>
      </c>
      <c r="K1433" s="247">
        <f t="shared" si="31"/>
        <v>4439.6000000000004</v>
      </c>
      <c r="L1433" s="365" t="s">
        <v>76</v>
      </c>
      <c r="M1433" s="54"/>
      <c r="N1433" s="54"/>
      <c r="O1433" s="781"/>
      <c r="P1433" s="334"/>
      <c r="Q1433" s="335"/>
      <c r="R1433" s="336"/>
      <c r="S1433" s="337"/>
    </row>
    <row r="1434" spans="1:21" ht="30" customHeight="1" x14ac:dyDescent="0.25">
      <c r="A1434" s="365" t="s">
        <v>301</v>
      </c>
      <c r="B1434" s="1209" t="s">
        <v>696</v>
      </c>
      <c r="C1434" s="1210"/>
      <c r="D1434" s="1211"/>
      <c r="E1434" s="256">
        <f>+Q930</f>
        <v>362.5</v>
      </c>
      <c r="F1434" s="661" t="s">
        <v>76</v>
      </c>
      <c r="G1434" s="753">
        <v>8</v>
      </c>
      <c r="H1434" s="695" t="s">
        <v>860</v>
      </c>
      <c r="I1434" s="706">
        <f>+S930</f>
        <v>1.1000000000000001</v>
      </c>
      <c r="J1434" s="706">
        <f>+T930</f>
        <v>1</v>
      </c>
      <c r="K1434" s="247">
        <f t="shared" si="31"/>
        <v>3190.0000000000005</v>
      </c>
      <c r="L1434" s="365" t="s">
        <v>76</v>
      </c>
      <c r="M1434" s="54"/>
      <c r="N1434" s="54"/>
      <c r="O1434" s="781"/>
      <c r="P1434" s="334"/>
      <c r="Q1434" s="335"/>
      <c r="R1434" s="336"/>
      <c r="S1434" s="337"/>
    </row>
    <row r="1435" spans="1:21" ht="30" customHeight="1" x14ac:dyDescent="0.25">
      <c r="A1435" s="365" t="s">
        <v>684</v>
      </c>
      <c r="B1435" s="1209" t="s">
        <v>1017</v>
      </c>
      <c r="C1435" s="1210"/>
      <c r="D1435" s="1211"/>
      <c r="E1435" s="256">
        <f>+Q925</f>
        <v>11.77</v>
      </c>
      <c r="F1435" s="365" t="s">
        <v>205</v>
      </c>
      <c r="G1435" s="753">
        <f>8*468</f>
        <v>3744</v>
      </c>
      <c r="H1435" s="695" t="s">
        <v>859</v>
      </c>
      <c r="I1435" s="706">
        <f>+S925</f>
        <v>1.23</v>
      </c>
      <c r="J1435" s="706">
        <f>+T925</f>
        <v>1</v>
      </c>
      <c r="K1435" s="247">
        <f t="shared" si="31"/>
        <v>54202.2624</v>
      </c>
      <c r="L1435" s="365" t="s">
        <v>76</v>
      </c>
      <c r="M1435" s="54"/>
      <c r="N1435" s="54"/>
      <c r="O1435" s="336"/>
      <c r="P1435" s="334"/>
      <c r="Q1435" s="335"/>
      <c r="R1435" s="336"/>
      <c r="S1435" s="337"/>
    </row>
    <row r="1436" spans="1:21" ht="30" customHeight="1" x14ac:dyDescent="0.25">
      <c r="A1436" s="365" t="s">
        <v>301</v>
      </c>
      <c r="B1436" s="1209" t="s">
        <v>694</v>
      </c>
      <c r="C1436" s="1210"/>
      <c r="D1436" s="1211"/>
      <c r="E1436" s="256">
        <f>+Q929</f>
        <v>920</v>
      </c>
      <c r="F1436" s="661" t="s">
        <v>76</v>
      </c>
      <c r="G1436" s="753">
        <v>8</v>
      </c>
      <c r="H1436" s="695" t="s">
        <v>860</v>
      </c>
      <c r="I1436" s="706">
        <f>+S929</f>
        <v>1.1000000000000001</v>
      </c>
      <c r="J1436" s="706">
        <f>+T929</f>
        <v>1</v>
      </c>
      <c r="K1436" s="247">
        <f t="shared" si="31"/>
        <v>8096.0000000000009</v>
      </c>
      <c r="L1436" s="365" t="s">
        <v>76</v>
      </c>
      <c r="M1436" s="54"/>
      <c r="N1436" s="54"/>
      <c r="O1436" s="336"/>
      <c r="P1436" s="334"/>
      <c r="Q1436" s="335"/>
      <c r="R1436" s="336"/>
      <c r="S1436" s="337"/>
    </row>
    <row r="1437" spans="1:21" ht="30" customHeight="1" x14ac:dyDescent="0.25">
      <c r="A1437" s="365" t="s">
        <v>301</v>
      </c>
      <c r="B1437" s="1209" t="s">
        <v>796</v>
      </c>
      <c r="C1437" s="1210"/>
      <c r="D1437" s="1211"/>
      <c r="E1437" s="256">
        <f>+Q931</f>
        <v>1125</v>
      </c>
      <c r="F1437" s="661" t="s">
        <v>76</v>
      </c>
      <c r="G1437" s="753">
        <v>8</v>
      </c>
      <c r="H1437" s="695" t="s">
        <v>860</v>
      </c>
      <c r="I1437" s="706">
        <f t="shared" ref="I1437:J1439" si="32">+S931</f>
        <v>1.1000000000000001</v>
      </c>
      <c r="J1437" s="706">
        <f t="shared" si="32"/>
        <v>1</v>
      </c>
      <c r="K1437" s="247">
        <f t="shared" si="31"/>
        <v>9900</v>
      </c>
      <c r="L1437" s="365" t="s">
        <v>76</v>
      </c>
      <c r="M1437" s="54"/>
      <c r="N1437" s="54"/>
      <c r="O1437" s="336"/>
      <c r="P1437" s="334"/>
      <c r="Q1437" s="335"/>
      <c r="R1437" s="336"/>
      <c r="S1437" s="337"/>
    </row>
    <row r="1438" spans="1:21" ht="30" customHeight="1" x14ac:dyDescent="0.25">
      <c r="A1438" s="365" t="s">
        <v>698</v>
      </c>
      <c r="B1438" s="1281" t="s">
        <v>878</v>
      </c>
      <c r="C1438" s="1281"/>
      <c r="D1438" s="1281"/>
      <c r="E1438" s="256">
        <f>+Q932</f>
        <v>145.58000000000001</v>
      </c>
      <c r="F1438" s="661" t="s">
        <v>76</v>
      </c>
      <c r="G1438" s="753">
        <v>72</v>
      </c>
      <c r="H1438" s="695" t="s">
        <v>860</v>
      </c>
      <c r="I1438" s="706">
        <f t="shared" si="32"/>
        <v>1.1000000000000001</v>
      </c>
      <c r="J1438" s="706">
        <f t="shared" si="32"/>
        <v>1</v>
      </c>
      <c r="K1438" s="247">
        <f t="shared" si="31"/>
        <v>11529.936000000002</v>
      </c>
      <c r="L1438" s="365" t="s">
        <v>76</v>
      </c>
      <c r="M1438" s="54"/>
      <c r="N1438" s="54"/>
      <c r="O1438" s="336"/>
      <c r="P1438" s="334"/>
      <c r="Q1438" s="335"/>
      <c r="R1438" s="336"/>
      <c r="S1438" s="337"/>
    </row>
    <row r="1439" spans="1:21" ht="30" customHeight="1" x14ac:dyDescent="0.25">
      <c r="A1439" s="365" t="s">
        <v>702</v>
      </c>
      <c r="B1439" s="1209" t="s">
        <v>703</v>
      </c>
      <c r="C1439" s="1210"/>
      <c r="D1439" s="1211"/>
      <c r="E1439" s="256">
        <f>+Q933</f>
        <v>19.62</v>
      </c>
      <c r="F1439" s="661" t="s">
        <v>40</v>
      </c>
      <c r="G1439" s="753">
        <v>4248</v>
      </c>
      <c r="H1439" s="695" t="s">
        <v>863</v>
      </c>
      <c r="I1439" s="706">
        <f t="shared" si="32"/>
        <v>1.1000000000000001</v>
      </c>
      <c r="J1439" s="706">
        <f t="shared" si="32"/>
        <v>1</v>
      </c>
      <c r="K1439" s="247">
        <f t="shared" si="31"/>
        <v>91680.336000000025</v>
      </c>
      <c r="L1439" s="365" t="s">
        <v>76</v>
      </c>
      <c r="M1439" s="54"/>
      <c r="N1439" s="54"/>
      <c r="O1439" s="336"/>
      <c r="P1439" s="334"/>
      <c r="Q1439" s="335"/>
      <c r="R1439" s="336"/>
      <c r="S1439" s="337"/>
    </row>
    <row r="1440" spans="1:21" ht="30" customHeight="1" x14ac:dyDescent="0.25">
      <c r="A1440" s="365">
        <v>93410</v>
      </c>
      <c r="B1440" s="1209" t="s">
        <v>1018</v>
      </c>
      <c r="C1440" s="1210"/>
      <c r="D1440" s="1211"/>
      <c r="E1440" s="255">
        <f>+Q943</f>
        <v>1.2</v>
      </c>
      <c r="F1440" s="661" t="s">
        <v>9</v>
      </c>
      <c r="G1440" s="753">
        <v>1913</v>
      </c>
      <c r="H1440" s="695" t="s">
        <v>864</v>
      </c>
      <c r="I1440" s="782">
        <f>+'2022 MILCON Inflation Table'!F21</f>
        <v>0.94047825952836139</v>
      </c>
      <c r="J1440" s="365"/>
      <c r="K1440" s="247">
        <f>+E1440*G1440*I1440</f>
        <v>2158.9618925733062</v>
      </c>
      <c r="L1440" s="365" t="s">
        <v>76</v>
      </c>
      <c r="M1440" s="54"/>
      <c r="N1440" s="54"/>
      <c r="O1440" s="336"/>
      <c r="P1440" s="334"/>
      <c r="Q1440" s="335"/>
      <c r="R1440" s="336"/>
      <c r="S1440" s="337"/>
    </row>
    <row r="1441" spans="1:21" ht="30" customHeight="1" x14ac:dyDescent="0.25">
      <c r="A1441" s="365">
        <v>85110</v>
      </c>
      <c r="B1441" s="1209" t="s">
        <v>1019</v>
      </c>
      <c r="C1441" s="1210"/>
      <c r="D1441" s="1211"/>
      <c r="E1441" s="255">
        <f>+Q941</f>
        <v>62</v>
      </c>
      <c r="F1441" s="661" t="s">
        <v>9</v>
      </c>
      <c r="G1441" s="753">
        <f>40*40/9</f>
        <v>177.77777777777777</v>
      </c>
      <c r="H1441" s="695" t="s">
        <v>864</v>
      </c>
      <c r="I1441" s="782">
        <f>+I1440</f>
        <v>0.94047825952836139</v>
      </c>
      <c r="K1441" s="247">
        <f>+E1441*G1441*I1441</f>
        <v>10366.160371690385</v>
      </c>
      <c r="L1441" s="365" t="s">
        <v>76</v>
      </c>
      <c r="M1441" s="54"/>
      <c r="N1441" s="54"/>
      <c r="O1441" s="336"/>
      <c r="P1441" s="334"/>
      <c r="Q1441" s="335"/>
      <c r="R1441" s="336"/>
      <c r="S1441" s="337"/>
    </row>
    <row r="1442" spans="1:21" ht="30" customHeight="1" x14ac:dyDescent="0.25">
      <c r="A1442" s="1172" t="s">
        <v>745</v>
      </c>
      <c r="B1442" s="1173"/>
      <c r="C1442" s="1173"/>
      <c r="D1442" s="1174"/>
      <c r="E1442" s="247"/>
      <c r="F1442" s="365"/>
      <c r="G1442" s="366"/>
      <c r="H1442" s="662"/>
      <c r="I1442" s="365"/>
      <c r="J1442" s="365" t="s">
        <v>408</v>
      </c>
      <c r="K1442" s="247">
        <f>SUM(K1431:K1441)</f>
        <v>201438.32706426369</v>
      </c>
      <c r="L1442" s="365" t="s">
        <v>76</v>
      </c>
      <c r="M1442" s="54"/>
      <c r="N1442" s="54"/>
      <c r="O1442" s="336"/>
      <c r="P1442" s="334"/>
      <c r="Q1442" s="335"/>
      <c r="R1442" s="336"/>
      <c r="S1442" s="337"/>
    </row>
    <row r="1443" spans="1:21" ht="30" customHeight="1" thickBot="1" x14ac:dyDescent="0.3">
      <c r="A1443" s="1336"/>
      <c r="B1443" s="1337"/>
      <c r="C1443" s="1337"/>
      <c r="D1443" s="1338"/>
      <c r="E1443" s="366"/>
      <c r="F1443" s="366"/>
      <c r="G1443" s="580" t="s">
        <v>306</v>
      </c>
      <c r="H1443" s="366"/>
      <c r="I1443" s="366"/>
      <c r="J1443" s="521">
        <f>VLOOKUP(B1429,'Mil Cost Premiums for PUCs'!$A$4:$R$277,18,FALSE)</f>
        <v>1.0485669999999998</v>
      </c>
      <c r="K1443" s="246">
        <f>+K1442*J1443</f>
        <v>211221.58229479374</v>
      </c>
      <c r="L1443" s="365" t="s">
        <v>76</v>
      </c>
      <c r="M1443" s="54"/>
      <c r="N1443" s="54"/>
      <c r="O1443" s="336"/>
      <c r="P1443" s="334"/>
      <c r="Q1443" s="335"/>
      <c r="R1443" s="336"/>
      <c r="S1443" s="337"/>
    </row>
    <row r="1444" spans="1:21" ht="30" customHeight="1" thickBot="1" x14ac:dyDescent="0.3">
      <c r="A1444" s="1180"/>
      <c r="B1444" s="1181"/>
      <c r="C1444" s="1181"/>
      <c r="D1444" s="1181"/>
      <c r="E1444" s="1181"/>
      <c r="F1444" s="1181"/>
      <c r="G1444" s="1181"/>
      <c r="H1444" s="1181"/>
      <c r="I1444" s="1181"/>
      <c r="J1444" s="1181"/>
      <c r="K1444" s="1181"/>
      <c r="L1444" s="1182"/>
      <c r="M1444" s="54"/>
      <c r="N1444" s="54"/>
      <c r="O1444" s="336"/>
      <c r="P1444" s="334"/>
      <c r="Q1444" s="335"/>
      <c r="R1444" s="336"/>
    </row>
    <row r="1445" spans="1:21" ht="60" customHeight="1" x14ac:dyDescent="0.25">
      <c r="A1445" s="327" t="s">
        <v>5</v>
      </c>
      <c r="B1445" s="328">
        <v>1792</v>
      </c>
      <c r="C1445" s="1251" t="s">
        <v>1020</v>
      </c>
      <c r="D1445" s="1252"/>
      <c r="E1445" s="331" t="s">
        <v>8</v>
      </c>
      <c r="F1445" s="332" t="s">
        <v>76</v>
      </c>
      <c r="G1445" s="346" t="s">
        <v>1021</v>
      </c>
      <c r="H1445" s="711">
        <v>1</v>
      </c>
      <c r="I1445" s="331" t="s">
        <v>10</v>
      </c>
      <c r="J1445" s="1220" t="s">
        <v>832</v>
      </c>
      <c r="K1445" s="1220"/>
      <c r="L1445" s="1221"/>
      <c r="M1445" s="54"/>
      <c r="N1445" s="54"/>
      <c r="O1445" s="336"/>
      <c r="P1445" s="334"/>
      <c r="Q1445" s="335"/>
      <c r="R1445" s="336"/>
      <c r="U1445" s="337"/>
    </row>
    <row r="1446" spans="1:21" ht="30" customHeight="1" x14ac:dyDescent="0.25">
      <c r="A1446" s="356" t="s">
        <v>735</v>
      </c>
      <c r="B1446" s="1222" t="s">
        <v>326</v>
      </c>
      <c r="C1446" s="1235"/>
      <c r="D1446" s="1223"/>
      <c r="E1446" s="577" t="s">
        <v>116</v>
      </c>
      <c r="F1446" s="577" t="s">
        <v>117</v>
      </c>
      <c r="G1446" s="1194" t="s">
        <v>118</v>
      </c>
      <c r="H1446" s="1195"/>
      <c r="I1446" s="356" t="s">
        <v>296</v>
      </c>
      <c r="J1446" s="633" t="s">
        <v>303</v>
      </c>
      <c r="K1446" s="1236" t="s">
        <v>285</v>
      </c>
      <c r="L1446" s="1237"/>
      <c r="M1446" s="54"/>
      <c r="N1446" s="54"/>
      <c r="O1446" s="336"/>
      <c r="P1446" s="334"/>
      <c r="Q1446" s="335"/>
      <c r="R1446" s="336"/>
      <c r="U1446" s="337"/>
    </row>
    <row r="1447" spans="1:21" ht="30" customHeight="1" x14ac:dyDescent="0.25">
      <c r="A1447" s="356"/>
      <c r="B1447" s="1214" t="s">
        <v>1022</v>
      </c>
      <c r="C1447" s="1215"/>
      <c r="D1447" s="1216"/>
      <c r="E1447" s="577"/>
      <c r="F1447" s="577"/>
      <c r="G1447" s="750"/>
      <c r="H1447" s="751"/>
      <c r="I1447" s="398"/>
      <c r="J1447" s="398"/>
      <c r="K1447" s="577"/>
      <c r="L1447" s="577"/>
      <c r="M1447" s="54"/>
      <c r="N1447" s="54"/>
      <c r="O1447" s="336"/>
      <c r="P1447" s="334"/>
      <c r="Q1447" s="335"/>
      <c r="R1447" s="336"/>
      <c r="U1447" s="337"/>
    </row>
    <row r="1448" spans="1:21" ht="30" customHeight="1" x14ac:dyDescent="0.25">
      <c r="A1448" s="365" t="s">
        <v>684</v>
      </c>
      <c r="B1448" s="1209" t="s">
        <v>1023</v>
      </c>
      <c r="C1448" s="1210"/>
      <c r="D1448" s="1211"/>
      <c r="E1448" s="256">
        <f>+Q924</f>
        <v>9.6300000000000008</v>
      </c>
      <c r="F1448" s="365" t="s">
        <v>205</v>
      </c>
      <c r="G1448" s="753">
        <f>246*62</f>
        <v>15252</v>
      </c>
      <c r="H1448" s="695" t="s">
        <v>859</v>
      </c>
      <c r="I1448" s="706">
        <f>+S924</f>
        <v>1.23</v>
      </c>
      <c r="J1448" s="706">
        <f>+T924</f>
        <v>1</v>
      </c>
      <c r="K1448" s="247">
        <f t="shared" ref="K1448:K1459" si="33">+E1448*G1448*I1448*J1448</f>
        <v>180658.4148</v>
      </c>
      <c r="L1448" s="365" t="s">
        <v>76</v>
      </c>
      <c r="M1448" s="54"/>
      <c r="N1448" s="54"/>
      <c r="O1448" s="336"/>
      <c r="P1448" s="334"/>
      <c r="Q1448" s="335"/>
      <c r="R1448" s="336"/>
      <c r="U1448" s="337"/>
    </row>
    <row r="1449" spans="1:21" ht="30" customHeight="1" x14ac:dyDescent="0.25">
      <c r="A1449" s="365" t="s">
        <v>301</v>
      </c>
      <c r="B1449" s="1209" t="s">
        <v>1024</v>
      </c>
      <c r="C1449" s="1210"/>
      <c r="D1449" s="1211"/>
      <c r="E1449" s="256">
        <f>+Q928</f>
        <v>504.5</v>
      </c>
      <c r="F1449" s="661" t="s">
        <v>76</v>
      </c>
      <c r="G1449" s="753">
        <v>246</v>
      </c>
      <c r="H1449" s="695" t="s">
        <v>860</v>
      </c>
      <c r="I1449" s="706">
        <f>+S928</f>
        <v>1.1000000000000001</v>
      </c>
      <c r="J1449" s="706">
        <f>+T928</f>
        <v>1</v>
      </c>
      <c r="K1449" s="247">
        <f t="shared" si="33"/>
        <v>136517.70000000001</v>
      </c>
      <c r="L1449" s="365" t="s">
        <v>76</v>
      </c>
      <c r="M1449" s="54"/>
      <c r="N1449" s="54"/>
      <c r="O1449" s="336"/>
      <c r="P1449" s="334"/>
      <c r="Q1449" s="335"/>
      <c r="R1449" s="336"/>
      <c r="U1449" s="337"/>
    </row>
    <row r="1450" spans="1:21" ht="30" customHeight="1" x14ac:dyDescent="0.25">
      <c r="A1450" s="365" t="s">
        <v>301</v>
      </c>
      <c r="B1450" s="1209" t="s">
        <v>1025</v>
      </c>
      <c r="C1450" s="1210"/>
      <c r="D1450" s="1211"/>
      <c r="E1450" s="256">
        <f>+Q930</f>
        <v>362.5</v>
      </c>
      <c r="F1450" s="661" t="s">
        <v>76</v>
      </c>
      <c r="G1450" s="753">
        <v>246</v>
      </c>
      <c r="H1450" s="695" t="s">
        <v>860</v>
      </c>
      <c r="I1450" s="706">
        <f>+S930</f>
        <v>1.1000000000000001</v>
      </c>
      <c r="J1450" s="706">
        <f>+T930</f>
        <v>1</v>
      </c>
      <c r="K1450" s="247">
        <f t="shared" si="33"/>
        <v>98092.500000000015</v>
      </c>
      <c r="L1450" s="365" t="s">
        <v>76</v>
      </c>
      <c r="M1450" s="54"/>
      <c r="N1450" s="54"/>
      <c r="O1450" s="336"/>
      <c r="P1450" s="334"/>
      <c r="Q1450" s="335"/>
      <c r="R1450" s="336"/>
      <c r="U1450" s="337"/>
    </row>
    <row r="1451" spans="1:21" ht="30" customHeight="1" x14ac:dyDescent="0.25">
      <c r="A1451" s="365" t="s">
        <v>684</v>
      </c>
      <c r="B1451" s="1281" t="s">
        <v>1026</v>
      </c>
      <c r="C1451" s="1281"/>
      <c r="D1451" s="1281"/>
      <c r="E1451" s="256">
        <f>+Q925</f>
        <v>11.77</v>
      </c>
      <c r="F1451" s="365" t="s">
        <v>205</v>
      </c>
      <c r="G1451" s="753">
        <f>50*468</f>
        <v>23400</v>
      </c>
      <c r="H1451" s="695" t="s">
        <v>859</v>
      </c>
      <c r="I1451" s="706">
        <f>+S925</f>
        <v>1.23</v>
      </c>
      <c r="J1451" s="706">
        <f>+T925</f>
        <v>1</v>
      </c>
      <c r="K1451" s="247">
        <f t="shared" si="33"/>
        <v>338764.14</v>
      </c>
      <c r="L1451" s="365" t="s">
        <v>76</v>
      </c>
      <c r="M1451" s="54"/>
      <c r="N1451" s="54"/>
      <c r="P1451" s="334"/>
      <c r="Q1451" s="335"/>
      <c r="R1451" s="336"/>
      <c r="U1451" s="337"/>
    </row>
    <row r="1452" spans="1:21" ht="30" customHeight="1" x14ac:dyDescent="0.25">
      <c r="A1452" s="365" t="s">
        <v>533</v>
      </c>
      <c r="B1452" s="1281" t="s">
        <v>874</v>
      </c>
      <c r="C1452" s="1281"/>
      <c r="D1452" s="1281"/>
      <c r="E1452" s="256">
        <f>+Q926</f>
        <v>20.25</v>
      </c>
      <c r="F1452" s="365" t="s">
        <v>205</v>
      </c>
      <c r="G1452" s="753">
        <f>2152*8</f>
        <v>17216</v>
      </c>
      <c r="H1452" s="695" t="s">
        <v>859</v>
      </c>
      <c r="I1452" s="706">
        <f>+S926</f>
        <v>1.1200000000000001</v>
      </c>
      <c r="J1452" s="706">
        <f>+T926</f>
        <v>1</v>
      </c>
      <c r="K1452" s="247">
        <f t="shared" si="33"/>
        <v>390458.88000000006</v>
      </c>
      <c r="L1452" s="365" t="s">
        <v>76</v>
      </c>
      <c r="M1452" s="54"/>
      <c r="N1452" s="54"/>
      <c r="O1452" s="336"/>
      <c r="P1452" s="334"/>
      <c r="Q1452" s="335"/>
      <c r="R1452" s="336"/>
      <c r="U1452" s="337"/>
    </row>
    <row r="1453" spans="1:21" ht="30" customHeight="1" x14ac:dyDescent="0.25">
      <c r="A1453" s="365" t="s">
        <v>533</v>
      </c>
      <c r="B1453" s="1281" t="s">
        <v>893</v>
      </c>
      <c r="C1453" s="1281"/>
      <c r="D1453" s="1281"/>
      <c r="E1453" s="256">
        <f>+Q926</f>
        <v>20.25</v>
      </c>
      <c r="F1453" s="365" t="s">
        <v>205</v>
      </c>
      <c r="G1453" s="753">
        <f>80.7*35</f>
        <v>2824.5</v>
      </c>
      <c r="H1453" s="695" t="s">
        <v>859</v>
      </c>
      <c r="I1453" s="706">
        <f>+S926</f>
        <v>1.1200000000000001</v>
      </c>
      <c r="J1453" s="706">
        <f>+T926</f>
        <v>1</v>
      </c>
      <c r="K1453" s="247">
        <f t="shared" si="33"/>
        <v>64059.66</v>
      </c>
      <c r="L1453" s="365" t="s">
        <v>76</v>
      </c>
      <c r="M1453" s="54"/>
      <c r="N1453" s="54"/>
      <c r="O1453" s="336"/>
      <c r="P1453" s="334"/>
      <c r="Q1453" s="335"/>
      <c r="R1453" s="336"/>
      <c r="U1453" s="337"/>
    </row>
    <row r="1454" spans="1:21" ht="30" customHeight="1" x14ac:dyDescent="0.25">
      <c r="A1454" s="365" t="s">
        <v>301</v>
      </c>
      <c r="B1454" s="1281" t="s">
        <v>1027</v>
      </c>
      <c r="C1454" s="1281"/>
      <c r="D1454" s="1281"/>
      <c r="E1454" s="256">
        <f>+Q929</f>
        <v>920</v>
      </c>
      <c r="F1454" s="661" t="s">
        <v>76</v>
      </c>
      <c r="G1454" s="753">
        <v>93</v>
      </c>
      <c r="H1454" s="695" t="s">
        <v>860</v>
      </c>
      <c r="I1454" s="706">
        <f>+S929</f>
        <v>1.1000000000000001</v>
      </c>
      <c r="J1454" s="706">
        <f>+T929</f>
        <v>1</v>
      </c>
      <c r="K1454" s="247">
        <f t="shared" si="33"/>
        <v>94116.000000000015</v>
      </c>
      <c r="L1454" s="365" t="s">
        <v>76</v>
      </c>
      <c r="M1454" s="54"/>
      <c r="N1454" s="54"/>
      <c r="O1454" s="336"/>
      <c r="P1454" s="334"/>
      <c r="Q1454" s="335"/>
      <c r="R1454" s="336"/>
      <c r="U1454" s="337"/>
    </row>
    <row r="1455" spans="1:21" ht="30" customHeight="1" x14ac:dyDescent="0.25">
      <c r="A1455" s="365" t="s">
        <v>520</v>
      </c>
      <c r="B1455" s="1281" t="s">
        <v>1028</v>
      </c>
      <c r="C1455" s="1281"/>
      <c r="D1455" s="1281"/>
      <c r="E1455" s="256">
        <f>+Q935</f>
        <v>21.1</v>
      </c>
      <c r="F1455" s="661" t="s">
        <v>40</v>
      </c>
      <c r="G1455" s="753">
        <f>+((656*8)+(49*35))</f>
        <v>6963</v>
      </c>
      <c r="H1455" s="695" t="s">
        <v>863</v>
      </c>
      <c r="I1455" s="706">
        <f>+S935</f>
        <v>1.04</v>
      </c>
      <c r="J1455" s="706">
        <f>+T935</f>
        <v>1</v>
      </c>
      <c r="K1455" s="247">
        <f t="shared" si="33"/>
        <v>152796.07200000001</v>
      </c>
      <c r="L1455" s="365" t="s">
        <v>76</v>
      </c>
      <c r="M1455" s="54"/>
      <c r="N1455" s="54"/>
      <c r="O1455" s="336"/>
      <c r="P1455" s="334"/>
      <c r="Q1455" s="335"/>
      <c r="R1455" s="336"/>
      <c r="U1455" s="337"/>
    </row>
    <row r="1456" spans="1:21" ht="30" customHeight="1" x14ac:dyDescent="0.25">
      <c r="A1456" s="365" t="s">
        <v>520</v>
      </c>
      <c r="B1456" s="1209" t="s">
        <v>877</v>
      </c>
      <c r="C1456" s="1210"/>
      <c r="D1456" s="1211"/>
      <c r="E1456" s="256">
        <f>+Q936</f>
        <v>3227.5</v>
      </c>
      <c r="F1456" s="661" t="s">
        <v>76</v>
      </c>
      <c r="G1456" s="753">
        <v>43</v>
      </c>
      <c r="H1456" s="695" t="s">
        <v>860</v>
      </c>
      <c r="I1456" s="706">
        <f>+S936</f>
        <v>1.04</v>
      </c>
      <c r="J1456" s="706">
        <f>+T936</f>
        <v>1</v>
      </c>
      <c r="K1456" s="247">
        <f t="shared" si="33"/>
        <v>144333.80000000002</v>
      </c>
      <c r="L1456" s="365" t="s">
        <v>76</v>
      </c>
      <c r="M1456" s="54"/>
      <c r="N1456" s="54"/>
      <c r="O1456" s="336"/>
      <c r="P1456" s="334"/>
      <c r="Q1456" s="335"/>
      <c r="R1456" s="336"/>
      <c r="U1456" s="337"/>
    </row>
    <row r="1457" spans="1:25" ht="30" customHeight="1" x14ac:dyDescent="0.25">
      <c r="A1457" s="365" t="s">
        <v>301</v>
      </c>
      <c r="B1457" s="1209" t="s">
        <v>796</v>
      </c>
      <c r="C1457" s="1210"/>
      <c r="D1457" s="1211"/>
      <c r="E1457" s="256">
        <f>+Q931</f>
        <v>1125</v>
      </c>
      <c r="F1457" s="661" t="s">
        <v>76</v>
      </c>
      <c r="G1457" s="753">
        <v>93</v>
      </c>
      <c r="H1457" s="695" t="s">
        <v>860</v>
      </c>
      <c r="I1457" s="706">
        <f t="shared" ref="I1457:J1459" si="34">+S931</f>
        <v>1.1000000000000001</v>
      </c>
      <c r="J1457" s="706">
        <f t="shared" si="34"/>
        <v>1</v>
      </c>
      <c r="K1457" s="247">
        <f t="shared" si="33"/>
        <v>115087.50000000001</v>
      </c>
      <c r="L1457" s="365" t="s">
        <v>76</v>
      </c>
      <c r="M1457" s="54"/>
      <c r="N1457" s="54"/>
      <c r="O1457" s="336"/>
      <c r="P1457" s="334"/>
      <c r="Q1457" s="335"/>
      <c r="R1457" s="336"/>
      <c r="U1457" s="337"/>
    </row>
    <row r="1458" spans="1:25" ht="30" customHeight="1" x14ac:dyDescent="0.25">
      <c r="A1458" s="365" t="s">
        <v>698</v>
      </c>
      <c r="B1458" s="1281" t="s">
        <v>878</v>
      </c>
      <c r="C1458" s="1281"/>
      <c r="D1458" s="1281"/>
      <c r="E1458" s="256">
        <f>+Q932</f>
        <v>145.58000000000001</v>
      </c>
      <c r="F1458" s="661" t="s">
        <v>76</v>
      </c>
      <c r="G1458" s="753">
        <f>(5*50)+(4*(8+246+35))</f>
        <v>1406</v>
      </c>
      <c r="H1458" s="695" t="s">
        <v>860</v>
      </c>
      <c r="I1458" s="706">
        <f t="shared" si="34"/>
        <v>1.1000000000000001</v>
      </c>
      <c r="J1458" s="706">
        <f t="shared" si="34"/>
        <v>1</v>
      </c>
      <c r="K1458" s="247">
        <f t="shared" si="33"/>
        <v>225154.02800000002</v>
      </c>
      <c r="L1458" s="365" t="s">
        <v>76</v>
      </c>
      <c r="M1458" s="54"/>
      <c r="N1458" s="54"/>
      <c r="O1458" s="336"/>
      <c r="P1458" s="334"/>
      <c r="Q1458" s="335"/>
      <c r="R1458" s="336"/>
      <c r="U1458" s="337"/>
    </row>
    <row r="1459" spans="1:25" ht="30" customHeight="1" x14ac:dyDescent="0.25">
      <c r="A1459" s="365" t="s">
        <v>702</v>
      </c>
      <c r="B1459" s="1209" t="s">
        <v>703</v>
      </c>
      <c r="C1459" s="1210"/>
      <c r="D1459" s="1211"/>
      <c r="E1459" s="256">
        <f>+Q933</f>
        <v>19.62</v>
      </c>
      <c r="F1459" s="661" t="s">
        <v>40</v>
      </c>
      <c r="G1459" s="753">
        <v>29527</v>
      </c>
      <c r="H1459" s="695" t="s">
        <v>863</v>
      </c>
      <c r="I1459" s="706">
        <f t="shared" si="34"/>
        <v>1.1000000000000001</v>
      </c>
      <c r="J1459" s="706">
        <f t="shared" si="34"/>
        <v>1</v>
      </c>
      <c r="K1459" s="247">
        <f t="shared" si="33"/>
        <v>637251.71400000004</v>
      </c>
      <c r="L1459" s="365" t="s">
        <v>76</v>
      </c>
      <c r="M1459" s="54"/>
      <c r="N1459" s="54"/>
      <c r="O1459" s="336"/>
      <c r="P1459" s="334"/>
      <c r="Q1459" s="335"/>
      <c r="R1459" s="336"/>
      <c r="U1459" s="337"/>
    </row>
    <row r="1460" spans="1:25" ht="30" customHeight="1" x14ac:dyDescent="0.25">
      <c r="A1460" s="365">
        <v>93410</v>
      </c>
      <c r="B1460" s="1209" t="s">
        <v>1029</v>
      </c>
      <c r="C1460" s="1210"/>
      <c r="D1460" s="1211"/>
      <c r="E1460" s="255">
        <f>+Q943</f>
        <v>1.2</v>
      </c>
      <c r="F1460" s="661" t="s">
        <v>9</v>
      </c>
      <c r="G1460" s="753">
        <v>10525</v>
      </c>
      <c r="H1460" s="695" t="s">
        <v>864</v>
      </c>
      <c r="I1460" s="782">
        <f>+'2022 MILCON Inflation Table'!F21</f>
        <v>0.94047825952836139</v>
      </c>
      <c r="J1460" s="365"/>
      <c r="K1460" s="247">
        <f>+E1460*G1460*I1460</f>
        <v>11878.240417843204</v>
      </c>
      <c r="L1460" s="365" t="s">
        <v>76</v>
      </c>
      <c r="M1460" s="54"/>
      <c r="N1460" s="54"/>
      <c r="O1460" s="336"/>
      <c r="P1460" s="334"/>
      <c r="Q1460" s="335"/>
      <c r="R1460" s="336"/>
      <c r="U1460" s="337"/>
    </row>
    <row r="1461" spans="1:25" ht="30" customHeight="1" x14ac:dyDescent="0.25">
      <c r="A1461" s="365">
        <v>93410</v>
      </c>
      <c r="B1461" s="1209" t="s">
        <v>1030</v>
      </c>
      <c r="C1461" s="1210"/>
      <c r="D1461" s="1211"/>
      <c r="E1461" s="256">
        <f>+Q942</f>
        <v>8.6999999999999993</v>
      </c>
      <c r="F1461" s="661" t="s">
        <v>25</v>
      </c>
      <c r="G1461" s="753">
        <v>6644</v>
      </c>
      <c r="H1461" s="695" t="s">
        <v>867</v>
      </c>
      <c r="I1461" s="782">
        <f>+I1460</f>
        <v>0.94047825952836139</v>
      </c>
      <c r="J1461" s="365"/>
      <c r="K1461" s="247">
        <f>+E1461*G1461*I1461</f>
        <v>54362.276739865963</v>
      </c>
      <c r="L1461" s="365" t="s">
        <v>76</v>
      </c>
      <c r="M1461" s="54"/>
      <c r="N1461" s="54"/>
      <c r="O1461" s="336"/>
      <c r="P1461" s="334"/>
      <c r="Q1461" s="335"/>
      <c r="R1461" s="336"/>
      <c r="U1461" s="337"/>
    </row>
    <row r="1462" spans="1:25" ht="30" customHeight="1" x14ac:dyDescent="0.25">
      <c r="A1462" s="365">
        <v>93210</v>
      </c>
      <c r="B1462" s="1209" t="s">
        <v>1031</v>
      </c>
      <c r="C1462" s="1210"/>
      <c r="D1462" s="1211"/>
      <c r="E1462" s="256">
        <f>+Q944</f>
        <v>48.6</v>
      </c>
      <c r="F1462" s="661" t="s">
        <v>25</v>
      </c>
      <c r="G1462" s="753">
        <v>1569</v>
      </c>
      <c r="H1462" s="695" t="s">
        <v>867</v>
      </c>
      <c r="I1462" s="782">
        <f>+I1461</f>
        <v>0.94047825952836139</v>
      </c>
      <c r="J1462" s="365"/>
      <c r="K1462" s="247">
        <f>+E1462*G1462*I1462</f>
        <v>71714.664915119967</v>
      </c>
      <c r="L1462" s="365" t="s">
        <v>76</v>
      </c>
      <c r="M1462" s="54"/>
      <c r="N1462" s="54"/>
      <c r="O1462" s="336"/>
      <c r="P1462" s="334"/>
      <c r="Q1462" s="335"/>
      <c r="R1462" s="336"/>
      <c r="U1462" s="337"/>
    </row>
    <row r="1463" spans="1:25" ht="30" customHeight="1" x14ac:dyDescent="0.25">
      <c r="A1463" s="365" t="s">
        <v>680</v>
      </c>
      <c r="B1463" s="1209" t="s">
        <v>1032</v>
      </c>
      <c r="C1463" s="1210"/>
      <c r="D1463" s="1211"/>
      <c r="E1463" s="255">
        <f>+Q922</f>
        <v>21.15</v>
      </c>
      <c r="F1463" s="661" t="s">
        <v>205</v>
      </c>
      <c r="G1463" s="753">
        <f>20*20*13</f>
        <v>5200</v>
      </c>
      <c r="H1463" s="695" t="s">
        <v>859</v>
      </c>
      <c r="I1463" s="742">
        <f>+S922</f>
        <v>1.1599999999999999</v>
      </c>
      <c r="J1463" s="706">
        <f>+T922</f>
        <v>0.97169811320754718</v>
      </c>
      <c r="K1463" s="247">
        <f>+E1463*G1463*I1463*J1463</f>
        <v>123966.13584905658</v>
      </c>
      <c r="L1463" s="365" t="s">
        <v>76</v>
      </c>
      <c r="M1463" s="54"/>
      <c r="N1463" s="54"/>
      <c r="O1463" s="336"/>
      <c r="P1463" s="334"/>
      <c r="Q1463" s="335"/>
      <c r="R1463" s="336"/>
      <c r="U1463" s="337"/>
    </row>
    <row r="1464" spans="1:25" ht="30" customHeight="1" x14ac:dyDescent="0.25">
      <c r="A1464" s="1172" t="s">
        <v>745</v>
      </c>
      <c r="B1464" s="1173"/>
      <c r="C1464" s="1173"/>
      <c r="D1464" s="1174"/>
      <c r="E1464" s="247"/>
      <c r="F1464" s="365"/>
      <c r="G1464" s="366"/>
      <c r="H1464" s="662"/>
      <c r="I1464" s="365"/>
      <c r="J1464" s="365" t="s">
        <v>408</v>
      </c>
      <c r="K1464" s="247">
        <f>SUM(K1448:K1463)</f>
        <v>2839211.7267218856</v>
      </c>
      <c r="L1464" s="365" t="s">
        <v>76</v>
      </c>
      <c r="M1464" s="54"/>
      <c r="N1464" s="54"/>
      <c r="O1464" s="336"/>
      <c r="P1464" s="334"/>
      <c r="Q1464" s="335"/>
      <c r="R1464" s="336"/>
      <c r="U1464" s="337"/>
    </row>
    <row r="1465" spans="1:25" ht="30" customHeight="1" thickBot="1" x14ac:dyDescent="0.3">
      <c r="A1465" s="1336"/>
      <c r="B1465" s="1337"/>
      <c r="C1465" s="1337"/>
      <c r="D1465" s="1338"/>
      <c r="E1465" s="366"/>
      <c r="F1465" s="366"/>
      <c r="G1465" s="580" t="s">
        <v>306</v>
      </c>
      <c r="H1465" s="366"/>
      <c r="I1465" s="366"/>
      <c r="J1465" s="521">
        <f>VLOOKUP(B1445,'Mil Cost Premiums for PUCs'!$A$4:$R$277,18,FALSE)</f>
        <v>1.0821211439999998</v>
      </c>
      <c r="K1465" s="246">
        <f>+K1464*J1465</f>
        <v>3072371.0417785016</v>
      </c>
      <c r="L1465" s="365" t="s">
        <v>76</v>
      </c>
      <c r="M1465" s="54"/>
      <c r="N1465" s="54"/>
      <c r="O1465" s="336"/>
      <c r="P1465" s="334"/>
      <c r="Q1465" s="335"/>
      <c r="R1465" s="336"/>
      <c r="U1465" s="337"/>
    </row>
    <row r="1466" spans="1:25" ht="30" customHeight="1" thickBot="1" x14ac:dyDescent="0.3">
      <c r="A1466" s="1180"/>
      <c r="B1466" s="1181"/>
      <c r="C1466" s="1181"/>
      <c r="D1466" s="1181"/>
      <c r="E1466" s="1181"/>
      <c r="F1466" s="1181"/>
      <c r="G1466" s="1181"/>
      <c r="H1466" s="1181"/>
      <c r="I1466" s="1181"/>
      <c r="J1466" s="1181"/>
      <c r="K1466" s="1181"/>
      <c r="L1466" s="1182"/>
      <c r="M1466" s="54"/>
      <c r="N1466" s="54"/>
      <c r="O1466" s="336"/>
      <c r="P1466" s="334"/>
      <c r="Q1466" s="335"/>
      <c r="R1466" s="336"/>
      <c r="U1466" s="337"/>
    </row>
    <row r="1467" spans="1:25" ht="60" customHeight="1" x14ac:dyDescent="0.25">
      <c r="A1467" s="327" t="s">
        <v>5</v>
      </c>
      <c r="B1467" s="328">
        <v>1794</v>
      </c>
      <c r="C1467" s="1251" t="s">
        <v>1033</v>
      </c>
      <c r="D1467" s="1252"/>
      <c r="E1467" s="331" t="s">
        <v>8</v>
      </c>
      <c r="F1467" s="332" t="s">
        <v>732</v>
      </c>
      <c r="G1467" s="346" t="s">
        <v>1034</v>
      </c>
      <c r="H1467" s="711">
        <v>1</v>
      </c>
      <c r="I1467" s="331" t="s">
        <v>10</v>
      </c>
      <c r="J1467" s="1220" t="s">
        <v>807</v>
      </c>
      <c r="K1467" s="1220"/>
      <c r="L1467" s="1221"/>
      <c r="M1467" s="54"/>
      <c r="N1467" s="54"/>
      <c r="O1467" s="336"/>
      <c r="P1467" s="334"/>
      <c r="Q1467" s="335"/>
      <c r="R1467" s="336"/>
      <c r="U1467" s="337"/>
    </row>
    <row r="1468" spans="1:25" ht="30" customHeight="1" x14ac:dyDescent="0.25">
      <c r="A1468" s="356" t="s">
        <v>735</v>
      </c>
      <c r="B1468" s="1222" t="s">
        <v>326</v>
      </c>
      <c r="C1468" s="1235"/>
      <c r="D1468" s="1223"/>
      <c r="E1468" s="577" t="s">
        <v>116</v>
      </c>
      <c r="F1468" s="577" t="s">
        <v>117</v>
      </c>
      <c r="G1468" s="1194" t="s">
        <v>118</v>
      </c>
      <c r="H1468" s="1195"/>
      <c r="I1468" s="633" t="s">
        <v>296</v>
      </c>
      <c r="J1468" s="633" t="s">
        <v>303</v>
      </c>
      <c r="K1468" s="1236" t="s">
        <v>285</v>
      </c>
      <c r="L1468" s="1237"/>
      <c r="M1468" s="54"/>
      <c r="N1468" s="54"/>
      <c r="O1468" s="336"/>
      <c r="P1468" s="334"/>
      <c r="Q1468" s="335"/>
      <c r="R1468" s="336"/>
      <c r="U1468" s="337"/>
    </row>
    <row r="1469" spans="1:25" ht="30" customHeight="1" x14ac:dyDescent="0.25">
      <c r="A1469" s="365" t="s">
        <v>684</v>
      </c>
      <c r="B1469" s="1209" t="s">
        <v>1035</v>
      </c>
      <c r="C1469" s="1210"/>
      <c r="D1469" s="1211"/>
      <c r="E1469" s="256">
        <f>+Q925</f>
        <v>11.77</v>
      </c>
      <c r="F1469" s="365" t="s">
        <v>205</v>
      </c>
      <c r="G1469" s="753">
        <v>481</v>
      </c>
      <c r="H1469" s="695" t="s">
        <v>737</v>
      </c>
      <c r="I1469" s="365">
        <f>+S925</f>
        <v>1.23</v>
      </c>
      <c r="J1469" s="706">
        <f>+T925</f>
        <v>1</v>
      </c>
      <c r="K1469" s="247">
        <f>+E1469*G1469*I1469*J1469</f>
        <v>6963.4850999999999</v>
      </c>
      <c r="L1469" s="365" t="s">
        <v>732</v>
      </c>
      <c r="M1469" s="54"/>
      <c r="N1469" s="54"/>
      <c r="O1469" s="336"/>
      <c r="P1469" s="334"/>
      <c r="Q1469" s="335"/>
      <c r="R1469" s="336"/>
      <c r="U1469" s="337"/>
    </row>
    <row r="1470" spans="1:25" ht="30" customHeight="1" x14ac:dyDescent="0.25">
      <c r="A1470" s="365">
        <v>93410</v>
      </c>
      <c r="B1470" s="1209" t="s">
        <v>1036</v>
      </c>
      <c r="C1470" s="1210"/>
      <c r="D1470" s="1211"/>
      <c r="E1470" s="256">
        <f>+Q942</f>
        <v>8.6999999999999993</v>
      </c>
      <c r="F1470" s="661" t="s">
        <v>25</v>
      </c>
      <c r="G1470" s="753">
        <v>706</v>
      </c>
      <c r="H1470" s="695" t="s">
        <v>743</v>
      </c>
      <c r="I1470" s="782">
        <f>+'2022 MILCON Inflation Table'!F21</f>
        <v>0.94047825952836139</v>
      </c>
      <c r="J1470" s="365"/>
      <c r="K1470" s="247">
        <f>+E1470*G1470*I1470</f>
        <v>5776.6055656751014</v>
      </c>
      <c r="L1470" s="365" t="s">
        <v>732</v>
      </c>
      <c r="M1470" s="54"/>
      <c r="N1470" s="54"/>
      <c r="O1470" s="384"/>
      <c r="Q1470" s="799"/>
      <c r="R1470" s="384"/>
      <c r="S1470" s="340"/>
      <c r="T1470" s="340"/>
      <c r="U1470" s="337"/>
    </row>
    <row r="1471" spans="1:25" ht="30" customHeight="1" x14ac:dyDescent="0.25">
      <c r="A1471" s="365">
        <v>93210</v>
      </c>
      <c r="B1471" s="1209" t="s">
        <v>805</v>
      </c>
      <c r="C1471" s="1210"/>
      <c r="D1471" s="1211"/>
      <c r="E1471" s="256">
        <f>+Q944</f>
        <v>48.6</v>
      </c>
      <c r="F1471" s="661" t="s">
        <v>25</v>
      </c>
      <c r="G1471" s="753">
        <v>81.75</v>
      </c>
      <c r="H1471" s="695" t="s">
        <v>743</v>
      </c>
      <c r="I1471" s="782">
        <f>+'2022 MILCON Inflation Table'!F21</f>
        <v>0.94047825952836139</v>
      </c>
      <c r="J1471" s="365"/>
      <c r="K1471" s="247">
        <f>+E1471*G1471*I1471</f>
        <v>3736.5671490191562</v>
      </c>
      <c r="L1471" s="365" t="s">
        <v>732</v>
      </c>
      <c r="M1471" s="54"/>
      <c r="N1471" s="54"/>
      <c r="O1471" s="336"/>
      <c r="P1471" s="334"/>
      <c r="Q1471" s="335"/>
      <c r="R1471" s="336"/>
      <c r="U1471" s="800"/>
      <c r="V1471" s="340"/>
      <c r="W1471" s="340"/>
      <c r="X1471" s="340"/>
      <c r="Y1471" s="340"/>
    </row>
    <row r="1472" spans="1:25" s="340" customFormat="1" ht="30" customHeight="1" x14ac:dyDescent="0.25">
      <c r="A1472" s="1172" t="s">
        <v>745</v>
      </c>
      <c r="B1472" s="1173"/>
      <c r="C1472" s="1173"/>
      <c r="D1472" s="1174"/>
      <c r="E1472" s="247"/>
      <c r="F1472" s="365"/>
      <c r="G1472" s="366"/>
      <c r="H1472" s="662"/>
      <c r="I1472" s="365"/>
      <c r="J1472" s="365" t="s">
        <v>408</v>
      </c>
      <c r="K1472" s="247">
        <f>SUM(K1469:K1470)</f>
        <v>12740.090665675101</v>
      </c>
      <c r="L1472" s="365" t="s">
        <v>732</v>
      </c>
      <c r="M1472" s="54"/>
      <c r="N1472" s="54"/>
      <c r="O1472" s="336"/>
      <c r="P1472" s="334"/>
      <c r="Q1472" s="335"/>
      <c r="R1472" s="336"/>
      <c r="S1472" s="334"/>
      <c r="T1472" s="334"/>
      <c r="U1472" s="337"/>
      <c r="V1472" s="334"/>
      <c r="W1472" s="334"/>
      <c r="X1472" s="334"/>
      <c r="Y1472" s="334"/>
    </row>
    <row r="1473" spans="1:21" ht="30" customHeight="1" thickBot="1" x14ac:dyDescent="0.3">
      <c r="A1473" s="1336"/>
      <c r="B1473" s="1337"/>
      <c r="C1473" s="1337"/>
      <c r="D1473" s="1338"/>
      <c r="E1473" s="366"/>
      <c r="F1473" s="366"/>
      <c r="G1473" s="580" t="s">
        <v>306</v>
      </c>
      <c r="H1473" s="366"/>
      <c r="I1473" s="366"/>
      <c r="J1473" s="521">
        <f>VLOOKUP(B1467,'Mil Cost Premiums for PUCs'!$A$4:$R$277,18,FALSE)</f>
        <v>1.0485669999999998</v>
      </c>
      <c r="K1473" s="246">
        <f>+K1472*J1473</f>
        <v>13358.838649034942</v>
      </c>
      <c r="L1473" s="365" t="s">
        <v>732</v>
      </c>
      <c r="M1473" s="54"/>
      <c r="N1473" s="54"/>
      <c r="O1473" s="336"/>
      <c r="P1473" s="334"/>
      <c r="Q1473" s="335"/>
      <c r="R1473" s="336"/>
      <c r="U1473" s="337"/>
    </row>
    <row r="1474" spans="1:21" ht="30" customHeight="1" thickBot="1" x14ac:dyDescent="0.3">
      <c r="A1474" s="1180"/>
      <c r="B1474" s="1181"/>
      <c r="C1474" s="1181"/>
      <c r="D1474" s="1181"/>
      <c r="E1474" s="1181"/>
      <c r="F1474" s="1181"/>
      <c r="G1474" s="1181"/>
      <c r="H1474" s="1181"/>
      <c r="I1474" s="1181"/>
      <c r="J1474" s="1181"/>
      <c r="K1474" s="1181"/>
      <c r="L1474" s="1182"/>
      <c r="M1474" s="54"/>
      <c r="N1474" s="54"/>
      <c r="O1474" s="336"/>
      <c r="P1474" s="334"/>
      <c r="Q1474" s="335"/>
      <c r="R1474" s="336"/>
      <c r="U1474" s="337"/>
    </row>
    <row r="1475" spans="1:21" ht="30" customHeight="1" x14ac:dyDescent="0.25">
      <c r="A1475" s="327" t="s">
        <v>5</v>
      </c>
      <c r="B1475" s="328">
        <v>1795</v>
      </c>
      <c r="C1475" s="1294" t="s">
        <v>1037</v>
      </c>
      <c r="D1475" s="1295"/>
      <c r="E1475" s="331" t="s">
        <v>8</v>
      </c>
      <c r="F1475" s="332" t="s">
        <v>205</v>
      </c>
      <c r="G1475" s="342" t="s">
        <v>7</v>
      </c>
      <c r="H1475" s="801">
        <v>10000</v>
      </c>
      <c r="I1475" s="331" t="s">
        <v>10</v>
      </c>
      <c r="J1475" s="1220" t="s">
        <v>1038</v>
      </c>
      <c r="K1475" s="1220"/>
      <c r="L1475" s="1221"/>
      <c r="M1475" s="54"/>
      <c r="N1475" s="54"/>
      <c r="O1475" s="802"/>
      <c r="P1475" s="334"/>
      <c r="Q1475" s="335"/>
      <c r="R1475" s="336"/>
      <c r="U1475" s="337"/>
    </row>
    <row r="1476" spans="1:21" ht="30" customHeight="1" x14ac:dyDescent="0.25">
      <c r="A1476" s="359" t="s">
        <v>295</v>
      </c>
      <c r="B1476" s="1222" t="s">
        <v>326</v>
      </c>
      <c r="C1476" s="1235"/>
      <c r="D1476" s="1223"/>
      <c r="E1476" s="577" t="s">
        <v>116</v>
      </c>
      <c r="F1476" s="577" t="s">
        <v>117</v>
      </c>
      <c r="G1476" s="1194" t="s">
        <v>118</v>
      </c>
      <c r="H1476" s="1195"/>
      <c r="I1476" s="633" t="s">
        <v>296</v>
      </c>
      <c r="J1476" s="633" t="s">
        <v>303</v>
      </c>
      <c r="K1476" s="1236" t="s">
        <v>285</v>
      </c>
      <c r="L1476" s="1237"/>
      <c r="M1476" s="54"/>
      <c r="N1476" s="54"/>
      <c r="O1476" s="336"/>
      <c r="P1476" s="334"/>
      <c r="Q1476" s="335"/>
      <c r="R1476" s="336"/>
      <c r="U1476" s="337"/>
    </row>
    <row r="1477" spans="1:21" ht="30" customHeight="1" x14ac:dyDescent="0.25">
      <c r="A1477" s="365" t="s">
        <v>653</v>
      </c>
      <c r="B1477" s="1209" t="s">
        <v>1039</v>
      </c>
      <c r="C1477" s="1210"/>
      <c r="D1477" s="1211"/>
      <c r="E1477" s="246">
        <f>+((11.05 +18.6)/2)*1.45</f>
        <v>21.49625</v>
      </c>
      <c r="F1477" s="661" t="s">
        <v>537</v>
      </c>
      <c r="G1477" s="260">
        <f>E1477*10</f>
        <v>214.96250000000001</v>
      </c>
      <c r="H1477" s="486" t="s">
        <v>655</v>
      </c>
      <c r="I1477" s="365">
        <v>1.24</v>
      </c>
      <c r="J1477" s="706">
        <f>1.06/1.06</f>
        <v>1</v>
      </c>
      <c r="K1477" s="247">
        <f>+G1477*I1477*J1477</f>
        <v>266.55349999999999</v>
      </c>
      <c r="L1477" s="365" t="s">
        <v>205</v>
      </c>
      <c r="M1477" s="54"/>
      <c r="N1477" s="54"/>
      <c r="O1477" s="336"/>
      <c r="P1477" s="334"/>
      <c r="Q1477" s="335"/>
      <c r="R1477" s="336"/>
      <c r="U1477" s="337"/>
    </row>
    <row r="1478" spans="1:21" ht="30" customHeight="1" x14ac:dyDescent="0.25">
      <c r="A1478" s="365" t="s">
        <v>656</v>
      </c>
      <c r="B1478" s="1209" t="s">
        <v>657</v>
      </c>
      <c r="C1478" s="1210"/>
      <c r="D1478" s="1211"/>
      <c r="E1478" s="10">
        <f>+(1.34+2.7)/2</f>
        <v>2.02</v>
      </c>
      <c r="F1478" s="365" t="s">
        <v>214</v>
      </c>
      <c r="G1478" s="261">
        <f>+(E1478*5000)/H1475</f>
        <v>1.01</v>
      </c>
      <c r="H1478" s="486" t="s">
        <v>1040</v>
      </c>
      <c r="I1478" s="706">
        <v>1.2</v>
      </c>
      <c r="J1478" s="706">
        <f>1.06/1.06</f>
        <v>1</v>
      </c>
      <c r="K1478" s="247">
        <f>+G1478*I1478*J1478</f>
        <v>1.212</v>
      </c>
      <c r="L1478" s="365" t="s">
        <v>205</v>
      </c>
      <c r="M1478" s="54"/>
      <c r="N1478" s="54"/>
      <c r="O1478" s="336"/>
      <c r="P1478" s="334"/>
      <c r="Q1478" s="335"/>
      <c r="R1478" s="336"/>
      <c r="U1478" s="337"/>
    </row>
    <row r="1479" spans="1:21" ht="30" customHeight="1" x14ac:dyDescent="0.25">
      <c r="A1479" s="365">
        <v>83210</v>
      </c>
      <c r="B1479" s="1209" t="s">
        <v>1041</v>
      </c>
      <c r="C1479" s="1210"/>
      <c r="D1479" s="1211"/>
      <c r="E1479" s="246">
        <v>25870</v>
      </c>
      <c r="F1479" s="365" t="s">
        <v>76</v>
      </c>
      <c r="G1479" s="264">
        <f>E1479/H1475</f>
        <v>2.5870000000000002</v>
      </c>
      <c r="H1479" s="486" t="s">
        <v>660</v>
      </c>
      <c r="I1479" s="803">
        <f>+'2022 MILCON Inflation Table'!F21</f>
        <v>0.94047825952836139</v>
      </c>
      <c r="J1479" s="365"/>
      <c r="K1479" s="247">
        <f>+G1479*I1479</f>
        <v>2.4330172573998712</v>
      </c>
      <c r="L1479" s="365" t="s">
        <v>205</v>
      </c>
      <c r="M1479" s="54"/>
      <c r="N1479" s="54"/>
      <c r="O1479" s="336"/>
      <c r="P1479" s="334"/>
      <c r="Q1479" s="335"/>
      <c r="R1479" s="336"/>
      <c r="U1479" s="337"/>
    </row>
    <row r="1480" spans="1:21" ht="30" customHeight="1" x14ac:dyDescent="0.25">
      <c r="A1480" s="365"/>
      <c r="B1480" s="1281"/>
      <c r="C1480" s="1281"/>
      <c r="D1480" s="1281"/>
      <c r="E1480" s="257"/>
      <c r="F1480" s="365"/>
      <c r="G1480" s="736"/>
      <c r="H1480" s="567"/>
      <c r="I1480" s="365"/>
      <c r="J1480" s="365" t="s">
        <v>408</v>
      </c>
      <c r="K1480" s="247">
        <f>SUM(K1477:K1479)</f>
        <v>270.19851725739983</v>
      </c>
      <c r="L1480" s="365" t="s">
        <v>205</v>
      </c>
      <c r="M1480" s="54"/>
      <c r="N1480" s="54"/>
      <c r="O1480" s="336"/>
      <c r="P1480" s="334"/>
      <c r="Q1480" s="335"/>
      <c r="R1480" s="336"/>
      <c r="U1480" s="337"/>
    </row>
    <row r="1481" spans="1:21" ht="30" customHeight="1" x14ac:dyDescent="0.25">
      <c r="A1481" s="365"/>
      <c r="B1481" s="365"/>
      <c r="C1481" s="366"/>
      <c r="D1481" s="366"/>
      <c r="E1481" s="366"/>
      <c r="F1481" s="366"/>
      <c r="G1481" s="366"/>
      <c r="H1481" s="366"/>
      <c r="I1481" s="366"/>
      <c r="J1481" s="365" t="s">
        <v>72</v>
      </c>
      <c r="K1481" s="246">
        <f>+K1480</f>
        <v>270.19851725739983</v>
      </c>
      <c r="L1481" s="365" t="s">
        <v>205</v>
      </c>
      <c r="M1481" s="54"/>
      <c r="N1481" s="54"/>
      <c r="O1481" s="336"/>
      <c r="P1481" s="334"/>
      <c r="Q1481" s="335"/>
      <c r="R1481" s="336"/>
      <c r="U1481" s="337"/>
    </row>
    <row r="1482" spans="1:21" ht="30" customHeight="1" x14ac:dyDescent="0.25">
      <c r="A1482" s="365"/>
      <c r="B1482" s="365"/>
      <c r="C1482" s="366"/>
      <c r="D1482" s="366"/>
      <c r="E1482" s="366"/>
      <c r="F1482" s="366"/>
      <c r="G1482" s="580" t="s">
        <v>306</v>
      </c>
      <c r="H1482" s="366"/>
      <c r="I1482" s="366"/>
      <c r="J1482" s="521">
        <f>VLOOKUP(B1475,'Mil Cost Premiums for PUCs'!$A$4:$R$277,18,FALSE)</f>
        <v>1.0821211439999998</v>
      </c>
      <c r="K1482" s="246">
        <f>+K1481*J1482</f>
        <v>292.3875286016812</v>
      </c>
      <c r="L1482" s="365" t="s">
        <v>205</v>
      </c>
      <c r="M1482" s="54"/>
      <c r="N1482" s="54"/>
      <c r="O1482" s="336"/>
      <c r="P1482" s="334"/>
      <c r="Q1482" s="335"/>
      <c r="R1482" s="336"/>
      <c r="U1482" s="337"/>
    </row>
    <row r="1483" spans="1:21" ht="60" customHeight="1" x14ac:dyDescent="0.25">
      <c r="A1483" s="1229" t="s">
        <v>307</v>
      </c>
      <c r="B1483" s="1288"/>
      <c r="C1483" s="1288"/>
      <c r="D1483" s="1288"/>
      <c r="E1483" s="1288"/>
      <c r="F1483" s="1288"/>
      <c r="G1483" s="1288"/>
      <c r="H1483" s="1288"/>
      <c r="I1483" s="1288"/>
      <c r="J1483" s="1288"/>
      <c r="K1483" s="1288"/>
      <c r="L1483" s="1289"/>
      <c r="M1483" s="54"/>
      <c r="N1483" s="54"/>
      <c r="O1483" s="336"/>
      <c r="P1483" s="334"/>
      <c r="Q1483" s="335"/>
      <c r="R1483" s="336"/>
      <c r="U1483" s="337"/>
    </row>
    <row r="1484" spans="1:21" ht="30" customHeight="1" x14ac:dyDescent="0.25">
      <c r="A1484" s="1330" t="s">
        <v>308</v>
      </c>
      <c r="B1484" s="1331"/>
      <c r="C1484" s="1332"/>
      <c r="D1484" s="1230" t="s">
        <v>1042</v>
      </c>
      <c r="E1484" s="1231"/>
      <c r="F1484" s="1231"/>
      <c r="G1484" s="1231"/>
      <c r="H1484" s="1231"/>
      <c r="I1484" s="1231"/>
      <c r="J1484" s="1231"/>
      <c r="K1484" s="1231"/>
      <c r="L1484" s="1232"/>
      <c r="M1484" s="54"/>
      <c r="N1484" s="54"/>
      <c r="O1484" s="336"/>
      <c r="P1484" s="334"/>
      <c r="Q1484" s="335"/>
      <c r="R1484" s="336"/>
      <c r="U1484" s="337"/>
    </row>
    <row r="1485" spans="1:21" ht="30" customHeight="1" x14ac:dyDescent="0.25">
      <c r="A1485" s="1330" t="s">
        <v>310</v>
      </c>
      <c r="B1485" s="1331"/>
      <c r="C1485" s="1332"/>
      <c r="D1485" s="1230" t="s">
        <v>1043</v>
      </c>
      <c r="E1485" s="1231"/>
      <c r="F1485" s="1231"/>
      <c r="G1485" s="1231"/>
      <c r="H1485" s="1231"/>
      <c r="I1485" s="1231"/>
      <c r="J1485" s="1231"/>
      <c r="K1485" s="1231"/>
      <c r="L1485" s="1232"/>
      <c r="M1485" s="54"/>
      <c r="N1485" s="54"/>
      <c r="O1485" s="336"/>
      <c r="P1485" s="334"/>
      <c r="Q1485" s="335"/>
      <c r="R1485" s="336"/>
      <c r="U1485" s="337"/>
    </row>
    <row r="1486" spans="1:21" ht="30" customHeight="1" x14ac:dyDescent="0.25">
      <c r="A1486" s="1330" t="s">
        <v>312</v>
      </c>
      <c r="B1486" s="1331"/>
      <c r="C1486" s="1332"/>
      <c r="D1486" s="1230" t="s">
        <v>1044</v>
      </c>
      <c r="E1486" s="1231"/>
      <c r="F1486" s="1231"/>
      <c r="G1486" s="1231"/>
      <c r="H1486" s="1231"/>
      <c r="I1486" s="1231"/>
      <c r="J1486" s="1231"/>
      <c r="K1486" s="1231"/>
      <c r="L1486" s="1232"/>
      <c r="M1486" s="54"/>
      <c r="N1486" s="54"/>
      <c r="O1486" s="336"/>
      <c r="P1486" s="334"/>
      <c r="Q1486" s="335"/>
      <c r="R1486" s="336"/>
      <c r="U1486" s="337"/>
    </row>
    <row r="1487" spans="1:21" ht="30" customHeight="1" x14ac:dyDescent="0.25">
      <c r="A1487" s="1330" t="s">
        <v>314</v>
      </c>
      <c r="B1487" s="1331"/>
      <c r="C1487" s="1332"/>
      <c r="D1487" s="1230" t="s">
        <v>1045</v>
      </c>
      <c r="E1487" s="1231"/>
      <c r="F1487" s="1231"/>
      <c r="G1487" s="1231"/>
      <c r="H1487" s="1231"/>
      <c r="I1487" s="1231"/>
      <c r="J1487" s="1231"/>
      <c r="K1487" s="1231"/>
      <c r="L1487" s="1232"/>
      <c r="M1487" s="54"/>
      <c r="N1487" s="54"/>
      <c r="O1487" s="336"/>
      <c r="P1487" s="334"/>
      <c r="Q1487" s="335"/>
      <c r="R1487" s="336"/>
      <c r="U1487" s="337"/>
    </row>
    <row r="1488" spans="1:21" ht="45" customHeight="1" x14ac:dyDescent="0.25">
      <c r="A1488" s="1330" t="s">
        <v>316</v>
      </c>
      <c r="B1488" s="1331"/>
      <c r="C1488" s="1332"/>
      <c r="D1488" s="1230" t="s">
        <v>1046</v>
      </c>
      <c r="E1488" s="1231"/>
      <c r="F1488" s="1231"/>
      <c r="G1488" s="1231"/>
      <c r="H1488" s="1231"/>
      <c r="I1488" s="1231"/>
      <c r="J1488" s="1231"/>
      <c r="K1488" s="1231"/>
      <c r="L1488" s="1232"/>
      <c r="M1488" s="54"/>
      <c r="N1488" s="54"/>
      <c r="O1488" s="336"/>
      <c r="P1488" s="334"/>
      <c r="Q1488" s="335"/>
      <c r="R1488" s="336"/>
      <c r="U1488" s="337"/>
    </row>
    <row r="1489" spans="1:21" ht="30" customHeight="1" x14ac:dyDescent="0.25">
      <c r="A1489" s="1330" t="s">
        <v>318</v>
      </c>
      <c r="B1489" s="1331"/>
      <c r="C1489" s="1332"/>
      <c r="D1489" s="1230" t="s">
        <v>1047</v>
      </c>
      <c r="E1489" s="1231"/>
      <c r="F1489" s="1231"/>
      <c r="G1489" s="1231"/>
      <c r="H1489" s="1231"/>
      <c r="I1489" s="1231"/>
      <c r="J1489" s="1231"/>
      <c r="K1489" s="1231"/>
      <c r="L1489" s="1232"/>
      <c r="M1489" s="54"/>
      <c r="N1489" s="54"/>
      <c r="O1489" s="336"/>
      <c r="P1489" s="334"/>
      <c r="Q1489" s="335"/>
      <c r="R1489" s="336"/>
      <c r="U1489" s="337"/>
    </row>
    <row r="1490" spans="1:21" ht="30" customHeight="1" x14ac:dyDescent="0.25">
      <c r="A1490" s="1330" t="s">
        <v>320</v>
      </c>
      <c r="B1490" s="1331"/>
      <c r="C1490" s="1332"/>
      <c r="D1490" s="1230" t="s">
        <v>1048</v>
      </c>
      <c r="E1490" s="1231"/>
      <c r="F1490" s="1231"/>
      <c r="G1490" s="1231"/>
      <c r="H1490" s="1231"/>
      <c r="I1490" s="1231"/>
      <c r="J1490" s="1231"/>
      <c r="K1490" s="1231"/>
      <c r="L1490" s="1232"/>
      <c r="M1490" s="54"/>
      <c r="N1490" s="54"/>
      <c r="O1490" s="336"/>
      <c r="Q1490" s="335"/>
      <c r="R1490" s="336"/>
      <c r="U1490" s="337"/>
    </row>
    <row r="1491" spans="1:21" ht="60" customHeight="1" x14ac:dyDescent="0.25">
      <c r="A1491" s="1330" t="s">
        <v>559</v>
      </c>
      <c r="B1491" s="1331"/>
      <c r="C1491" s="1332"/>
      <c r="D1491" s="1206" t="s">
        <v>1049</v>
      </c>
      <c r="E1491" s="1207"/>
      <c r="F1491" s="1207"/>
      <c r="G1491" s="1207"/>
      <c r="H1491" s="1207"/>
      <c r="I1491" s="1207"/>
      <c r="J1491" s="1207"/>
      <c r="K1491" s="1207"/>
      <c r="L1491" s="1208"/>
      <c r="M1491" s="54"/>
      <c r="N1491" s="54"/>
      <c r="T1491" s="10"/>
      <c r="U1491" s="337"/>
    </row>
    <row r="1492" spans="1:21" ht="30" customHeight="1" thickBot="1" x14ac:dyDescent="0.3">
      <c r="A1492" s="1256" t="s">
        <v>350</v>
      </c>
      <c r="B1492" s="1257"/>
      <c r="C1492" s="1258"/>
      <c r="D1492" s="1291" t="s">
        <v>3385</v>
      </c>
      <c r="E1492" s="1292"/>
      <c r="F1492" s="1292"/>
      <c r="G1492" s="1292"/>
      <c r="H1492" s="1292"/>
      <c r="I1492" s="1292"/>
      <c r="J1492" s="1292"/>
      <c r="K1492" s="1292"/>
      <c r="L1492" s="1293"/>
      <c r="M1492" s="54"/>
      <c r="N1492" s="54"/>
      <c r="T1492" s="10"/>
      <c r="U1492" s="10"/>
    </row>
    <row r="1493" spans="1:21" ht="30" customHeight="1" thickBot="1" x14ac:dyDescent="0.3">
      <c r="A1493" s="1180"/>
      <c r="B1493" s="1181"/>
      <c r="C1493" s="1181"/>
      <c r="D1493" s="1181"/>
      <c r="E1493" s="1181"/>
      <c r="F1493" s="1181"/>
      <c r="G1493" s="1181"/>
      <c r="H1493" s="1181"/>
      <c r="I1493" s="1181"/>
      <c r="J1493" s="1181"/>
      <c r="K1493" s="1181"/>
      <c r="L1493" s="1182"/>
      <c r="M1493" s="54"/>
      <c r="N1493" s="54"/>
      <c r="T1493" s="10"/>
      <c r="U1493" s="10"/>
    </row>
    <row r="1494" spans="1:21" ht="60" customHeight="1" x14ac:dyDescent="0.25">
      <c r="A1494" s="327" t="s">
        <v>5</v>
      </c>
      <c r="B1494" s="328">
        <v>1796</v>
      </c>
      <c r="C1494" s="1251" t="s">
        <v>1050</v>
      </c>
      <c r="D1494" s="1252"/>
      <c r="E1494" s="331" t="s">
        <v>8</v>
      </c>
      <c r="F1494" s="332" t="s">
        <v>205</v>
      </c>
      <c r="G1494" s="342" t="s">
        <v>74</v>
      </c>
      <c r="H1494" s="801">
        <v>72868</v>
      </c>
      <c r="I1494" s="331" t="s">
        <v>10</v>
      </c>
      <c r="J1494" s="1220" t="s">
        <v>807</v>
      </c>
      <c r="K1494" s="1220"/>
      <c r="L1494" s="1221"/>
      <c r="M1494" s="54"/>
      <c r="N1494" s="54"/>
      <c r="P1494" s="334"/>
      <c r="U1494" s="10"/>
    </row>
    <row r="1495" spans="1:21" ht="30" customHeight="1" x14ac:dyDescent="0.25">
      <c r="A1495" s="356" t="s">
        <v>735</v>
      </c>
      <c r="B1495" s="1222" t="s">
        <v>326</v>
      </c>
      <c r="C1495" s="1235"/>
      <c r="D1495" s="1223"/>
      <c r="E1495" s="577" t="s">
        <v>116</v>
      </c>
      <c r="F1495" s="577" t="s">
        <v>117</v>
      </c>
      <c r="G1495" s="1194" t="s">
        <v>118</v>
      </c>
      <c r="H1495" s="1195"/>
      <c r="I1495" s="356" t="s">
        <v>296</v>
      </c>
      <c r="J1495" s="633" t="s">
        <v>303</v>
      </c>
      <c r="K1495" s="1236" t="s">
        <v>285</v>
      </c>
      <c r="L1495" s="1237"/>
      <c r="M1495" s="54"/>
      <c r="N1495" s="54"/>
      <c r="P1495" s="334"/>
    </row>
    <row r="1496" spans="1:21" ht="30" customHeight="1" x14ac:dyDescent="0.25">
      <c r="A1496" s="365" t="s">
        <v>680</v>
      </c>
      <c r="B1496" s="1209" t="s">
        <v>1051</v>
      </c>
      <c r="C1496" s="1210"/>
      <c r="D1496" s="1211"/>
      <c r="E1496" s="766">
        <f>+Q922</f>
        <v>21.15</v>
      </c>
      <c r="F1496" s="661" t="s">
        <v>205</v>
      </c>
      <c r="G1496" s="696"/>
      <c r="H1496" s="695"/>
      <c r="I1496" s="706">
        <f>+S922</f>
        <v>1.1599999999999999</v>
      </c>
      <c r="J1496" s="706">
        <f>+T922</f>
        <v>0.97169811320754718</v>
      </c>
      <c r="K1496" s="247">
        <f>+E1496*I1496*J1496</f>
        <v>23.839641509433957</v>
      </c>
      <c r="L1496" s="365" t="s">
        <v>205</v>
      </c>
      <c r="M1496" s="54"/>
      <c r="N1496" s="54"/>
      <c r="O1496" s="344"/>
      <c r="P1496" s="334"/>
    </row>
    <row r="1497" spans="1:21" ht="30" customHeight="1" x14ac:dyDescent="0.25">
      <c r="A1497" s="365" t="s">
        <v>533</v>
      </c>
      <c r="B1497" s="1209" t="s">
        <v>690</v>
      </c>
      <c r="C1497" s="1210"/>
      <c r="D1497" s="1211"/>
      <c r="E1497" s="255">
        <f>+Q927</f>
        <v>5.29</v>
      </c>
      <c r="F1497" s="661" t="s">
        <v>205</v>
      </c>
      <c r="G1497" s="696"/>
      <c r="H1497" s="695"/>
      <c r="I1497" s="706">
        <f>+S927</f>
        <v>1.1200000000000001</v>
      </c>
      <c r="J1497" s="706">
        <f>+T927</f>
        <v>1</v>
      </c>
      <c r="K1497" s="247">
        <f>+E1497*I1497*J1497</f>
        <v>5.9248000000000003</v>
      </c>
      <c r="L1497" s="365" t="s">
        <v>205</v>
      </c>
      <c r="M1497" s="54"/>
      <c r="N1497" s="54"/>
      <c r="O1497" s="344"/>
      <c r="P1497" s="334"/>
    </row>
    <row r="1498" spans="1:21" ht="30" customHeight="1" x14ac:dyDescent="0.25">
      <c r="A1498" s="365" t="s">
        <v>327</v>
      </c>
      <c r="B1498" s="1209" t="s">
        <v>1052</v>
      </c>
      <c r="C1498" s="1210"/>
      <c r="D1498" s="1211"/>
      <c r="E1498" s="766">
        <f>+Q921</f>
        <v>48.5</v>
      </c>
      <c r="F1498" s="661" t="s">
        <v>205</v>
      </c>
      <c r="G1498" s="661"/>
      <c r="H1498" s="695"/>
      <c r="I1498" s="706">
        <f>+S921</f>
        <v>1.22</v>
      </c>
      <c r="J1498" s="706">
        <f>+T921</f>
        <v>1</v>
      </c>
      <c r="K1498" s="247">
        <f>+E1498*I1498*J1498</f>
        <v>59.17</v>
      </c>
      <c r="L1498" s="365" t="s">
        <v>205</v>
      </c>
      <c r="M1498" s="54"/>
      <c r="N1498" s="54"/>
      <c r="P1498" s="334"/>
    </row>
    <row r="1499" spans="1:21" ht="30" customHeight="1" x14ac:dyDescent="0.25">
      <c r="A1499" s="365"/>
      <c r="B1499" s="738"/>
      <c r="C1499" s="591"/>
      <c r="D1499" s="589"/>
      <c r="E1499" s="246"/>
      <c r="F1499" s="661"/>
      <c r="G1499" s="661"/>
      <c r="H1499" s="695"/>
      <c r="I1499" s="1539" t="s">
        <v>396</v>
      </c>
      <c r="J1499" s="1540"/>
      <c r="K1499" s="247">
        <f>0.09*K1496+0.06*K1497+0.85*K1498</f>
        <v>52.795555735849057</v>
      </c>
      <c r="L1499" s="365" t="s">
        <v>205</v>
      </c>
      <c r="M1499" s="54"/>
      <c r="N1499" s="54"/>
      <c r="P1499" s="334"/>
    </row>
    <row r="1500" spans="1:21" ht="30" customHeight="1" x14ac:dyDescent="0.25">
      <c r="A1500" s="365" t="s">
        <v>301</v>
      </c>
      <c r="B1500" s="1209" t="s">
        <v>691</v>
      </c>
      <c r="C1500" s="1210"/>
      <c r="D1500" s="1211"/>
      <c r="E1500" s="256">
        <f>+Q928</f>
        <v>504.5</v>
      </c>
      <c r="F1500" s="661" t="s">
        <v>76</v>
      </c>
      <c r="G1500" s="661">
        <v>2.5000000000000001E-2</v>
      </c>
      <c r="H1500" s="695" t="s">
        <v>1053</v>
      </c>
      <c r="I1500" s="706">
        <f>+S928</f>
        <v>1.1000000000000001</v>
      </c>
      <c r="J1500" s="706">
        <f>+T928</f>
        <v>1</v>
      </c>
      <c r="K1500" s="247">
        <f>+E1500*G1500*I1500*J1500</f>
        <v>13.873750000000001</v>
      </c>
      <c r="L1500" s="365" t="s">
        <v>205</v>
      </c>
      <c r="M1500" s="54"/>
      <c r="N1500" s="54"/>
      <c r="P1500" s="334"/>
    </row>
    <row r="1501" spans="1:21" ht="30" customHeight="1" x14ac:dyDescent="0.25">
      <c r="A1501" s="365" t="s">
        <v>301</v>
      </c>
      <c r="B1501" s="1209" t="s">
        <v>696</v>
      </c>
      <c r="C1501" s="1210"/>
      <c r="D1501" s="1211"/>
      <c r="E1501" s="256">
        <f>+Q930</f>
        <v>362.5</v>
      </c>
      <c r="F1501" s="661" t="s">
        <v>76</v>
      </c>
      <c r="G1501" s="661">
        <v>2.5000000000000001E-2</v>
      </c>
      <c r="H1501" s="695" t="s">
        <v>1053</v>
      </c>
      <c r="I1501" s="706">
        <f>+S930</f>
        <v>1.1000000000000001</v>
      </c>
      <c r="J1501" s="706">
        <f>+T930</f>
        <v>1</v>
      </c>
      <c r="K1501" s="247">
        <f>+E1501*G1501*I1501*J1501</f>
        <v>9.96875</v>
      </c>
      <c r="L1501" s="365" t="s">
        <v>205</v>
      </c>
      <c r="M1501" s="54"/>
      <c r="N1501" s="54"/>
      <c r="P1501" s="334"/>
    </row>
    <row r="1502" spans="1:21" ht="30" customHeight="1" x14ac:dyDescent="0.25">
      <c r="A1502" s="365" t="s">
        <v>702</v>
      </c>
      <c r="B1502" s="1209" t="s">
        <v>1054</v>
      </c>
      <c r="C1502" s="1210"/>
      <c r="D1502" s="1211"/>
      <c r="E1502" s="256">
        <f>+Q933</f>
        <v>19.62</v>
      </c>
      <c r="F1502" s="661" t="s">
        <v>40</v>
      </c>
      <c r="G1502" s="767">
        <f>2400/19600</f>
        <v>0.12244897959183673</v>
      </c>
      <c r="H1502" s="695" t="s">
        <v>1055</v>
      </c>
      <c r="I1502" s="706">
        <f>+S933</f>
        <v>1.1000000000000001</v>
      </c>
      <c r="J1502" s="706">
        <f>+T933</f>
        <v>1</v>
      </c>
      <c r="K1502" s="265">
        <f>+E1502*G1502*I1502*J1502</f>
        <v>2.6426938775510207</v>
      </c>
      <c r="L1502" s="365" t="s">
        <v>205</v>
      </c>
      <c r="M1502" s="54"/>
      <c r="N1502" s="54"/>
      <c r="P1502" s="334"/>
    </row>
    <row r="1503" spans="1:21" ht="30" customHeight="1" x14ac:dyDescent="0.25">
      <c r="A1503" s="365">
        <v>85110</v>
      </c>
      <c r="B1503" s="1209" t="s">
        <v>1056</v>
      </c>
      <c r="C1503" s="1210"/>
      <c r="D1503" s="1211"/>
      <c r="E1503" s="256">
        <f>+Q941</f>
        <v>62</v>
      </c>
      <c r="F1503" s="365" t="s">
        <v>9</v>
      </c>
      <c r="G1503" s="661">
        <v>1.01</v>
      </c>
      <c r="H1503" s="695" t="s">
        <v>1057</v>
      </c>
      <c r="I1503" s="758">
        <v>0.9405</v>
      </c>
      <c r="J1503" s="365"/>
      <c r="K1503" s="265">
        <f>+E1503*G1503*I1503</f>
        <v>58.894109999999998</v>
      </c>
      <c r="L1503" s="365" t="s">
        <v>205</v>
      </c>
      <c r="M1503" s="54"/>
      <c r="N1503" s="54"/>
      <c r="O1503" s="336"/>
      <c r="P1503" s="334"/>
      <c r="Q1503" s="335"/>
      <c r="R1503" s="336"/>
      <c r="S1503" s="337"/>
    </row>
    <row r="1504" spans="1:21" ht="30" customHeight="1" x14ac:dyDescent="0.25">
      <c r="A1504" s="365">
        <v>85110</v>
      </c>
      <c r="B1504" s="1209" t="s">
        <v>1058</v>
      </c>
      <c r="C1504" s="1210"/>
      <c r="D1504" s="1211"/>
      <c r="E1504" s="256">
        <f>+Q940</f>
        <v>19.600000000000001</v>
      </c>
      <c r="F1504" s="661" t="s">
        <v>9</v>
      </c>
      <c r="G1504" s="661">
        <v>0.69</v>
      </c>
      <c r="H1504" s="695" t="s">
        <v>1057</v>
      </c>
      <c r="I1504" s="758">
        <v>0.9405</v>
      </c>
      <c r="J1504" s="365"/>
      <c r="K1504" s="265">
        <f>+E1504*G1504*I1504</f>
        <v>12.719322</v>
      </c>
      <c r="L1504" s="365" t="s">
        <v>205</v>
      </c>
      <c r="M1504" s="54"/>
      <c r="N1504" s="54"/>
      <c r="O1504" s="336"/>
      <c r="P1504" s="334"/>
      <c r="Q1504" s="335"/>
      <c r="R1504" s="336"/>
      <c r="S1504" s="337"/>
    </row>
    <row r="1505" spans="1:25" ht="30" customHeight="1" x14ac:dyDescent="0.25">
      <c r="A1505" s="365" t="s">
        <v>535</v>
      </c>
      <c r="B1505" s="1209" t="s">
        <v>1059</v>
      </c>
      <c r="C1505" s="1210"/>
      <c r="D1505" s="1211"/>
      <c r="E1505" s="717">
        <f>+Q939</f>
        <v>25.5</v>
      </c>
      <c r="F1505" s="396" t="s">
        <v>537</v>
      </c>
      <c r="G1505" s="804">
        <v>0.9</v>
      </c>
      <c r="H1505" s="690" t="s">
        <v>655</v>
      </c>
      <c r="I1505" s="365">
        <f>+S939</f>
        <v>1.1200000000000001</v>
      </c>
      <c r="J1505" s="706">
        <f>+T939</f>
        <v>1</v>
      </c>
      <c r="K1505" s="717">
        <f>+E1505*G1505*I1505*J1505</f>
        <v>25.704000000000001</v>
      </c>
      <c r="L1505" s="396" t="s">
        <v>205</v>
      </c>
      <c r="M1505" s="54"/>
      <c r="N1505" s="54"/>
      <c r="P1505" s="334"/>
    </row>
    <row r="1506" spans="1:25" ht="30" customHeight="1" x14ac:dyDescent="0.25">
      <c r="A1506" s="365" t="s">
        <v>684</v>
      </c>
      <c r="B1506" s="1209" t="s">
        <v>1060</v>
      </c>
      <c r="C1506" s="1210"/>
      <c r="D1506" s="1211"/>
      <c r="E1506" s="255">
        <f>+Q924</f>
        <v>9.6300000000000008</v>
      </c>
      <c r="F1506" s="661" t="s">
        <v>205</v>
      </c>
      <c r="G1506" s="661">
        <v>0.22</v>
      </c>
      <c r="H1506" s="695" t="s">
        <v>1053</v>
      </c>
      <c r="I1506" s="365">
        <f>S924</f>
        <v>1.23</v>
      </c>
      <c r="J1506" s="706">
        <f>+T924</f>
        <v>1</v>
      </c>
      <c r="K1506" s="265">
        <f>+E1506*G1506*I1506*J1506</f>
        <v>2.6058780000000001</v>
      </c>
      <c r="L1506" s="365" t="s">
        <v>205</v>
      </c>
      <c r="M1506" s="54"/>
      <c r="N1506" s="54"/>
      <c r="P1506" s="334"/>
    </row>
    <row r="1507" spans="1:25" ht="30" customHeight="1" x14ac:dyDescent="0.25">
      <c r="A1507" s="365">
        <v>93210</v>
      </c>
      <c r="B1507" s="1209" t="s">
        <v>1061</v>
      </c>
      <c r="C1507" s="1210"/>
      <c r="D1507" s="1211"/>
      <c r="E1507" s="256">
        <f>+Q944</f>
        <v>48.6</v>
      </c>
      <c r="F1507" s="661" t="s">
        <v>25</v>
      </c>
      <c r="G1507" s="767">
        <v>0.217</v>
      </c>
      <c r="H1507" s="695" t="s">
        <v>1062</v>
      </c>
      <c r="I1507" s="758">
        <v>0.9405</v>
      </c>
      <c r="J1507" s="365"/>
      <c r="K1507" s="265">
        <f>+E1507*G1507*I1507</f>
        <v>9.9187010999999998</v>
      </c>
      <c r="L1507" s="365" t="s">
        <v>205</v>
      </c>
      <c r="M1507" s="54"/>
      <c r="N1507" s="54"/>
      <c r="P1507" s="334"/>
    </row>
    <row r="1508" spans="1:25" ht="30" customHeight="1" x14ac:dyDescent="0.25">
      <c r="A1508" s="365">
        <v>93410</v>
      </c>
      <c r="B1508" s="1209" t="s">
        <v>1063</v>
      </c>
      <c r="C1508" s="1210"/>
      <c r="D1508" s="1211"/>
      <c r="E1508" s="256">
        <f>+Q942</f>
        <v>8.6999999999999993</v>
      </c>
      <c r="F1508" s="661" t="s">
        <v>25</v>
      </c>
      <c r="G1508" s="767">
        <v>0.10306122448979592</v>
      </c>
      <c r="H1508" s="695" t="s">
        <v>1062</v>
      </c>
      <c r="I1508" s="758">
        <v>0.9405</v>
      </c>
      <c r="J1508" s="365"/>
      <c r="K1508" s="247">
        <f>+E1508*G1508*I1508</f>
        <v>0.84328301020408158</v>
      </c>
      <c r="L1508" s="365" t="s">
        <v>205</v>
      </c>
      <c r="M1508" s="54"/>
      <c r="N1508" s="54"/>
      <c r="O1508" s="543"/>
      <c r="P1508" s="344"/>
      <c r="Q1508" s="345"/>
      <c r="R1508" s="345"/>
      <c r="S1508" s="345"/>
      <c r="T1508" s="345"/>
    </row>
    <row r="1509" spans="1:25" ht="30" customHeight="1" x14ac:dyDescent="0.25">
      <c r="A1509" s="365"/>
      <c r="B1509" s="1281"/>
      <c r="C1509" s="1281"/>
      <c r="D1509" s="1281"/>
      <c r="E1509" s="247"/>
      <c r="F1509" s="365"/>
      <c r="G1509" s="366"/>
      <c r="H1509" s="662"/>
      <c r="I1509" s="365"/>
      <c r="J1509" s="365" t="s">
        <v>408</v>
      </c>
      <c r="K1509" s="265">
        <f>SUM(K1499:K1508)</f>
        <v>189.96604372360417</v>
      </c>
      <c r="L1509" s="365" t="s">
        <v>205</v>
      </c>
      <c r="M1509" s="54"/>
      <c r="N1509" s="54"/>
      <c r="U1509" s="345"/>
      <c r="V1509" s="345"/>
      <c r="W1509" s="345"/>
      <c r="X1509" s="345"/>
      <c r="Y1509" s="345"/>
    </row>
    <row r="1510" spans="1:25" s="345" customFormat="1" ht="30" customHeight="1" x14ac:dyDescent="0.25">
      <c r="A1510" s="1172" t="s">
        <v>745</v>
      </c>
      <c r="B1510" s="1173"/>
      <c r="C1510" s="1173"/>
      <c r="D1510" s="1174"/>
      <c r="E1510" s="366"/>
      <c r="F1510" s="366"/>
      <c r="G1510" s="366"/>
      <c r="H1510" s="366"/>
      <c r="I1510" s="366"/>
      <c r="J1510" s="365" t="s">
        <v>72</v>
      </c>
      <c r="K1510" s="246">
        <f>+K1509</f>
        <v>189.96604372360417</v>
      </c>
      <c r="L1510" s="365" t="s">
        <v>205</v>
      </c>
      <c r="M1510" s="54"/>
      <c r="N1510" s="54"/>
      <c r="O1510" s="340"/>
      <c r="P1510" s="340"/>
      <c r="Q1510" s="334"/>
      <c r="R1510" s="334"/>
      <c r="S1510" s="334"/>
      <c r="T1510" s="334"/>
      <c r="U1510" s="334"/>
      <c r="V1510" s="334"/>
      <c r="W1510" s="334"/>
      <c r="X1510" s="334"/>
      <c r="Y1510" s="334"/>
    </row>
    <row r="1511" spans="1:25" ht="30" customHeight="1" thickBot="1" x14ac:dyDescent="0.3">
      <c r="A1511" s="1336"/>
      <c r="B1511" s="1337"/>
      <c r="C1511" s="1337"/>
      <c r="D1511" s="1338"/>
      <c r="E1511" s="366"/>
      <c r="F1511" s="366"/>
      <c r="G1511" s="580" t="s">
        <v>306</v>
      </c>
      <c r="H1511" s="366"/>
      <c r="I1511" s="366"/>
      <c r="J1511" s="521">
        <f>VLOOKUP(B1494,'Mil Cost Premiums for PUCs'!$A$4:$R$277,18,FALSE)</f>
        <v>1.0821211439999998</v>
      </c>
      <c r="K1511" s="246">
        <f>+K1510*J1511</f>
        <v>205.56627255534053</v>
      </c>
      <c r="L1511" s="365" t="s">
        <v>205</v>
      </c>
      <c r="M1511" s="54"/>
      <c r="N1511" s="54"/>
      <c r="O1511" s="336"/>
      <c r="P1511" s="334"/>
      <c r="Q1511" s="335"/>
      <c r="R1511" s="336"/>
      <c r="S1511" s="337"/>
    </row>
    <row r="1512" spans="1:25" ht="60" customHeight="1" x14ac:dyDescent="0.25">
      <c r="A1512" s="1230" t="s">
        <v>307</v>
      </c>
      <c r="B1512" s="1231"/>
      <c r="C1512" s="1231"/>
      <c r="D1512" s="1231"/>
      <c r="E1512" s="1231"/>
      <c r="F1512" s="1231"/>
      <c r="G1512" s="1231"/>
      <c r="H1512" s="1231"/>
      <c r="I1512" s="1231"/>
      <c r="J1512" s="1231"/>
      <c r="K1512" s="1231"/>
      <c r="L1512" s="1232"/>
      <c r="M1512" s="54"/>
      <c r="N1512" s="54"/>
      <c r="O1512" s="336"/>
      <c r="P1512" s="334"/>
      <c r="Q1512" s="335"/>
      <c r="R1512" s="336"/>
      <c r="S1512" s="337"/>
    </row>
    <row r="1513" spans="1:25" ht="30" customHeight="1" x14ac:dyDescent="0.25">
      <c r="A1513" s="1330" t="s">
        <v>308</v>
      </c>
      <c r="B1513" s="1331"/>
      <c r="C1513" s="1332"/>
      <c r="D1513" s="1230" t="s">
        <v>1064</v>
      </c>
      <c r="E1513" s="1231"/>
      <c r="F1513" s="1231"/>
      <c r="G1513" s="1231"/>
      <c r="H1513" s="1231"/>
      <c r="I1513" s="1231"/>
      <c r="J1513" s="1231"/>
      <c r="K1513" s="1231"/>
      <c r="L1513" s="1232"/>
      <c r="M1513" s="54"/>
      <c r="N1513" s="54"/>
      <c r="P1513" s="334"/>
      <c r="Q1513" s="335"/>
      <c r="R1513" s="336"/>
      <c r="S1513" s="337"/>
    </row>
    <row r="1514" spans="1:25" ht="30" customHeight="1" x14ac:dyDescent="0.25">
      <c r="A1514" s="1330" t="s">
        <v>310</v>
      </c>
      <c r="B1514" s="1331"/>
      <c r="C1514" s="1332"/>
      <c r="D1514" s="1230" t="s">
        <v>1065</v>
      </c>
      <c r="E1514" s="1231"/>
      <c r="F1514" s="1231"/>
      <c r="G1514" s="1231"/>
      <c r="H1514" s="1231"/>
      <c r="I1514" s="1231"/>
      <c r="J1514" s="1231"/>
      <c r="K1514" s="1231"/>
      <c r="L1514" s="1232"/>
      <c r="M1514" s="54"/>
      <c r="N1514" s="54"/>
      <c r="P1514" s="334"/>
      <c r="Q1514" s="335"/>
      <c r="R1514" s="336"/>
      <c r="S1514" s="337"/>
    </row>
    <row r="1515" spans="1:25" ht="30" customHeight="1" x14ac:dyDescent="0.25">
      <c r="A1515" s="1330" t="s">
        <v>312</v>
      </c>
      <c r="B1515" s="1331"/>
      <c r="C1515" s="1332"/>
      <c r="D1515" s="1230" t="s">
        <v>1066</v>
      </c>
      <c r="E1515" s="1231"/>
      <c r="F1515" s="1231"/>
      <c r="G1515" s="1231"/>
      <c r="H1515" s="1231"/>
      <c r="I1515" s="1231"/>
      <c r="J1515" s="1231"/>
      <c r="K1515" s="1231"/>
      <c r="L1515" s="1232"/>
      <c r="M1515" s="54"/>
      <c r="N1515" s="54"/>
      <c r="O1515" s="336"/>
      <c r="P1515" s="334"/>
      <c r="Q1515" s="335"/>
      <c r="R1515" s="336"/>
      <c r="S1515" s="337"/>
    </row>
    <row r="1516" spans="1:25" ht="30" customHeight="1" x14ac:dyDescent="0.25">
      <c r="A1516" s="1330" t="s">
        <v>314</v>
      </c>
      <c r="B1516" s="1331"/>
      <c r="C1516" s="1332"/>
      <c r="D1516" s="1230" t="s">
        <v>1067</v>
      </c>
      <c r="E1516" s="1231"/>
      <c r="F1516" s="1231"/>
      <c r="G1516" s="1231"/>
      <c r="H1516" s="1231"/>
      <c r="I1516" s="1231"/>
      <c r="J1516" s="1231"/>
      <c r="K1516" s="1231"/>
      <c r="L1516" s="1232"/>
      <c r="M1516" s="54"/>
      <c r="N1516" s="54"/>
      <c r="O1516" s="336"/>
      <c r="P1516" s="334"/>
      <c r="Q1516" s="335"/>
      <c r="R1516" s="336"/>
      <c r="S1516" s="337"/>
    </row>
    <row r="1517" spans="1:25" ht="30" customHeight="1" x14ac:dyDescent="0.25">
      <c r="A1517" s="1330" t="s">
        <v>316</v>
      </c>
      <c r="B1517" s="1331"/>
      <c r="C1517" s="1332"/>
      <c r="D1517" s="1230" t="s">
        <v>1068</v>
      </c>
      <c r="E1517" s="1231"/>
      <c r="F1517" s="1231"/>
      <c r="G1517" s="1231"/>
      <c r="H1517" s="1231"/>
      <c r="I1517" s="1231"/>
      <c r="J1517" s="1231"/>
      <c r="K1517" s="1231"/>
      <c r="L1517" s="1232"/>
      <c r="M1517" s="54"/>
      <c r="N1517" s="54"/>
      <c r="O1517" s="336"/>
      <c r="P1517" s="334"/>
      <c r="Q1517" s="335"/>
      <c r="R1517" s="336"/>
      <c r="S1517" s="337"/>
    </row>
    <row r="1518" spans="1:25" ht="30" customHeight="1" x14ac:dyDescent="0.25">
      <c r="A1518" s="1330" t="s">
        <v>318</v>
      </c>
      <c r="B1518" s="1331"/>
      <c r="C1518" s="1332"/>
      <c r="D1518" s="1230" t="s">
        <v>1069</v>
      </c>
      <c r="E1518" s="1231"/>
      <c r="F1518" s="1231"/>
      <c r="G1518" s="1231"/>
      <c r="H1518" s="1231"/>
      <c r="I1518" s="1231"/>
      <c r="J1518" s="1231"/>
      <c r="K1518" s="1231"/>
      <c r="L1518" s="1232"/>
      <c r="M1518" s="54"/>
      <c r="N1518" s="54"/>
      <c r="O1518" s="336"/>
      <c r="P1518" s="334"/>
      <c r="Q1518" s="335"/>
      <c r="R1518" s="336"/>
      <c r="S1518" s="337"/>
    </row>
    <row r="1519" spans="1:25" ht="30" customHeight="1" x14ac:dyDescent="0.25">
      <c r="A1519" s="1330" t="s">
        <v>320</v>
      </c>
      <c r="B1519" s="1331"/>
      <c r="C1519" s="1332"/>
      <c r="D1519" s="1230" t="s">
        <v>1070</v>
      </c>
      <c r="E1519" s="1231"/>
      <c r="F1519" s="1231"/>
      <c r="G1519" s="1231"/>
      <c r="H1519" s="1231"/>
      <c r="I1519" s="1231"/>
      <c r="J1519" s="1231"/>
      <c r="K1519" s="1231"/>
      <c r="L1519" s="1232"/>
      <c r="M1519" s="54"/>
      <c r="N1519" s="54"/>
      <c r="O1519" s="336"/>
      <c r="P1519" s="334"/>
      <c r="Q1519" s="335"/>
      <c r="R1519" s="336"/>
      <c r="S1519" s="337"/>
    </row>
    <row r="1520" spans="1:25" ht="75" customHeight="1" x14ac:dyDescent="0.25">
      <c r="A1520" s="1330" t="s">
        <v>559</v>
      </c>
      <c r="B1520" s="1331"/>
      <c r="C1520" s="1332"/>
      <c r="D1520" s="1206" t="s">
        <v>1071</v>
      </c>
      <c r="E1520" s="1207"/>
      <c r="F1520" s="1207"/>
      <c r="G1520" s="1207"/>
      <c r="H1520" s="1207"/>
      <c r="I1520" s="1207"/>
      <c r="J1520" s="1207"/>
      <c r="K1520" s="1207"/>
      <c r="L1520" s="1208"/>
      <c r="M1520" s="54"/>
      <c r="N1520" s="54"/>
      <c r="O1520" s="336"/>
      <c r="P1520" s="334"/>
      <c r="Q1520" s="335"/>
      <c r="R1520" s="336"/>
      <c r="S1520" s="337"/>
    </row>
    <row r="1521" spans="1:19" ht="45" customHeight="1" thickBot="1" x14ac:dyDescent="0.3">
      <c r="A1521" s="1256" t="s">
        <v>350</v>
      </c>
      <c r="B1521" s="1257"/>
      <c r="C1521" s="1258"/>
      <c r="D1521" s="1291" t="s">
        <v>3386</v>
      </c>
      <c r="E1521" s="1292"/>
      <c r="F1521" s="1292"/>
      <c r="G1521" s="1292"/>
      <c r="H1521" s="1292"/>
      <c r="I1521" s="1292"/>
      <c r="J1521" s="1292"/>
      <c r="K1521" s="1292"/>
      <c r="L1521" s="1293"/>
      <c r="M1521" s="54"/>
      <c r="N1521" s="54"/>
      <c r="O1521" s="781"/>
      <c r="P1521" s="334"/>
      <c r="Q1521" s="335"/>
      <c r="R1521" s="336"/>
      <c r="S1521" s="337"/>
    </row>
    <row r="1522" spans="1:19" ht="30" customHeight="1" thickBot="1" x14ac:dyDescent="0.3">
      <c r="A1522" s="1180"/>
      <c r="B1522" s="1181"/>
      <c r="C1522" s="1181"/>
      <c r="D1522" s="1181"/>
      <c r="E1522" s="1181"/>
      <c r="F1522" s="1181"/>
      <c r="G1522" s="1181"/>
      <c r="H1522" s="1181"/>
      <c r="I1522" s="1181"/>
      <c r="J1522" s="1181"/>
      <c r="K1522" s="1181"/>
      <c r="L1522" s="1182"/>
      <c r="M1522" s="54"/>
      <c r="N1522" s="54"/>
      <c r="O1522" s="781"/>
      <c r="P1522" s="334"/>
      <c r="Q1522" s="335"/>
      <c r="R1522" s="336"/>
      <c r="S1522" s="337"/>
    </row>
    <row r="1523" spans="1:19" ht="75" customHeight="1" x14ac:dyDescent="0.25">
      <c r="A1523" s="327" t="s">
        <v>5</v>
      </c>
      <c r="B1523" s="328">
        <v>1797</v>
      </c>
      <c r="C1523" s="1251" t="s">
        <v>1072</v>
      </c>
      <c r="D1523" s="1252"/>
      <c r="E1523" s="331" t="s">
        <v>8</v>
      </c>
      <c r="F1523" s="332" t="s">
        <v>732</v>
      </c>
      <c r="G1523" s="346" t="s">
        <v>1073</v>
      </c>
      <c r="H1523" s="711">
        <v>1</v>
      </c>
      <c r="I1523" s="331" t="s">
        <v>10</v>
      </c>
      <c r="J1523" s="1220" t="s">
        <v>807</v>
      </c>
      <c r="K1523" s="1220"/>
      <c r="L1523" s="1221"/>
      <c r="M1523" s="54"/>
      <c r="N1523" s="54"/>
      <c r="O1523" s="336"/>
      <c r="P1523" s="334"/>
      <c r="Q1523" s="335"/>
      <c r="R1523" s="336"/>
      <c r="S1523" s="337"/>
    </row>
    <row r="1524" spans="1:19" ht="30" customHeight="1" x14ac:dyDescent="0.25">
      <c r="A1524" s="356" t="s">
        <v>735</v>
      </c>
      <c r="B1524" s="1222" t="s">
        <v>326</v>
      </c>
      <c r="C1524" s="1235"/>
      <c r="D1524" s="1223"/>
      <c r="E1524" s="577" t="s">
        <v>116</v>
      </c>
      <c r="F1524" s="577" t="s">
        <v>117</v>
      </c>
      <c r="G1524" s="1194" t="s">
        <v>118</v>
      </c>
      <c r="H1524" s="1195"/>
      <c r="I1524" s="356" t="s">
        <v>296</v>
      </c>
      <c r="J1524" s="633" t="s">
        <v>303</v>
      </c>
      <c r="K1524" s="1236" t="s">
        <v>285</v>
      </c>
      <c r="L1524" s="1237"/>
      <c r="M1524" s="54"/>
      <c r="N1524" s="54"/>
      <c r="O1524" s="336"/>
      <c r="P1524" s="334"/>
      <c r="Q1524" s="335"/>
      <c r="R1524" s="336"/>
      <c r="S1524" s="337"/>
    </row>
    <row r="1525" spans="1:19" ht="30" customHeight="1" x14ac:dyDescent="0.25">
      <c r="A1525" s="365" t="s">
        <v>684</v>
      </c>
      <c r="B1525" s="1209" t="s">
        <v>1074</v>
      </c>
      <c r="C1525" s="1210"/>
      <c r="D1525" s="1211"/>
      <c r="E1525" s="255">
        <f>+Q924</f>
        <v>9.6300000000000008</v>
      </c>
      <c r="F1525" s="661" t="s">
        <v>205</v>
      </c>
      <c r="G1525" s="753">
        <v>104</v>
      </c>
      <c r="H1525" s="695" t="s">
        <v>737</v>
      </c>
      <c r="I1525" s="365">
        <f>+S924</f>
        <v>1.23</v>
      </c>
      <c r="J1525" s="706">
        <f>+T924</f>
        <v>1</v>
      </c>
      <c r="K1525" s="247">
        <f>+E1525*G1525*I1525*J1525</f>
        <v>1231.8696</v>
      </c>
      <c r="L1525" s="365" t="s">
        <v>732</v>
      </c>
      <c r="M1525" s="54"/>
      <c r="N1525" s="54"/>
      <c r="O1525" s="336"/>
      <c r="P1525" s="334"/>
      <c r="Q1525" s="335"/>
      <c r="R1525" s="336"/>
      <c r="S1525" s="337"/>
    </row>
    <row r="1526" spans="1:19" ht="30" customHeight="1" x14ac:dyDescent="0.25">
      <c r="A1526" s="365" t="s">
        <v>684</v>
      </c>
      <c r="B1526" s="1209" t="s">
        <v>1075</v>
      </c>
      <c r="C1526" s="1210"/>
      <c r="D1526" s="1211"/>
      <c r="E1526" s="255">
        <f>+Q924</f>
        <v>9.6300000000000008</v>
      </c>
      <c r="F1526" s="661" t="s">
        <v>205</v>
      </c>
      <c r="G1526" s="753">
        <f>2*144</f>
        <v>288</v>
      </c>
      <c r="H1526" s="695" t="s">
        <v>737</v>
      </c>
      <c r="I1526" s="365">
        <f>+S924</f>
        <v>1.23</v>
      </c>
      <c r="J1526" s="706">
        <f>+T924</f>
        <v>1</v>
      </c>
      <c r="K1526" s="247">
        <f>+E1526*G1526*I1526*J1526</f>
        <v>3411.3312000000001</v>
      </c>
      <c r="L1526" s="365" t="s">
        <v>732</v>
      </c>
      <c r="M1526" s="54"/>
      <c r="N1526" s="54"/>
      <c r="O1526" s="336"/>
      <c r="P1526" s="334"/>
      <c r="Q1526" s="335"/>
      <c r="R1526" s="336"/>
      <c r="S1526" s="337"/>
    </row>
    <row r="1527" spans="1:19" ht="30" customHeight="1" x14ac:dyDescent="0.25">
      <c r="A1527" s="365">
        <v>93410</v>
      </c>
      <c r="B1527" s="1209" t="s">
        <v>1076</v>
      </c>
      <c r="C1527" s="1210"/>
      <c r="D1527" s="1211"/>
      <c r="E1527" s="256">
        <f>+Q942</f>
        <v>8.6999999999999993</v>
      </c>
      <c r="F1527" s="661" t="s">
        <v>25</v>
      </c>
      <c r="G1527" s="780">
        <f>2.6*4</f>
        <v>10.4</v>
      </c>
      <c r="H1527" s="695" t="s">
        <v>743</v>
      </c>
      <c r="I1527" s="758">
        <v>0.9405</v>
      </c>
      <c r="J1527" s="365"/>
      <c r="K1527" s="247">
        <f>+E1527*G1527*I1527</f>
        <v>85.096439999999987</v>
      </c>
      <c r="L1527" s="365" t="s">
        <v>732</v>
      </c>
      <c r="M1527" s="54"/>
      <c r="N1527" s="54"/>
      <c r="O1527" s="336"/>
      <c r="P1527" s="334"/>
      <c r="Q1527" s="335"/>
      <c r="R1527" s="336"/>
      <c r="S1527" s="337"/>
    </row>
    <row r="1528" spans="1:19" ht="30" customHeight="1" x14ac:dyDescent="0.25">
      <c r="A1528" s="365">
        <v>93410</v>
      </c>
      <c r="B1528" s="1209" t="s">
        <v>1077</v>
      </c>
      <c r="C1528" s="1210"/>
      <c r="D1528" s="1211"/>
      <c r="E1528" s="256">
        <f>+Q942</f>
        <v>8.6999999999999993</v>
      </c>
      <c r="F1528" s="661" t="s">
        <v>25</v>
      </c>
      <c r="G1528" s="753">
        <v>26</v>
      </c>
      <c r="H1528" s="695" t="s">
        <v>743</v>
      </c>
      <c r="I1528" s="758">
        <v>0.9405</v>
      </c>
      <c r="J1528" s="365"/>
      <c r="K1528" s="247">
        <f>+E1528*G1528*I1528</f>
        <v>212.74109999999999</v>
      </c>
      <c r="L1528" s="365" t="s">
        <v>732</v>
      </c>
      <c r="M1528" s="54"/>
      <c r="N1528" s="54"/>
      <c r="O1528" s="336"/>
      <c r="P1528" s="334"/>
      <c r="Q1528" s="335"/>
      <c r="R1528" s="336"/>
      <c r="S1528" s="337"/>
    </row>
    <row r="1529" spans="1:19" ht="30" customHeight="1" x14ac:dyDescent="0.25">
      <c r="A1529" s="365">
        <v>93210</v>
      </c>
      <c r="B1529" s="1209" t="s">
        <v>1078</v>
      </c>
      <c r="C1529" s="1210"/>
      <c r="D1529" s="1211"/>
      <c r="E1529" s="256">
        <f>+Q944</f>
        <v>48.6</v>
      </c>
      <c r="F1529" s="661" t="s">
        <v>25</v>
      </c>
      <c r="G1529" s="753">
        <v>26</v>
      </c>
      <c r="H1529" s="695" t="s">
        <v>743</v>
      </c>
      <c r="I1529" s="758">
        <v>0.9405</v>
      </c>
      <c r="J1529" s="365"/>
      <c r="K1529" s="247">
        <f>+E1529*G1529*I1529</f>
        <v>1188.4158000000002</v>
      </c>
      <c r="L1529" s="365" t="s">
        <v>732</v>
      </c>
      <c r="M1529" s="54"/>
      <c r="N1529" s="54"/>
      <c r="O1529" s="336"/>
      <c r="P1529" s="334"/>
      <c r="Q1529" s="335"/>
      <c r="R1529" s="336"/>
      <c r="S1529" s="337"/>
    </row>
    <row r="1530" spans="1:19" ht="30" customHeight="1" x14ac:dyDescent="0.25">
      <c r="A1530" s="1172" t="s">
        <v>745</v>
      </c>
      <c r="B1530" s="1173"/>
      <c r="C1530" s="1173"/>
      <c r="D1530" s="1174"/>
      <c r="E1530" s="247"/>
      <c r="F1530" s="365"/>
      <c r="G1530" s="366"/>
      <c r="H1530" s="662"/>
      <c r="I1530" s="365"/>
      <c r="J1530" s="365" t="s">
        <v>408</v>
      </c>
      <c r="K1530" s="247">
        <f>SUM(K1525:K1529)</f>
        <v>6129.4541400000016</v>
      </c>
      <c r="L1530" s="365" t="s">
        <v>732</v>
      </c>
      <c r="M1530" s="54"/>
      <c r="N1530" s="54"/>
      <c r="O1530" s="336"/>
      <c r="P1530" s="334"/>
      <c r="Q1530" s="335"/>
      <c r="R1530" s="336"/>
      <c r="S1530" s="337"/>
    </row>
    <row r="1531" spans="1:19" ht="30" customHeight="1" thickBot="1" x14ac:dyDescent="0.3">
      <c r="A1531" s="1336"/>
      <c r="B1531" s="1337"/>
      <c r="C1531" s="1337"/>
      <c r="D1531" s="1338"/>
      <c r="E1531" s="366"/>
      <c r="F1531" s="366"/>
      <c r="G1531" s="580" t="s">
        <v>306</v>
      </c>
      <c r="H1531" s="366"/>
      <c r="I1531" s="366"/>
      <c r="J1531" s="521">
        <f>VLOOKUP(B1523,'Mil Cost Premiums for PUCs'!$A$4:$R$277,18,FALSE)</f>
        <v>1.0485669999999998</v>
      </c>
      <c r="K1531" s="246">
        <f>+K1530*J1531</f>
        <v>6427.1433392173803</v>
      </c>
      <c r="L1531" s="365" t="s">
        <v>732</v>
      </c>
      <c r="M1531" s="54"/>
      <c r="N1531" s="54"/>
      <c r="O1531" s="336"/>
      <c r="P1531" s="334"/>
      <c r="Q1531" s="335"/>
      <c r="R1531" s="336"/>
      <c r="S1531" s="337"/>
    </row>
    <row r="1532" spans="1:19" ht="30" customHeight="1" thickBot="1" x14ac:dyDescent="0.3">
      <c r="A1532" s="1180"/>
      <c r="B1532" s="1181"/>
      <c r="C1532" s="1181"/>
      <c r="D1532" s="1181"/>
      <c r="E1532" s="1181"/>
      <c r="F1532" s="1181"/>
      <c r="G1532" s="1181"/>
      <c r="H1532" s="1181"/>
      <c r="I1532" s="1181"/>
      <c r="J1532" s="1181"/>
      <c r="K1532" s="1181"/>
      <c r="L1532" s="1182"/>
      <c r="M1532" s="54"/>
      <c r="N1532" s="54"/>
      <c r="O1532" s="336"/>
      <c r="P1532" s="334"/>
      <c r="Q1532" s="335"/>
      <c r="R1532" s="336"/>
      <c r="S1532" s="337"/>
    </row>
    <row r="1533" spans="1:19" ht="60" customHeight="1" x14ac:dyDescent="0.25">
      <c r="A1533" s="327" t="s">
        <v>5</v>
      </c>
      <c r="B1533" s="328">
        <v>1798</v>
      </c>
      <c r="C1533" s="1251" t="s">
        <v>1079</v>
      </c>
      <c r="D1533" s="1252"/>
      <c r="E1533" s="331" t="s">
        <v>8</v>
      </c>
      <c r="F1533" s="332" t="s">
        <v>76</v>
      </c>
      <c r="G1533" s="346" t="s">
        <v>1080</v>
      </c>
      <c r="H1533" s="576">
        <v>1</v>
      </c>
      <c r="I1533" s="331" t="s">
        <v>10</v>
      </c>
      <c r="J1533" s="1220" t="s">
        <v>807</v>
      </c>
      <c r="K1533" s="1220"/>
      <c r="L1533" s="1221"/>
      <c r="M1533" s="54"/>
      <c r="N1533" s="54"/>
      <c r="O1533" s="336"/>
      <c r="P1533" s="334"/>
      <c r="Q1533" s="335"/>
      <c r="R1533" s="336"/>
      <c r="S1533" s="337"/>
    </row>
    <row r="1534" spans="1:19" ht="30" customHeight="1" x14ac:dyDescent="0.25">
      <c r="A1534" s="356" t="s">
        <v>735</v>
      </c>
      <c r="B1534" s="1222" t="s">
        <v>326</v>
      </c>
      <c r="C1534" s="1235"/>
      <c r="D1534" s="1223"/>
      <c r="E1534" s="577" t="s">
        <v>116</v>
      </c>
      <c r="F1534" s="577" t="s">
        <v>117</v>
      </c>
      <c r="G1534" s="1194" t="s">
        <v>118</v>
      </c>
      <c r="H1534" s="1195"/>
      <c r="I1534" s="356" t="s">
        <v>296</v>
      </c>
      <c r="J1534" s="633" t="s">
        <v>303</v>
      </c>
      <c r="K1534" s="1236" t="s">
        <v>285</v>
      </c>
      <c r="L1534" s="1237"/>
      <c r="M1534" s="54"/>
      <c r="N1534" s="54"/>
      <c r="O1534" s="336"/>
      <c r="P1534" s="334"/>
      <c r="Q1534" s="335"/>
      <c r="R1534" s="336"/>
      <c r="S1534" s="337"/>
    </row>
    <row r="1535" spans="1:19" ht="30" customHeight="1" x14ac:dyDescent="0.25">
      <c r="A1535" s="365" t="s">
        <v>684</v>
      </c>
      <c r="B1535" s="1209" t="s">
        <v>1081</v>
      </c>
      <c r="C1535" s="1210"/>
      <c r="D1535" s="1211"/>
      <c r="E1535" s="256">
        <f>+Q925</f>
        <v>11.77</v>
      </c>
      <c r="F1535" s="365" t="s">
        <v>205</v>
      </c>
      <c r="G1535" s="753">
        <f>(720*10.7639)</f>
        <v>7750.0079999999998</v>
      </c>
      <c r="H1535" s="695" t="s">
        <v>859</v>
      </c>
      <c r="I1535" s="365">
        <f>+S925</f>
        <v>1.23</v>
      </c>
      <c r="J1535" s="706">
        <f>+T925</f>
        <v>1</v>
      </c>
      <c r="K1535" s="247">
        <f>+E1535*G1535*I1535*J1535</f>
        <v>112197.64081679999</v>
      </c>
      <c r="L1535" s="365" t="s">
        <v>76</v>
      </c>
      <c r="M1535" s="54"/>
      <c r="N1535" s="54"/>
      <c r="O1535" s="336"/>
      <c r="P1535" s="334"/>
      <c r="Q1535" s="335"/>
      <c r="R1535" s="336"/>
      <c r="S1535" s="337"/>
    </row>
    <row r="1536" spans="1:19" ht="30" customHeight="1" x14ac:dyDescent="0.25">
      <c r="A1536" s="365" t="s">
        <v>684</v>
      </c>
      <c r="B1536" s="1209" t="s">
        <v>1082</v>
      </c>
      <c r="C1536" s="1210"/>
      <c r="D1536" s="1211"/>
      <c r="E1536" s="255">
        <f>+Q924</f>
        <v>9.6300000000000008</v>
      </c>
      <c r="F1536" s="661" t="s">
        <v>205</v>
      </c>
      <c r="G1536" s="753">
        <f>3*144</f>
        <v>432</v>
      </c>
      <c r="H1536" s="695" t="s">
        <v>859</v>
      </c>
      <c r="I1536" s="365">
        <f>+S924</f>
        <v>1.23</v>
      </c>
      <c r="J1536" s="706">
        <f>+T924</f>
        <v>1</v>
      </c>
      <c r="K1536" s="247">
        <f>+E1536*G1536*I1536*J1536</f>
        <v>5116.9968000000008</v>
      </c>
      <c r="L1536" s="365" t="s">
        <v>76</v>
      </c>
      <c r="M1536" s="54"/>
      <c r="N1536" s="54"/>
      <c r="O1536" s="336"/>
      <c r="P1536" s="334"/>
      <c r="Q1536" s="335"/>
      <c r="R1536" s="336"/>
      <c r="S1536" s="337"/>
    </row>
    <row r="1537" spans="1:25" ht="30" customHeight="1" x14ac:dyDescent="0.25">
      <c r="A1537" s="365">
        <v>93410</v>
      </c>
      <c r="B1537" s="1209" t="s">
        <v>1083</v>
      </c>
      <c r="C1537" s="1210"/>
      <c r="D1537" s="1211"/>
      <c r="E1537" s="256">
        <f>+Q942</f>
        <v>8.6999999999999993</v>
      </c>
      <c r="F1537" s="661" t="s">
        <v>25</v>
      </c>
      <c r="G1537" s="753">
        <v>1883</v>
      </c>
      <c r="H1537" s="695" t="s">
        <v>867</v>
      </c>
      <c r="I1537" s="758">
        <v>0.9405</v>
      </c>
      <c r="J1537" s="365"/>
      <c r="K1537" s="247">
        <f>+E1537*G1537*I1537</f>
        <v>15407.365049999999</v>
      </c>
      <c r="L1537" s="365" t="s">
        <v>76</v>
      </c>
      <c r="M1537" s="54"/>
      <c r="N1537" s="54"/>
      <c r="T1537" s="10"/>
    </row>
    <row r="1538" spans="1:25" ht="30" customHeight="1" x14ac:dyDescent="0.25">
      <c r="A1538" s="365">
        <v>93210</v>
      </c>
      <c r="B1538" s="1209" t="s">
        <v>1084</v>
      </c>
      <c r="C1538" s="1210"/>
      <c r="D1538" s="1211"/>
      <c r="E1538" s="256">
        <f>+Q944</f>
        <v>48.6</v>
      </c>
      <c r="F1538" s="661" t="s">
        <v>25</v>
      </c>
      <c r="G1538" s="753">
        <v>205</v>
      </c>
      <c r="H1538" s="695" t="s">
        <v>867</v>
      </c>
      <c r="I1538" s="758">
        <v>0.9405</v>
      </c>
      <c r="J1538" s="365"/>
      <c r="K1538" s="247">
        <f>+E1538*G1538*I1538</f>
        <v>9370.2014999999992</v>
      </c>
      <c r="L1538" s="365" t="s">
        <v>76</v>
      </c>
      <c r="M1538" s="54"/>
      <c r="N1538" s="111"/>
      <c r="T1538" s="10"/>
      <c r="U1538" s="10"/>
    </row>
    <row r="1539" spans="1:25" ht="30" customHeight="1" x14ac:dyDescent="0.25">
      <c r="A1539" s="1172" t="s">
        <v>745</v>
      </c>
      <c r="B1539" s="1173"/>
      <c r="C1539" s="1173"/>
      <c r="D1539" s="1174"/>
      <c r="E1539" s="247"/>
      <c r="F1539" s="365"/>
      <c r="G1539" s="366"/>
      <c r="H1539" s="662"/>
      <c r="I1539" s="365"/>
      <c r="J1539" s="365" t="s">
        <v>408</v>
      </c>
      <c r="K1539" s="247">
        <f>SUM(K1535:K1538)</f>
        <v>142092.20416679999</v>
      </c>
      <c r="L1539" s="365" t="s">
        <v>76</v>
      </c>
      <c r="M1539" s="54"/>
      <c r="N1539" s="54"/>
      <c r="O1539" s="543"/>
      <c r="P1539" s="344"/>
      <c r="Q1539" s="345"/>
      <c r="R1539" s="345"/>
      <c r="S1539" s="345"/>
      <c r="T1539" s="345"/>
      <c r="U1539" s="10"/>
    </row>
    <row r="1540" spans="1:25" ht="30" customHeight="1" thickBot="1" x14ac:dyDescent="0.3">
      <c r="A1540" s="1336"/>
      <c r="B1540" s="1337"/>
      <c r="C1540" s="1337"/>
      <c r="D1540" s="1338"/>
      <c r="E1540" s="366"/>
      <c r="F1540" s="366"/>
      <c r="G1540" s="580" t="s">
        <v>306</v>
      </c>
      <c r="H1540" s="366"/>
      <c r="I1540" s="366"/>
      <c r="J1540" s="521">
        <f>VLOOKUP(B1533,'Mil Cost Premiums for PUCs'!$A$4:$R$277,18,FALSE)</f>
        <v>1.0485669999999998</v>
      </c>
      <c r="K1540" s="246">
        <f>+K1539*J1540</f>
        <v>148993.19624656893</v>
      </c>
      <c r="L1540" s="365" t="s">
        <v>76</v>
      </c>
      <c r="M1540" s="54"/>
      <c r="N1540" s="54"/>
      <c r="U1540" s="345"/>
      <c r="V1540" s="345"/>
      <c r="W1540" s="345"/>
      <c r="X1540" s="345"/>
      <c r="Y1540" s="345"/>
    </row>
    <row r="1541" spans="1:25" s="345" customFormat="1" ht="30" customHeight="1" thickBot="1" x14ac:dyDescent="0.3">
      <c r="A1541" s="1180"/>
      <c r="B1541" s="1181"/>
      <c r="C1541" s="1181"/>
      <c r="D1541" s="1181"/>
      <c r="E1541" s="1181"/>
      <c r="F1541" s="1181"/>
      <c r="G1541" s="1181"/>
      <c r="H1541" s="1181"/>
      <c r="I1541" s="1181"/>
      <c r="J1541" s="1181"/>
      <c r="K1541" s="1181"/>
      <c r="L1541" s="1182"/>
      <c r="M1541" s="54"/>
      <c r="N1541" s="54"/>
      <c r="O1541" s="340"/>
      <c r="P1541" s="340"/>
      <c r="Q1541" s="334"/>
      <c r="R1541" s="334"/>
      <c r="S1541" s="334"/>
      <c r="T1541" s="334"/>
      <c r="U1541" s="334"/>
      <c r="V1541" s="334"/>
      <c r="W1541" s="334"/>
      <c r="X1541" s="334"/>
      <c r="Y1541" s="334"/>
    </row>
    <row r="1542" spans="1:25" ht="30" customHeight="1" x14ac:dyDescent="0.25">
      <c r="A1542" s="327" t="s">
        <v>5</v>
      </c>
      <c r="B1542" s="328">
        <v>1799</v>
      </c>
      <c r="C1542" s="1218" t="s">
        <v>1085</v>
      </c>
      <c r="D1542" s="1219"/>
      <c r="E1542" s="331" t="s">
        <v>8</v>
      </c>
      <c r="F1542" s="332" t="s">
        <v>76</v>
      </c>
      <c r="G1542" s="333" t="s">
        <v>7</v>
      </c>
      <c r="H1542" s="576">
        <v>1</v>
      </c>
      <c r="I1542" s="331" t="s">
        <v>1086</v>
      </c>
      <c r="J1542" s="1220" t="s">
        <v>294</v>
      </c>
      <c r="K1542" s="1220"/>
      <c r="L1542" s="1221"/>
      <c r="M1542" s="54"/>
      <c r="N1542" s="54"/>
      <c r="O1542" s="543"/>
      <c r="P1542" s="344"/>
      <c r="Q1542" s="345"/>
      <c r="R1542" s="345"/>
      <c r="S1542" s="345"/>
      <c r="T1542" s="345"/>
    </row>
    <row r="1543" spans="1:25" ht="30" customHeight="1" x14ac:dyDescent="0.25">
      <c r="A1543" s="356" t="s">
        <v>735</v>
      </c>
      <c r="B1543" s="1520" t="s">
        <v>1087</v>
      </c>
      <c r="C1543" s="1544"/>
      <c r="D1543" s="1521"/>
      <c r="E1543" s="577" t="s">
        <v>116</v>
      </c>
      <c r="F1543" s="577" t="s">
        <v>117</v>
      </c>
      <c r="G1543" s="1194" t="s">
        <v>118</v>
      </c>
      <c r="H1543" s="1195"/>
      <c r="I1543" s="356" t="s">
        <v>296</v>
      </c>
      <c r="J1543" s="356"/>
      <c r="K1543" s="359" t="s">
        <v>1088</v>
      </c>
      <c r="L1543" s="359"/>
      <c r="M1543" s="54"/>
      <c r="N1543" s="54"/>
      <c r="U1543" s="345"/>
    </row>
    <row r="1544" spans="1:25" ht="30" customHeight="1" x14ac:dyDescent="0.25">
      <c r="A1544" s="365" t="s">
        <v>535</v>
      </c>
      <c r="B1544" s="1268" t="s">
        <v>1089</v>
      </c>
      <c r="C1544" s="1167"/>
      <c r="D1544" s="1168"/>
      <c r="E1544" s="255">
        <v>7.05</v>
      </c>
      <c r="F1544" s="661" t="s">
        <v>25</v>
      </c>
      <c r="G1544" s="753">
        <v>2040</v>
      </c>
      <c r="H1544" s="695" t="s">
        <v>1090</v>
      </c>
      <c r="I1544" s="742">
        <v>1.1200000000000001</v>
      </c>
      <c r="J1544" s="365"/>
      <c r="K1544" s="247">
        <f t="shared" ref="K1544:K1549" si="35">+E1544*G1544*I1544</f>
        <v>16107.840000000002</v>
      </c>
      <c r="L1544" s="365" t="s">
        <v>76</v>
      </c>
      <c r="M1544" s="54"/>
      <c r="N1544" s="54"/>
    </row>
    <row r="1545" spans="1:25" ht="30" customHeight="1" x14ac:dyDescent="0.25">
      <c r="A1545" s="365" t="s">
        <v>726</v>
      </c>
      <c r="B1545" s="1209" t="s">
        <v>1091</v>
      </c>
      <c r="C1545" s="1210"/>
      <c r="D1545" s="1211"/>
      <c r="E1545" s="255">
        <v>0.28999999999999998</v>
      </c>
      <c r="F1545" s="661" t="s">
        <v>205</v>
      </c>
      <c r="G1545" s="753">
        <f>3060*9</f>
        <v>27540</v>
      </c>
      <c r="H1545" s="695" t="s">
        <v>1092</v>
      </c>
      <c r="I1545" s="742">
        <v>1.23</v>
      </c>
      <c r="J1545" s="365"/>
      <c r="K1545" s="247">
        <f t="shared" si="35"/>
        <v>9823.518</v>
      </c>
      <c r="L1545" s="365" t="s">
        <v>76</v>
      </c>
      <c r="M1545" s="54"/>
      <c r="N1545" s="54"/>
      <c r="T1545" s="60"/>
      <c r="V1545" s="345"/>
      <c r="W1545" s="345"/>
      <c r="X1545" s="345"/>
      <c r="Y1545" s="345"/>
    </row>
    <row r="1546" spans="1:25" s="345" customFormat="1" ht="30" customHeight="1" x14ac:dyDescent="0.25">
      <c r="A1546" s="365" t="s">
        <v>535</v>
      </c>
      <c r="B1546" s="1209" t="s">
        <v>1093</v>
      </c>
      <c r="C1546" s="1210"/>
      <c r="D1546" s="1211"/>
      <c r="E1546" s="255">
        <f>+(0.69+5.12)/2</f>
        <v>2.9050000000000002</v>
      </c>
      <c r="F1546" s="661" t="s">
        <v>9</v>
      </c>
      <c r="G1546" s="753">
        <v>3060</v>
      </c>
      <c r="H1546" s="695"/>
      <c r="I1546" s="742">
        <v>1.1200000000000001</v>
      </c>
      <c r="J1546" s="365"/>
      <c r="K1546" s="247">
        <f t="shared" si="35"/>
        <v>9956.0160000000014</v>
      </c>
      <c r="L1546" s="365" t="s">
        <v>76</v>
      </c>
      <c r="M1546" s="54"/>
      <c r="N1546" s="54"/>
      <c r="O1546" s="334"/>
      <c r="P1546" s="340"/>
      <c r="Q1546" s="334"/>
      <c r="R1546" s="334"/>
      <c r="S1546" s="334"/>
      <c r="T1546" s="10"/>
      <c r="U1546" s="60"/>
      <c r="V1546" s="334"/>
      <c r="W1546" s="334"/>
      <c r="X1546" s="334"/>
      <c r="Y1546" s="334"/>
    </row>
    <row r="1547" spans="1:25" ht="30" customHeight="1" x14ac:dyDescent="0.25">
      <c r="A1547" s="365" t="s">
        <v>726</v>
      </c>
      <c r="B1547" s="1229" t="s">
        <v>1094</v>
      </c>
      <c r="C1547" s="1288"/>
      <c r="D1547" s="1289"/>
      <c r="E1547" s="256">
        <v>0.45</v>
      </c>
      <c r="F1547" s="365" t="s">
        <v>205</v>
      </c>
      <c r="G1547" s="753">
        <f>3060*9</f>
        <v>27540</v>
      </c>
      <c r="H1547" s="695" t="s">
        <v>1092</v>
      </c>
      <c r="I1547" s="706">
        <v>1.23</v>
      </c>
      <c r="J1547" s="365"/>
      <c r="K1547" s="247">
        <f t="shared" si="35"/>
        <v>15243.39</v>
      </c>
      <c r="L1547" s="365" t="s">
        <v>76</v>
      </c>
      <c r="M1547" s="54"/>
      <c r="N1547" s="54"/>
      <c r="T1547" s="10"/>
      <c r="U1547" s="10"/>
    </row>
    <row r="1548" spans="1:25" ht="30" customHeight="1" x14ac:dyDescent="0.25">
      <c r="A1548" s="365" t="s">
        <v>1095</v>
      </c>
      <c r="B1548" s="1268" t="s">
        <v>1096</v>
      </c>
      <c r="C1548" s="1167"/>
      <c r="D1548" s="1168"/>
      <c r="E1548" s="256">
        <f>(24.15+36.25)/2</f>
        <v>30.2</v>
      </c>
      <c r="F1548" s="661" t="s">
        <v>40</v>
      </c>
      <c r="G1548" s="753">
        <f>18*4*20</f>
        <v>1440</v>
      </c>
      <c r="H1548" s="695" t="s">
        <v>40</v>
      </c>
      <c r="I1548" s="706">
        <v>1.1499999999999999</v>
      </c>
      <c r="J1548" s="365"/>
      <c r="K1548" s="247">
        <f t="shared" si="35"/>
        <v>50011.199999999997</v>
      </c>
      <c r="L1548" s="365" t="s">
        <v>76</v>
      </c>
      <c r="M1548" s="54"/>
      <c r="N1548" s="54"/>
      <c r="T1548" s="10"/>
      <c r="U1548" s="10"/>
    </row>
    <row r="1549" spans="1:25" ht="30" customHeight="1" x14ac:dyDescent="0.25">
      <c r="A1549" s="365" t="s">
        <v>1095</v>
      </c>
      <c r="B1549" s="1268" t="s">
        <v>1097</v>
      </c>
      <c r="C1549" s="1167"/>
      <c r="D1549" s="1168"/>
      <c r="E1549" s="256">
        <f>(5.05+5.75)/2</f>
        <v>5.4</v>
      </c>
      <c r="F1549" s="661" t="s">
        <v>40</v>
      </c>
      <c r="G1549" s="753">
        <f>18*14*10</f>
        <v>2520</v>
      </c>
      <c r="H1549" s="695" t="s">
        <v>40</v>
      </c>
      <c r="I1549" s="706">
        <v>1.1499999999999999</v>
      </c>
      <c r="J1549" s="365"/>
      <c r="K1549" s="247">
        <f t="shared" si="35"/>
        <v>15649.199999999999</v>
      </c>
      <c r="L1549" s="365" t="s">
        <v>76</v>
      </c>
      <c r="M1549" s="54"/>
      <c r="N1549" s="54"/>
      <c r="O1549" s="543"/>
      <c r="P1549" s="344"/>
      <c r="Q1549" s="345"/>
      <c r="R1549" s="345"/>
      <c r="S1549" s="345"/>
      <c r="T1549" s="345"/>
      <c r="U1549" s="10"/>
    </row>
    <row r="1550" spans="1:25" ht="30" customHeight="1" x14ac:dyDescent="0.25">
      <c r="A1550" s="365"/>
      <c r="B1550" s="1281"/>
      <c r="C1550" s="1281"/>
      <c r="D1550" s="1281"/>
      <c r="E1550" s="247"/>
      <c r="F1550" s="365"/>
      <c r="G1550" s="805"/>
      <c r="H1550" s="662"/>
      <c r="I1550" s="365"/>
      <c r="J1550" s="365" t="s">
        <v>408</v>
      </c>
      <c r="K1550" s="247">
        <f>SUM(K1544:K1549)</f>
        <v>116791.164</v>
      </c>
      <c r="L1550" s="365" t="s">
        <v>76</v>
      </c>
      <c r="M1550" s="54"/>
      <c r="N1550" s="54"/>
      <c r="U1550" s="345"/>
      <c r="V1550" s="345"/>
      <c r="W1550" s="345"/>
      <c r="X1550" s="345"/>
      <c r="Y1550" s="345"/>
    </row>
    <row r="1551" spans="1:25" s="345" customFormat="1" ht="30" customHeight="1" x14ac:dyDescent="0.25">
      <c r="A1551" s="1172" t="s">
        <v>745</v>
      </c>
      <c r="B1551" s="1173"/>
      <c r="C1551" s="1173"/>
      <c r="D1551" s="1174"/>
      <c r="E1551" s="247"/>
      <c r="F1551" s="1272" t="s">
        <v>303</v>
      </c>
      <c r="G1551" s="1283" t="s">
        <v>304</v>
      </c>
      <c r="H1551" s="1283"/>
      <c r="I1551" s="1283"/>
      <c r="J1551" s="1283"/>
      <c r="K1551" s="250">
        <v>1.06</v>
      </c>
      <c r="L1551" s="365"/>
      <c r="M1551" s="54"/>
      <c r="N1551" s="54"/>
      <c r="O1551" s="340"/>
      <c r="P1551" s="340"/>
      <c r="Q1551" s="334"/>
      <c r="R1551" s="334"/>
      <c r="S1551" s="334"/>
      <c r="T1551" s="334"/>
      <c r="U1551" s="334"/>
      <c r="V1551" s="334"/>
      <c r="W1551" s="334"/>
      <c r="X1551" s="334"/>
      <c r="Y1551" s="334"/>
    </row>
    <row r="1552" spans="1:25" ht="30" customHeight="1" x14ac:dyDescent="0.25">
      <c r="A1552" s="1420"/>
      <c r="B1552" s="1421"/>
      <c r="C1552" s="1421"/>
      <c r="D1552" s="1422"/>
      <c r="E1552" s="247"/>
      <c r="F1552" s="1273"/>
      <c r="G1552" s="1284" t="s">
        <v>305</v>
      </c>
      <c r="H1552" s="1284"/>
      <c r="I1552" s="1284"/>
      <c r="J1552" s="1284"/>
      <c r="K1552" s="250">
        <v>1.06</v>
      </c>
      <c r="L1552" s="365"/>
      <c r="M1552" s="54"/>
      <c r="N1552" s="54"/>
      <c r="O1552" s="543"/>
      <c r="P1552" s="344"/>
      <c r="Q1552" s="345"/>
      <c r="R1552" s="345"/>
      <c r="S1552" s="345"/>
      <c r="T1552" s="345"/>
    </row>
    <row r="1553" spans="1:25" ht="30" customHeight="1" x14ac:dyDescent="0.25">
      <c r="A1553" s="1423" t="s">
        <v>1098</v>
      </c>
      <c r="B1553" s="1424"/>
      <c r="C1553" s="1424"/>
      <c r="D1553" s="1425"/>
      <c r="E1553" s="247"/>
      <c r="F1553" s="365"/>
      <c r="G1553" s="366"/>
      <c r="H1553" s="662"/>
      <c r="I1553" s="365"/>
      <c r="J1553" s="365" t="s">
        <v>72</v>
      </c>
      <c r="K1553" s="247">
        <f>+K1550*K1551/K1552</f>
        <v>116791.164</v>
      </c>
      <c r="L1553" s="365" t="s">
        <v>76</v>
      </c>
      <c r="M1553" s="111"/>
      <c r="N1553" s="111"/>
      <c r="U1553" s="345"/>
    </row>
    <row r="1554" spans="1:25" ht="30" customHeight="1" thickBot="1" x14ac:dyDescent="0.3">
      <c r="A1554" s="1426"/>
      <c r="B1554" s="1427"/>
      <c r="C1554" s="1427"/>
      <c r="D1554" s="1428"/>
      <c r="E1554" s="366"/>
      <c r="F1554" s="366"/>
      <c r="G1554" s="366"/>
      <c r="H1554" s="366"/>
      <c r="I1554" s="553" t="s">
        <v>414</v>
      </c>
      <c r="J1554" s="521">
        <f>VLOOKUP(B1542,'Mil Cost Premiums for PUCs'!$A$4:$R$277,18,FALSE)</f>
        <v>1.0485669999999998</v>
      </c>
      <c r="K1554" s="246">
        <f>+K1553*J1554</f>
        <v>122463.36046198798</v>
      </c>
      <c r="L1554" s="365" t="s">
        <v>76</v>
      </c>
      <c r="M1554" s="54"/>
      <c r="N1554" s="54"/>
    </row>
    <row r="1555" spans="1:25" ht="30" customHeight="1" thickBot="1" x14ac:dyDescent="0.3">
      <c r="A1555" s="1541"/>
      <c r="B1555" s="1542"/>
      <c r="C1555" s="1542"/>
      <c r="D1555" s="1542"/>
      <c r="E1555" s="1542"/>
      <c r="F1555" s="1542"/>
      <c r="G1555" s="1542"/>
      <c r="H1555" s="1542"/>
      <c r="I1555" s="1542"/>
      <c r="J1555" s="1542"/>
      <c r="K1555" s="1542"/>
      <c r="L1555" s="1543"/>
      <c r="M1555" s="54"/>
      <c r="N1555" s="54"/>
      <c r="T1555" s="60"/>
      <c r="V1555" s="345"/>
      <c r="W1555" s="345"/>
      <c r="X1555" s="345"/>
      <c r="Y1555" s="345"/>
    </row>
    <row r="1556" spans="1:25" s="345" customFormat="1" ht="30" customHeight="1" x14ac:dyDescent="0.25">
      <c r="A1556" s="327" t="s">
        <v>5</v>
      </c>
      <c r="B1556" s="328">
        <v>2111</v>
      </c>
      <c r="C1556" s="1218" t="s">
        <v>1099</v>
      </c>
      <c r="D1556" s="1219"/>
      <c r="E1556" s="331" t="s">
        <v>8</v>
      </c>
      <c r="F1556" s="332" t="s">
        <v>205</v>
      </c>
      <c r="G1556" s="342" t="s">
        <v>74</v>
      </c>
      <c r="H1556" s="248">
        <v>30220</v>
      </c>
      <c r="I1556" s="331" t="s">
        <v>10</v>
      </c>
      <c r="J1556" s="1220" t="s">
        <v>281</v>
      </c>
      <c r="K1556" s="1220"/>
      <c r="L1556" s="1221"/>
      <c r="M1556" s="54"/>
      <c r="N1556" s="54"/>
      <c r="O1556" s="334"/>
      <c r="P1556" s="340"/>
      <c r="Q1556" s="334"/>
      <c r="R1556" s="334"/>
      <c r="S1556" s="334"/>
      <c r="T1556" s="10"/>
      <c r="U1556" s="60"/>
      <c r="V1556" s="334"/>
      <c r="W1556" s="334"/>
      <c r="X1556" s="334"/>
      <c r="Y1556" s="334"/>
    </row>
    <row r="1557" spans="1:25" ht="30" customHeight="1" x14ac:dyDescent="0.25">
      <c r="A1557" s="356" t="s">
        <v>282</v>
      </c>
      <c r="B1557" s="1163" t="s">
        <v>13</v>
      </c>
      <c r="C1557" s="1163"/>
      <c r="D1557" s="1163"/>
      <c r="E1557" s="357" t="s">
        <v>283</v>
      </c>
      <c r="F1557" s="546" t="s">
        <v>116</v>
      </c>
      <c r="G1557" s="356"/>
      <c r="H1557" s="356"/>
      <c r="I1557" s="1276" t="s">
        <v>120</v>
      </c>
      <c r="J1557" s="1277"/>
      <c r="K1557" s="1236" t="s">
        <v>285</v>
      </c>
      <c r="L1557" s="1237"/>
      <c r="M1557" s="54"/>
      <c r="N1557" s="54"/>
      <c r="O1557" s="543"/>
      <c r="P1557" s="344"/>
      <c r="Q1557" s="345"/>
      <c r="R1557" s="345"/>
      <c r="S1557" s="345"/>
      <c r="T1557" s="345"/>
      <c r="U1557" s="10"/>
    </row>
    <row r="1558" spans="1:25" ht="30" customHeight="1" x14ac:dyDescent="0.25">
      <c r="A1558" s="367" t="s">
        <v>286</v>
      </c>
      <c r="B1558" s="1164" t="s">
        <v>1100</v>
      </c>
      <c r="C1558" s="1164"/>
      <c r="D1558" s="1164"/>
      <c r="E1558" s="547">
        <v>110000</v>
      </c>
      <c r="F1558" s="240">
        <v>393</v>
      </c>
      <c r="G1558" s="548"/>
      <c r="H1558" s="549"/>
      <c r="I1558" s="1302" t="s">
        <v>288</v>
      </c>
      <c r="J1558" s="1303"/>
      <c r="K1558" s="240">
        <f>+F1558</f>
        <v>393</v>
      </c>
      <c r="L1558" s="367" t="s">
        <v>205</v>
      </c>
      <c r="M1558" s="54"/>
      <c r="N1558" s="54"/>
      <c r="U1558" s="345"/>
    </row>
    <row r="1559" spans="1:25" ht="30" customHeight="1" thickBot="1" x14ac:dyDescent="0.3">
      <c r="A1559" s="365"/>
      <c r="B1559" s="1281"/>
      <c r="C1559" s="1281"/>
      <c r="D1559" s="1281"/>
      <c r="E1559" s="550"/>
      <c r="F1559" s="551"/>
      <c r="G1559" s="551"/>
      <c r="H1559" s="552"/>
      <c r="I1559" s="366"/>
      <c r="J1559" s="359" t="s">
        <v>72</v>
      </c>
      <c r="K1559" s="246">
        <f>+K1558</f>
        <v>393</v>
      </c>
      <c r="L1559" s="365" t="s">
        <v>205</v>
      </c>
      <c r="M1559" s="54"/>
      <c r="N1559" s="54"/>
    </row>
    <row r="1560" spans="1:25" ht="30" customHeight="1" thickBot="1" x14ac:dyDescent="0.3">
      <c r="A1560" s="1180"/>
      <c r="B1560" s="1181"/>
      <c r="C1560" s="1181"/>
      <c r="D1560" s="1181"/>
      <c r="E1560" s="1181"/>
      <c r="F1560" s="1181"/>
      <c r="G1560" s="1181"/>
      <c r="H1560" s="1181"/>
      <c r="I1560" s="1181"/>
      <c r="J1560" s="1181"/>
      <c r="K1560" s="1181"/>
      <c r="L1560" s="1182"/>
      <c r="M1560" s="54"/>
      <c r="N1560" s="54"/>
      <c r="T1560" s="60"/>
      <c r="V1560" s="345"/>
      <c r="W1560" s="345"/>
      <c r="X1560" s="345"/>
      <c r="Y1560" s="345"/>
    </row>
    <row r="1561" spans="1:25" ht="30" customHeight="1" x14ac:dyDescent="0.25">
      <c r="A1561" s="327" t="s">
        <v>5</v>
      </c>
      <c r="B1561" s="328">
        <v>2112</v>
      </c>
      <c r="C1561" s="1251" t="s">
        <v>1101</v>
      </c>
      <c r="D1561" s="1252"/>
      <c r="E1561" s="331" t="s">
        <v>8</v>
      </c>
      <c r="F1561" s="332" t="s">
        <v>205</v>
      </c>
      <c r="G1561" s="342" t="s">
        <v>74</v>
      </c>
      <c r="H1561" s="653">
        <v>11209</v>
      </c>
      <c r="I1561" s="331" t="s">
        <v>10</v>
      </c>
      <c r="J1561" s="1220" t="s">
        <v>3388</v>
      </c>
      <c r="K1561" s="1220"/>
      <c r="L1561" s="1221"/>
      <c r="M1561" s="54"/>
      <c r="O1561" s="336"/>
      <c r="P1561" s="334"/>
      <c r="Q1561" s="335"/>
      <c r="R1561" s="336"/>
      <c r="S1561" s="337"/>
    </row>
    <row r="1562" spans="1:25" s="345" customFormat="1" ht="30" customHeight="1" x14ac:dyDescent="0.25">
      <c r="A1562" s="359" t="s">
        <v>295</v>
      </c>
      <c r="B1562" s="1222" t="s">
        <v>326</v>
      </c>
      <c r="C1562" s="1235"/>
      <c r="D1562" s="1223"/>
      <c r="E1562" s="577" t="s">
        <v>116</v>
      </c>
      <c r="F1562" s="577" t="s">
        <v>117</v>
      </c>
      <c r="G1562" s="1194" t="s">
        <v>118</v>
      </c>
      <c r="H1562" s="1195"/>
      <c r="I1562" s="633" t="s">
        <v>296</v>
      </c>
      <c r="J1562" s="633"/>
      <c r="K1562" s="1236" t="s">
        <v>285</v>
      </c>
      <c r="L1562" s="1237"/>
      <c r="M1562" s="54"/>
      <c r="N1562" s="54"/>
      <c r="O1562" s="334"/>
      <c r="P1562" s="340"/>
      <c r="Q1562" s="334"/>
      <c r="R1562" s="334"/>
      <c r="S1562" s="334"/>
      <c r="T1562" s="10"/>
      <c r="U1562" s="60"/>
      <c r="V1562" s="334"/>
      <c r="W1562" s="334"/>
      <c r="X1562" s="334"/>
      <c r="Y1562" s="334"/>
    </row>
    <row r="1563" spans="1:25" ht="30" customHeight="1" x14ac:dyDescent="0.25">
      <c r="A1563" s="365" t="s">
        <v>1102</v>
      </c>
      <c r="B1563" s="1209" t="s">
        <v>1103</v>
      </c>
      <c r="C1563" s="1210"/>
      <c r="D1563" s="1211"/>
      <c r="E1563" s="247">
        <f>80-2.4</f>
        <v>77.599999999999994</v>
      </c>
      <c r="F1563" s="661" t="s">
        <v>205</v>
      </c>
      <c r="G1563" s="735"/>
      <c r="H1563" s="589"/>
      <c r="I1563" s="365">
        <v>1.05</v>
      </c>
      <c r="J1563" s="706"/>
      <c r="K1563" s="247">
        <f>+E1563*I1563</f>
        <v>81.48</v>
      </c>
      <c r="L1563" s="365" t="s">
        <v>205</v>
      </c>
      <c r="M1563" s="54"/>
      <c r="N1563" s="54"/>
      <c r="O1563" s="336"/>
      <c r="P1563" s="334"/>
      <c r="Q1563" s="335"/>
      <c r="R1563" s="336"/>
      <c r="S1563" s="337"/>
      <c r="U1563" s="10"/>
    </row>
    <row r="1564" spans="1:25" ht="30" customHeight="1" x14ac:dyDescent="0.25">
      <c r="A1564" s="365" t="s">
        <v>1104</v>
      </c>
      <c r="B1564" s="1209" t="s">
        <v>1105</v>
      </c>
      <c r="C1564" s="1210"/>
      <c r="D1564" s="1211"/>
      <c r="E1564" s="247">
        <f>187-4.14</f>
        <v>182.86</v>
      </c>
      <c r="F1564" s="661" t="s">
        <v>205</v>
      </c>
      <c r="G1564" s="735"/>
      <c r="H1564" s="589"/>
      <c r="I1564" s="365">
        <v>1.05</v>
      </c>
      <c r="J1564" s="706"/>
      <c r="K1564" s="247">
        <f>+E1564*I1564</f>
        <v>192.00300000000001</v>
      </c>
      <c r="L1564" s="365" t="s">
        <v>205</v>
      </c>
      <c r="M1564" s="54"/>
      <c r="N1564" s="111"/>
      <c r="O1564" s="336"/>
      <c r="P1564" s="334"/>
      <c r="Q1564" s="335"/>
      <c r="R1564" s="336"/>
      <c r="S1564" s="337"/>
    </row>
    <row r="1565" spans="1:25" ht="30" customHeight="1" x14ac:dyDescent="0.25">
      <c r="A1565" s="365" t="s">
        <v>1106</v>
      </c>
      <c r="B1565" s="1209" t="s">
        <v>1107</v>
      </c>
      <c r="C1565" s="1210"/>
      <c r="D1565" s="1211"/>
      <c r="E1565" s="247">
        <v>124</v>
      </c>
      <c r="F1565" s="661" t="s">
        <v>205</v>
      </c>
      <c r="G1565" s="735"/>
      <c r="H1565" s="589"/>
      <c r="I1565" s="365">
        <v>1.05</v>
      </c>
      <c r="J1565" s="706"/>
      <c r="K1565" s="247">
        <f>+E1565*I1565</f>
        <v>130.20000000000002</v>
      </c>
      <c r="L1565" s="365" t="s">
        <v>205</v>
      </c>
      <c r="M1565" s="54"/>
      <c r="N1565" s="54"/>
      <c r="O1565" s="336"/>
      <c r="P1565" s="334"/>
      <c r="Q1565" s="335"/>
      <c r="R1565" s="336"/>
      <c r="S1565" s="337"/>
    </row>
    <row r="1566" spans="1:25" ht="30" customHeight="1" x14ac:dyDescent="0.25">
      <c r="A1566" s="365"/>
      <c r="B1566" s="738"/>
      <c r="C1566" s="591"/>
      <c r="D1566" s="589"/>
      <c r="E1566" s="247"/>
      <c r="F1566" s="661"/>
      <c r="G1566" s="735"/>
      <c r="H1566" s="589"/>
      <c r="I1566" s="1209" t="s">
        <v>1108</v>
      </c>
      <c r="J1566" s="1289"/>
      <c r="K1566" s="247">
        <f>AVERAGE(K1563:K1565)</f>
        <v>134.56100000000001</v>
      </c>
      <c r="L1566" s="365" t="s">
        <v>205</v>
      </c>
      <c r="M1566" s="54"/>
      <c r="N1566" s="54"/>
      <c r="P1566" s="335"/>
      <c r="Q1566" s="336"/>
      <c r="R1566" s="337"/>
    </row>
    <row r="1567" spans="1:25" ht="30" customHeight="1" x14ac:dyDescent="0.25">
      <c r="A1567" s="365" t="s">
        <v>1109</v>
      </c>
      <c r="B1567" s="1209" t="s">
        <v>1110</v>
      </c>
      <c r="C1567" s="1210"/>
      <c r="D1567" s="1211"/>
      <c r="E1567" s="247">
        <v>11400</v>
      </c>
      <c r="F1567" s="661" t="s">
        <v>76</v>
      </c>
      <c r="G1567" s="806">
        <f>1/H1561</f>
        <v>8.9214024444642697E-5</v>
      </c>
      <c r="H1567" s="589" t="s">
        <v>660</v>
      </c>
      <c r="I1567" s="698">
        <v>1.04</v>
      </c>
      <c r="J1567" s="706"/>
      <c r="K1567" s="247">
        <f>+E1567*G1567*I1567</f>
        <v>1.0577214738156839</v>
      </c>
      <c r="L1567" s="365" t="s">
        <v>205</v>
      </c>
      <c r="M1567" s="54"/>
      <c r="N1567" s="54"/>
      <c r="P1567" s="335"/>
      <c r="Q1567" s="336"/>
      <c r="R1567" s="337"/>
    </row>
    <row r="1568" spans="1:25" ht="30" customHeight="1" x14ac:dyDescent="0.25">
      <c r="A1568" s="365" t="s">
        <v>520</v>
      </c>
      <c r="B1568" s="1209" t="s">
        <v>1111</v>
      </c>
      <c r="C1568" s="1210"/>
      <c r="D1568" s="1211"/>
      <c r="E1568" s="247">
        <v>141000</v>
      </c>
      <c r="F1568" s="661" t="s">
        <v>76</v>
      </c>
      <c r="G1568" s="806">
        <f>1/H1561</f>
        <v>8.9214024444642697E-5</v>
      </c>
      <c r="H1568" s="589" t="s">
        <v>660</v>
      </c>
      <c r="I1568" s="698">
        <v>1.02</v>
      </c>
      <c r="J1568" s="706"/>
      <c r="K1568" s="247">
        <f>+E1568*G1568*I1568</f>
        <v>12.830760995628513</v>
      </c>
      <c r="L1568" s="365" t="s">
        <v>205</v>
      </c>
      <c r="M1568" s="111"/>
      <c r="N1568" s="54"/>
      <c r="O1568" s="340"/>
      <c r="P1568" s="335"/>
      <c r="Q1568" s="336"/>
      <c r="R1568" s="337"/>
    </row>
    <row r="1569" spans="1:19" ht="30" customHeight="1" x14ac:dyDescent="0.25">
      <c r="A1569" s="396" t="s">
        <v>406</v>
      </c>
      <c r="B1569" s="1209" t="s">
        <v>1112</v>
      </c>
      <c r="C1569" s="1210"/>
      <c r="D1569" s="1211"/>
      <c r="E1569" s="246">
        <f xml:space="preserve"> 0.58+((1.15 +1.71)/2)</f>
        <v>2.0099999999999998</v>
      </c>
      <c r="F1569" s="661" t="s">
        <v>205</v>
      </c>
      <c r="G1569" s="168"/>
      <c r="H1569" s="589"/>
      <c r="I1569" s="698">
        <v>1.05</v>
      </c>
      <c r="J1569" s="706"/>
      <c r="K1569" s="247">
        <f>+E1569*I1569</f>
        <v>2.1105</v>
      </c>
      <c r="L1569" s="365" t="s">
        <v>205</v>
      </c>
      <c r="M1569" s="54"/>
      <c r="N1569" s="111"/>
      <c r="P1569" s="335"/>
      <c r="Q1569" s="336"/>
      <c r="R1569" s="337"/>
    </row>
    <row r="1570" spans="1:19" ht="30" customHeight="1" x14ac:dyDescent="0.25">
      <c r="A1570" s="365" t="s">
        <v>406</v>
      </c>
      <c r="B1570" s="1209" t="s">
        <v>1113</v>
      </c>
      <c r="C1570" s="1210"/>
      <c r="D1570" s="1211"/>
      <c r="E1570" s="10">
        <v>4.79</v>
      </c>
      <c r="F1570" s="365" t="s">
        <v>205</v>
      </c>
      <c r="G1570" s="452"/>
      <c r="H1570" s="589"/>
      <c r="I1570" s="698">
        <v>1.05</v>
      </c>
      <c r="J1570" s="706"/>
      <c r="K1570" s="247">
        <f>+E1570*I1570</f>
        <v>5.0295000000000005</v>
      </c>
      <c r="L1570" s="365" t="s">
        <v>205</v>
      </c>
      <c r="M1570" s="54"/>
      <c r="N1570" s="54"/>
      <c r="P1570" s="335"/>
      <c r="Q1570" s="336"/>
      <c r="R1570" s="337"/>
    </row>
    <row r="1571" spans="1:19" ht="30" customHeight="1" x14ac:dyDescent="0.25">
      <c r="A1571" s="365"/>
      <c r="B1571" s="1281"/>
      <c r="C1571" s="1281"/>
      <c r="D1571" s="1281"/>
      <c r="E1571" s="247"/>
      <c r="F1571" s="365"/>
      <c r="G1571" s="736"/>
      <c r="H1571" s="662"/>
      <c r="I1571" s="365"/>
      <c r="J1571" s="365" t="s">
        <v>408</v>
      </c>
      <c r="K1571" s="247">
        <f>SUM(K1566:K1570)</f>
        <v>155.58948246944422</v>
      </c>
      <c r="L1571" s="365" t="s">
        <v>205</v>
      </c>
      <c r="M1571" s="54"/>
      <c r="N1571" s="54"/>
      <c r="P1571" s="335"/>
      <c r="Q1571" s="336"/>
      <c r="R1571" s="337"/>
    </row>
    <row r="1572" spans="1:19" ht="30" customHeight="1" x14ac:dyDescent="0.25">
      <c r="A1572" s="365"/>
      <c r="B1572" s="578"/>
      <c r="C1572" s="578"/>
      <c r="D1572" s="578"/>
      <c r="E1572" s="247"/>
      <c r="F1572" s="1272" t="s">
        <v>303</v>
      </c>
      <c r="G1572" s="1283" t="s">
        <v>304</v>
      </c>
      <c r="H1572" s="1283"/>
      <c r="I1572" s="1283"/>
      <c r="J1572" s="1283"/>
      <c r="K1572" s="250">
        <v>1.1000000000000001</v>
      </c>
      <c r="L1572" s="365"/>
      <c r="M1572" s="54"/>
      <c r="N1572" s="54"/>
      <c r="P1572" s="335"/>
      <c r="Q1572" s="336"/>
      <c r="R1572" s="337"/>
    </row>
    <row r="1573" spans="1:19" ht="30" customHeight="1" x14ac:dyDescent="0.25">
      <c r="A1573" s="365"/>
      <c r="B1573" s="578"/>
      <c r="C1573" s="578"/>
      <c r="D1573" s="578"/>
      <c r="E1573" s="247"/>
      <c r="F1573" s="1273"/>
      <c r="G1573" s="1284" t="s">
        <v>438</v>
      </c>
      <c r="H1573" s="1284"/>
      <c r="I1573" s="1284"/>
      <c r="J1573" s="1284"/>
      <c r="K1573" s="250">
        <v>1.08</v>
      </c>
      <c r="L1573" s="365"/>
      <c r="M1573" s="54"/>
      <c r="N1573" s="54"/>
      <c r="P1573" s="335"/>
      <c r="Q1573" s="336"/>
      <c r="R1573" s="337"/>
    </row>
    <row r="1574" spans="1:19" ht="30" customHeight="1" x14ac:dyDescent="0.25">
      <c r="A1574" s="365"/>
      <c r="B1574" s="365"/>
      <c r="C1574" s="366"/>
      <c r="D1574" s="366"/>
      <c r="E1574" s="366"/>
      <c r="F1574" s="366"/>
      <c r="G1574" s="366"/>
      <c r="H1574" s="366"/>
      <c r="I1574" s="366"/>
      <c r="J1574" s="365" t="s">
        <v>72</v>
      </c>
      <c r="K1574" s="246">
        <f>+K1571*K1572/K1573</f>
        <v>158.47076918184132</v>
      </c>
      <c r="L1574" s="365" t="s">
        <v>205</v>
      </c>
      <c r="M1574" s="54"/>
      <c r="N1574" s="54"/>
      <c r="P1574" s="335"/>
      <c r="Q1574" s="336"/>
      <c r="R1574" s="337"/>
    </row>
    <row r="1575" spans="1:19" ht="30" customHeight="1" x14ac:dyDescent="0.25">
      <c r="A1575" s="365"/>
      <c r="B1575" s="365"/>
      <c r="C1575" s="366"/>
      <c r="D1575" s="366"/>
      <c r="E1575" s="366"/>
      <c r="F1575" s="366"/>
      <c r="G1575" s="1222" t="s">
        <v>414</v>
      </c>
      <c r="H1575" s="1235"/>
      <c r="I1575" s="1223"/>
      <c r="J1575" s="521">
        <f>VLOOKUP(B1561,'Mil Cost Premiums for PUCs'!$A$4:$R$277,18,FALSE)</f>
        <v>1.1932356231980656</v>
      </c>
      <c r="K1575" s="246">
        <f>+K1574*J1575</f>
        <v>189.09296702337124</v>
      </c>
      <c r="L1575" s="365" t="s">
        <v>205</v>
      </c>
      <c r="M1575" s="54"/>
      <c r="N1575" s="54"/>
      <c r="P1575" s="335"/>
      <c r="Q1575" s="336"/>
      <c r="R1575" s="337"/>
    </row>
    <row r="1576" spans="1:19" ht="30" customHeight="1" x14ac:dyDescent="0.25">
      <c r="A1576" s="365"/>
      <c r="B1576" s="365"/>
      <c r="C1576" s="366"/>
      <c r="D1576" s="366"/>
      <c r="E1576" s="366"/>
      <c r="F1576" s="366"/>
      <c r="G1576" s="1222" t="s">
        <v>439</v>
      </c>
      <c r="H1576" s="1223"/>
      <c r="I1576" s="366"/>
      <c r="J1576" s="521">
        <v>1.0833999999999999</v>
      </c>
      <c r="K1576" s="246">
        <f>K1575*J1576</f>
        <v>204.86332047312038</v>
      </c>
      <c r="L1576" s="365" t="s">
        <v>205</v>
      </c>
      <c r="N1576" s="54"/>
      <c r="P1576" s="335"/>
      <c r="Q1576" s="336"/>
      <c r="R1576" s="337"/>
    </row>
    <row r="1577" spans="1:19" ht="60" customHeight="1" x14ac:dyDescent="0.25">
      <c r="A1577" s="1230" t="s">
        <v>307</v>
      </c>
      <c r="B1577" s="1231"/>
      <c r="C1577" s="1231"/>
      <c r="D1577" s="1231"/>
      <c r="E1577" s="1231"/>
      <c r="F1577" s="1231"/>
      <c r="G1577" s="1231"/>
      <c r="H1577" s="1231"/>
      <c r="I1577" s="1231"/>
      <c r="J1577" s="1231"/>
      <c r="K1577" s="1231"/>
      <c r="L1577" s="1232"/>
      <c r="M1577" s="54"/>
      <c r="N1577" s="54"/>
      <c r="P1577" s="335"/>
      <c r="Q1577" s="336"/>
      <c r="R1577" s="337"/>
    </row>
    <row r="1578" spans="1:19" ht="30" customHeight="1" x14ac:dyDescent="0.25">
      <c r="A1578" s="1330" t="s">
        <v>308</v>
      </c>
      <c r="B1578" s="1331"/>
      <c r="C1578" s="1332"/>
      <c r="D1578" s="1256" t="s">
        <v>1114</v>
      </c>
      <c r="E1578" s="1257"/>
      <c r="F1578" s="1257"/>
      <c r="G1578" s="1257"/>
      <c r="H1578" s="1257"/>
      <c r="I1578" s="1257"/>
      <c r="J1578" s="1257"/>
      <c r="K1578" s="1257"/>
      <c r="L1578" s="1258"/>
      <c r="M1578" s="54"/>
      <c r="N1578" s="54"/>
      <c r="P1578" s="335"/>
      <c r="Q1578" s="336"/>
      <c r="R1578" s="337"/>
    </row>
    <row r="1579" spans="1:19" ht="45" customHeight="1" x14ac:dyDescent="0.25">
      <c r="A1579" s="1330" t="s">
        <v>310</v>
      </c>
      <c r="B1579" s="1331"/>
      <c r="C1579" s="1332"/>
      <c r="D1579" s="1230" t="s">
        <v>1115</v>
      </c>
      <c r="E1579" s="1231"/>
      <c r="F1579" s="1231"/>
      <c r="G1579" s="1231"/>
      <c r="H1579" s="1231"/>
      <c r="I1579" s="1231"/>
      <c r="J1579" s="1231"/>
      <c r="K1579" s="1231"/>
      <c r="L1579" s="1232"/>
      <c r="M1579" s="111"/>
      <c r="N1579" s="54"/>
      <c r="O1579" s="336"/>
      <c r="P1579" s="334"/>
      <c r="Q1579" s="335"/>
      <c r="R1579" s="336"/>
      <c r="S1579" s="337"/>
    </row>
    <row r="1580" spans="1:19" ht="30" customHeight="1" x14ac:dyDescent="0.25">
      <c r="A1580" s="1330" t="s">
        <v>312</v>
      </c>
      <c r="B1580" s="1331"/>
      <c r="C1580" s="1332"/>
      <c r="D1580" s="1230" t="s">
        <v>1116</v>
      </c>
      <c r="E1580" s="1231"/>
      <c r="F1580" s="1231"/>
      <c r="G1580" s="1231"/>
      <c r="H1580" s="1231"/>
      <c r="I1580" s="1231"/>
      <c r="J1580" s="1231"/>
      <c r="K1580" s="1231"/>
      <c r="L1580" s="1232"/>
      <c r="M1580" s="54"/>
      <c r="O1580" s="54"/>
      <c r="P1580" s="334"/>
      <c r="Q1580" s="335"/>
      <c r="R1580" s="336"/>
      <c r="S1580" s="337"/>
    </row>
    <row r="1581" spans="1:19" ht="30" customHeight="1" x14ac:dyDescent="0.25">
      <c r="A1581" s="1330" t="s">
        <v>314</v>
      </c>
      <c r="B1581" s="1331"/>
      <c r="C1581" s="1332"/>
      <c r="D1581" s="1230" t="s">
        <v>1117</v>
      </c>
      <c r="E1581" s="1231"/>
      <c r="F1581" s="1231"/>
      <c r="G1581" s="1231"/>
      <c r="H1581" s="1231"/>
      <c r="I1581" s="1231"/>
      <c r="J1581" s="1231"/>
      <c r="K1581" s="1231"/>
      <c r="L1581" s="1232"/>
      <c r="M1581" s="54"/>
      <c r="N1581" s="54"/>
      <c r="P1581" s="335"/>
      <c r="Q1581" s="336"/>
      <c r="R1581" s="337"/>
    </row>
    <row r="1582" spans="1:19" ht="30" customHeight="1" x14ac:dyDescent="0.25">
      <c r="A1582" s="1330" t="s">
        <v>316</v>
      </c>
      <c r="B1582" s="1331"/>
      <c r="C1582" s="1332"/>
      <c r="D1582" s="1230" t="s">
        <v>1118</v>
      </c>
      <c r="E1582" s="1231"/>
      <c r="F1582" s="1231"/>
      <c r="G1582" s="1231"/>
      <c r="H1582" s="1231"/>
      <c r="I1582" s="1231"/>
      <c r="J1582" s="1231"/>
      <c r="K1582" s="1231"/>
      <c r="L1582" s="1232"/>
      <c r="M1582" s="54"/>
      <c r="N1582" s="54"/>
      <c r="P1582" s="335"/>
      <c r="Q1582" s="336"/>
      <c r="R1582" s="337"/>
    </row>
    <row r="1583" spans="1:19" ht="30" customHeight="1" x14ac:dyDescent="0.25">
      <c r="A1583" s="1330" t="s">
        <v>318</v>
      </c>
      <c r="B1583" s="1331"/>
      <c r="C1583" s="1332"/>
      <c r="D1583" s="1230" t="s">
        <v>1119</v>
      </c>
      <c r="E1583" s="1231"/>
      <c r="F1583" s="1231"/>
      <c r="G1583" s="1231"/>
      <c r="H1583" s="1231"/>
      <c r="I1583" s="1231"/>
      <c r="J1583" s="1231"/>
      <c r="K1583" s="1231"/>
      <c r="L1583" s="1232"/>
      <c r="M1583" s="54"/>
      <c r="N1583" s="54"/>
      <c r="O1583" s="336"/>
      <c r="P1583" s="334"/>
      <c r="Q1583" s="335"/>
      <c r="R1583" s="336"/>
      <c r="S1583" s="337"/>
    </row>
    <row r="1584" spans="1:19" ht="30" customHeight="1" x14ac:dyDescent="0.25">
      <c r="A1584" s="1330" t="s">
        <v>320</v>
      </c>
      <c r="B1584" s="1331"/>
      <c r="C1584" s="1332"/>
      <c r="D1584" s="1230" t="s">
        <v>1120</v>
      </c>
      <c r="E1584" s="1231"/>
      <c r="F1584" s="1231"/>
      <c r="G1584" s="1231"/>
      <c r="H1584" s="1231"/>
      <c r="I1584" s="1231"/>
      <c r="J1584" s="1231"/>
      <c r="K1584" s="1231"/>
      <c r="L1584" s="1232"/>
      <c r="M1584" s="111"/>
      <c r="N1584" s="54"/>
      <c r="O1584" s="336"/>
      <c r="P1584" s="334"/>
      <c r="Q1584" s="335"/>
      <c r="R1584" s="336"/>
      <c r="S1584" s="337"/>
    </row>
    <row r="1585" spans="1:19" ht="75" customHeight="1" x14ac:dyDescent="0.25">
      <c r="A1585" s="1330" t="s">
        <v>559</v>
      </c>
      <c r="B1585" s="1331"/>
      <c r="C1585" s="1332"/>
      <c r="D1585" s="1206" t="s">
        <v>1121</v>
      </c>
      <c r="E1585" s="1207"/>
      <c r="F1585" s="1207"/>
      <c r="G1585" s="1207"/>
      <c r="H1585" s="1207"/>
      <c r="I1585" s="1207"/>
      <c r="J1585" s="1207"/>
      <c r="K1585" s="1207"/>
      <c r="L1585" s="1208"/>
      <c r="M1585" s="54"/>
      <c r="N1585" s="54"/>
      <c r="O1585" s="336"/>
      <c r="P1585" s="334"/>
      <c r="Q1585" s="335"/>
      <c r="R1585" s="336"/>
      <c r="S1585" s="337"/>
    </row>
    <row r="1586" spans="1:19" ht="30" customHeight="1" thickBot="1" x14ac:dyDescent="0.3">
      <c r="A1586" s="1256" t="s">
        <v>350</v>
      </c>
      <c r="B1586" s="1257"/>
      <c r="C1586" s="1258"/>
      <c r="D1586" s="1291" t="s">
        <v>1122</v>
      </c>
      <c r="E1586" s="1292"/>
      <c r="F1586" s="1292"/>
      <c r="G1586" s="1292"/>
      <c r="H1586" s="1292"/>
      <c r="I1586" s="1292"/>
      <c r="J1586" s="1292"/>
      <c r="K1586" s="1292"/>
      <c r="L1586" s="1293"/>
      <c r="M1586" s="54"/>
      <c r="N1586" s="54"/>
      <c r="O1586" s="336"/>
      <c r="P1586" s="334"/>
      <c r="Q1586" s="335"/>
      <c r="R1586" s="336"/>
      <c r="S1586" s="337"/>
    </row>
    <row r="1587" spans="1:19" ht="30" customHeight="1" thickBot="1" x14ac:dyDescent="0.3">
      <c r="A1587" s="1180"/>
      <c r="B1587" s="1181"/>
      <c r="C1587" s="1181"/>
      <c r="D1587" s="1181"/>
      <c r="E1587" s="1181"/>
      <c r="F1587" s="1181"/>
      <c r="G1587" s="1181"/>
      <c r="H1587" s="1181"/>
      <c r="I1587" s="1181"/>
      <c r="J1587" s="1181"/>
      <c r="K1587" s="1181"/>
      <c r="L1587" s="1182"/>
      <c r="M1587" s="54"/>
      <c r="N1587" s="54"/>
      <c r="O1587" s="336"/>
      <c r="P1587" s="334"/>
      <c r="Q1587" s="335"/>
      <c r="R1587" s="336"/>
      <c r="S1587" s="337"/>
    </row>
    <row r="1588" spans="1:19" ht="30" customHeight="1" x14ac:dyDescent="0.25">
      <c r="A1588" s="327" t="s">
        <v>5</v>
      </c>
      <c r="B1588" s="328">
        <v>2113</v>
      </c>
      <c r="C1588" s="1218" t="s">
        <v>1123</v>
      </c>
      <c r="D1588" s="1219"/>
      <c r="E1588" s="331" t="s">
        <v>8</v>
      </c>
      <c r="F1588" s="332" t="s">
        <v>205</v>
      </c>
      <c r="G1588" s="342" t="s">
        <v>74</v>
      </c>
      <c r="H1588" s="248">
        <v>17874</v>
      </c>
      <c r="I1588" s="331" t="s">
        <v>10</v>
      </c>
      <c r="J1588" s="1220" t="s">
        <v>281</v>
      </c>
      <c r="K1588" s="1220"/>
      <c r="L1588" s="1221"/>
      <c r="M1588" s="54"/>
      <c r="N1588" s="54"/>
      <c r="O1588" s="336"/>
      <c r="P1588" s="334"/>
      <c r="Q1588" s="335"/>
      <c r="R1588" s="336"/>
      <c r="S1588" s="337"/>
    </row>
    <row r="1589" spans="1:19" ht="30" customHeight="1" x14ac:dyDescent="0.25">
      <c r="A1589" s="356" t="s">
        <v>282</v>
      </c>
      <c r="B1589" s="1163" t="s">
        <v>13</v>
      </c>
      <c r="C1589" s="1163"/>
      <c r="D1589" s="1163"/>
      <c r="E1589" s="357" t="s">
        <v>283</v>
      </c>
      <c r="F1589" s="546" t="s">
        <v>116</v>
      </c>
      <c r="G1589" s="356"/>
      <c r="H1589" s="356"/>
      <c r="I1589" s="1276" t="s">
        <v>284</v>
      </c>
      <c r="J1589" s="1277"/>
      <c r="K1589" s="1236" t="s">
        <v>285</v>
      </c>
      <c r="L1589" s="1237"/>
      <c r="M1589" s="54"/>
      <c r="N1589" s="54"/>
      <c r="O1589" s="336"/>
      <c r="P1589" s="334"/>
      <c r="Q1589" s="335"/>
      <c r="R1589" s="336"/>
      <c r="S1589" s="337"/>
    </row>
    <row r="1590" spans="1:19" ht="30" customHeight="1" x14ac:dyDescent="0.25">
      <c r="A1590" s="367" t="s">
        <v>286</v>
      </c>
      <c r="B1590" s="1164" t="s">
        <v>1124</v>
      </c>
      <c r="C1590" s="1164"/>
      <c r="D1590" s="1164"/>
      <c r="E1590" s="547">
        <v>46000</v>
      </c>
      <c r="F1590" s="240">
        <v>804</v>
      </c>
      <c r="G1590" s="548"/>
      <c r="H1590" s="549"/>
      <c r="I1590" s="1302" t="s">
        <v>288</v>
      </c>
      <c r="J1590" s="1303"/>
      <c r="K1590" s="240">
        <f>+F1590</f>
        <v>804</v>
      </c>
      <c r="L1590" s="367" t="s">
        <v>205</v>
      </c>
      <c r="M1590" s="54"/>
      <c r="N1590" s="54"/>
      <c r="O1590" s="336"/>
      <c r="P1590" s="334"/>
      <c r="Q1590" s="335"/>
      <c r="R1590" s="336"/>
      <c r="S1590" s="337"/>
    </row>
    <row r="1591" spans="1:19" ht="30" customHeight="1" thickBot="1" x14ac:dyDescent="0.3">
      <c r="A1591" s="365"/>
      <c r="B1591" s="1281"/>
      <c r="C1591" s="1281"/>
      <c r="D1591" s="1281"/>
      <c r="E1591" s="550"/>
      <c r="F1591" s="551"/>
      <c r="G1591" s="551"/>
      <c r="H1591" s="552"/>
      <c r="I1591" s="366"/>
      <c r="J1591" s="359" t="s">
        <v>72</v>
      </c>
      <c r="K1591" s="246">
        <f>+K1590</f>
        <v>804</v>
      </c>
      <c r="L1591" s="365" t="s">
        <v>205</v>
      </c>
      <c r="M1591" s="54"/>
      <c r="N1591" s="54"/>
      <c r="O1591" s="336"/>
      <c r="P1591" s="334"/>
      <c r="Q1591" s="335"/>
      <c r="R1591" s="336"/>
      <c r="S1591" s="337"/>
    </row>
    <row r="1592" spans="1:19" ht="30" customHeight="1" thickBot="1" x14ac:dyDescent="0.3">
      <c r="A1592" s="807"/>
      <c r="B1592" s="808"/>
      <c r="C1592" s="808"/>
      <c r="D1592" s="808"/>
      <c r="E1592" s="808"/>
      <c r="F1592" s="808"/>
      <c r="G1592" s="808"/>
      <c r="H1592" s="808"/>
      <c r="I1592" s="808"/>
      <c r="J1592" s="808"/>
      <c r="K1592" s="808"/>
      <c r="L1592" s="809"/>
      <c r="M1592" s="54"/>
      <c r="N1592" s="54"/>
      <c r="O1592" s="336"/>
      <c r="P1592" s="334"/>
      <c r="Q1592" s="335"/>
      <c r="R1592" s="336"/>
      <c r="S1592" s="337"/>
    </row>
    <row r="1593" spans="1:19" ht="30" customHeight="1" x14ac:dyDescent="0.25">
      <c r="A1593" s="327" t="s">
        <v>5</v>
      </c>
      <c r="B1593" s="328">
        <v>2114</v>
      </c>
      <c r="C1593" s="1218" t="s">
        <v>1125</v>
      </c>
      <c r="D1593" s="1219"/>
      <c r="E1593" s="331" t="s">
        <v>8</v>
      </c>
      <c r="F1593" s="332" t="s">
        <v>205</v>
      </c>
      <c r="G1593" s="342" t="s">
        <v>74</v>
      </c>
      <c r="H1593" s="156">
        <v>8776</v>
      </c>
      <c r="I1593" s="331" t="s">
        <v>10</v>
      </c>
      <c r="J1593" s="1220" t="s">
        <v>3400</v>
      </c>
      <c r="K1593" s="1220"/>
      <c r="L1593" s="1221"/>
      <c r="M1593" s="111"/>
      <c r="N1593" s="54"/>
      <c r="O1593" s="336"/>
      <c r="P1593" s="334"/>
      <c r="Q1593" s="335"/>
      <c r="R1593" s="336"/>
      <c r="S1593" s="337"/>
    </row>
    <row r="1594" spans="1:19" ht="30" customHeight="1" x14ac:dyDescent="0.25">
      <c r="A1594" s="356" t="s">
        <v>282</v>
      </c>
      <c r="B1594" s="1163" t="s">
        <v>13</v>
      </c>
      <c r="C1594" s="1163"/>
      <c r="D1594" s="1163"/>
      <c r="E1594" s="357" t="s">
        <v>283</v>
      </c>
      <c r="F1594" s="546" t="s">
        <v>116</v>
      </c>
      <c r="G1594" s="1314" t="s">
        <v>118</v>
      </c>
      <c r="H1594" s="1315"/>
      <c r="I1594" s="1276" t="s">
        <v>284</v>
      </c>
      <c r="J1594" s="1277"/>
      <c r="K1594" s="1236" t="s">
        <v>285</v>
      </c>
      <c r="L1594" s="1237"/>
      <c r="M1594" s="54"/>
      <c r="N1594" s="54"/>
      <c r="P1594" s="335"/>
      <c r="Q1594" s="336"/>
      <c r="R1594" s="337"/>
    </row>
    <row r="1595" spans="1:19" ht="30" customHeight="1" x14ac:dyDescent="0.25">
      <c r="A1595" s="365">
        <v>21140</v>
      </c>
      <c r="B1595" s="1281" t="s">
        <v>1126</v>
      </c>
      <c r="C1595" s="1281"/>
      <c r="D1595" s="1281"/>
      <c r="E1595" s="641">
        <v>26000</v>
      </c>
      <c r="F1595" s="252">
        <v>229</v>
      </c>
      <c r="G1595" s="365"/>
      <c r="H1595" s="726"/>
      <c r="I1595" s="1183">
        <f>+'2022 MILCON Inflation Table'!F10</f>
        <v>1.4125755730404082</v>
      </c>
      <c r="J1595" s="1184"/>
      <c r="K1595" s="253">
        <f>+F1595*I1595</f>
        <v>323.47980622625346</v>
      </c>
      <c r="L1595" s="365" t="s">
        <v>205</v>
      </c>
      <c r="M1595" s="111"/>
      <c r="N1595" s="54"/>
      <c r="P1595" s="335"/>
      <c r="Q1595" s="336"/>
      <c r="R1595" s="337"/>
    </row>
    <row r="1596" spans="1:19" ht="30" customHeight="1" thickBot="1" x14ac:dyDescent="0.3">
      <c r="A1596" s="365"/>
      <c r="B1596" s="1281"/>
      <c r="C1596" s="1281"/>
      <c r="D1596" s="1281"/>
      <c r="E1596" s="550"/>
      <c r="F1596" s="551"/>
      <c r="G1596" s="551"/>
      <c r="H1596" s="552"/>
      <c r="I1596" s="366"/>
      <c r="J1596" s="359" t="s">
        <v>72</v>
      </c>
      <c r="K1596" s="243">
        <f>+K1595</f>
        <v>323.47980622625346</v>
      </c>
      <c r="L1596" s="365" t="s">
        <v>205</v>
      </c>
      <c r="M1596" s="54"/>
      <c r="N1596" s="54"/>
      <c r="P1596" s="335"/>
      <c r="Q1596" s="336"/>
      <c r="R1596" s="337"/>
    </row>
    <row r="1597" spans="1:19" ht="30" customHeight="1" thickBot="1" x14ac:dyDescent="0.3">
      <c r="A1597" s="1180"/>
      <c r="B1597" s="1181"/>
      <c r="C1597" s="1181"/>
      <c r="D1597" s="1181"/>
      <c r="E1597" s="1181"/>
      <c r="F1597" s="1181"/>
      <c r="G1597" s="1181"/>
      <c r="H1597" s="1181"/>
      <c r="I1597" s="1181"/>
      <c r="J1597" s="1181"/>
      <c r="K1597" s="1181"/>
      <c r="L1597" s="1182"/>
      <c r="M1597" s="54"/>
      <c r="N1597" s="54"/>
      <c r="P1597" s="335"/>
      <c r="Q1597" s="336"/>
      <c r="R1597" s="337"/>
    </row>
    <row r="1598" spans="1:19" ht="30" customHeight="1" x14ac:dyDescent="0.25">
      <c r="A1598" s="327" t="s">
        <v>5</v>
      </c>
      <c r="B1598" s="328">
        <v>2115</v>
      </c>
      <c r="C1598" s="1218" t="s">
        <v>1127</v>
      </c>
      <c r="D1598" s="1219"/>
      <c r="E1598" s="331" t="s">
        <v>8</v>
      </c>
      <c r="F1598" s="332" t="s">
        <v>205</v>
      </c>
      <c r="G1598" s="342" t="s">
        <v>74</v>
      </c>
      <c r="H1598" s="325">
        <v>86476</v>
      </c>
      <c r="I1598" s="331" t="s">
        <v>10</v>
      </c>
      <c r="J1598" s="1220" t="s">
        <v>281</v>
      </c>
      <c r="K1598" s="1220"/>
      <c r="L1598" s="1221"/>
      <c r="M1598" s="54"/>
      <c r="N1598" s="54"/>
      <c r="P1598" s="335"/>
      <c r="Q1598" s="336"/>
      <c r="R1598" s="337"/>
    </row>
    <row r="1599" spans="1:19" ht="30" customHeight="1" x14ac:dyDescent="0.25">
      <c r="A1599" s="356" t="s">
        <v>282</v>
      </c>
      <c r="B1599" s="1163" t="s">
        <v>13</v>
      </c>
      <c r="C1599" s="1163"/>
      <c r="D1599" s="1163"/>
      <c r="E1599" s="357" t="s">
        <v>283</v>
      </c>
      <c r="F1599" s="546" t="s">
        <v>116</v>
      </c>
      <c r="G1599" s="356"/>
      <c r="H1599" s="356"/>
      <c r="I1599" s="1276" t="s">
        <v>284</v>
      </c>
      <c r="J1599" s="1277"/>
      <c r="K1599" s="1236" t="s">
        <v>285</v>
      </c>
      <c r="L1599" s="1237"/>
      <c r="M1599" s="54"/>
      <c r="N1599" s="54"/>
      <c r="P1599" s="335"/>
      <c r="Q1599" s="336"/>
      <c r="R1599" s="337"/>
    </row>
    <row r="1600" spans="1:19" ht="30" customHeight="1" x14ac:dyDescent="0.25">
      <c r="A1600" s="367" t="s">
        <v>286</v>
      </c>
      <c r="B1600" s="1164" t="s">
        <v>1128</v>
      </c>
      <c r="C1600" s="1164"/>
      <c r="D1600" s="1164"/>
      <c r="E1600" s="547">
        <v>180000</v>
      </c>
      <c r="F1600" s="240">
        <v>432</v>
      </c>
      <c r="G1600" s="548"/>
      <c r="H1600" s="549"/>
      <c r="I1600" s="1302" t="s">
        <v>288</v>
      </c>
      <c r="J1600" s="1303"/>
      <c r="K1600" s="240">
        <f>+F1600</f>
        <v>432</v>
      </c>
      <c r="L1600" s="367" t="s">
        <v>205</v>
      </c>
      <c r="M1600" s="111"/>
      <c r="N1600" s="54"/>
      <c r="P1600" s="335"/>
      <c r="Q1600" s="336"/>
      <c r="R1600" s="337"/>
    </row>
    <row r="1601" spans="1:25" ht="30" customHeight="1" thickBot="1" x14ac:dyDescent="0.3">
      <c r="A1601" s="365"/>
      <c r="B1601" s="1281"/>
      <c r="C1601" s="1281"/>
      <c r="D1601" s="1281"/>
      <c r="E1601" s="550"/>
      <c r="F1601" s="551"/>
      <c r="G1601" s="551"/>
      <c r="H1601" s="552"/>
      <c r="I1601" s="366"/>
      <c r="J1601" s="359" t="s">
        <v>72</v>
      </c>
      <c r="K1601" s="246">
        <f>+K1600</f>
        <v>432</v>
      </c>
      <c r="L1601" s="365" t="s">
        <v>205</v>
      </c>
      <c r="M1601" s="54"/>
      <c r="N1601" s="54"/>
      <c r="P1601" s="335"/>
      <c r="Q1601" s="336"/>
      <c r="R1601" s="337"/>
    </row>
    <row r="1602" spans="1:25" ht="30" customHeight="1" thickBot="1" x14ac:dyDescent="0.3">
      <c r="A1602" s="1180"/>
      <c r="B1602" s="1181"/>
      <c r="C1602" s="1181"/>
      <c r="D1602" s="1181"/>
      <c r="E1602" s="1181"/>
      <c r="F1602" s="1181"/>
      <c r="G1602" s="1181"/>
      <c r="H1602" s="1181"/>
      <c r="I1602" s="1181"/>
      <c r="J1602" s="1181"/>
      <c r="K1602" s="1181"/>
      <c r="L1602" s="1182"/>
      <c r="M1602" s="54"/>
      <c r="N1602" s="54"/>
      <c r="P1602" s="335"/>
      <c r="Q1602" s="336"/>
      <c r="R1602" s="337"/>
    </row>
    <row r="1603" spans="1:25" ht="30" customHeight="1" x14ac:dyDescent="0.25">
      <c r="A1603" s="327" t="s">
        <v>5</v>
      </c>
      <c r="B1603" s="328">
        <v>2116</v>
      </c>
      <c r="C1603" s="1218" t="s">
        <v>1129</v>
      </c>
      <c r="D1603" s="1219"/>
      <c r="E1603" s="331" t="s">
        <v>8</v>
      </c>
      <c r="F1603" s="332" t="s">
        <v>205</v>
      </c>
      <c r="G1603" s="342" t="s">
        <v>74</v>
      </c>
      <c r="H1603" s="160">
        <v>18604</v>
      </c>
      <c r="I1603" s="331" t="s">
        <v>10</v>
      </c>
      <c r="J1603" s="1220" t="s">
        <v>1130</v>
      </c>
      <c r="K1603" s="1220"/>
      <c r="L1603" s="1221"/>
      <c r="M1603" s="111"/>
      <c r="N1603" s="54"/>
      <c r="P1603" s="335"/>
      <c r="Q1603" s="336"/>
      <c r="R1603" s="337"/>
    </row>
    <row r="1604" spans="1:25" ht="30" customHeight="1" x14ac:dyDescent="0.25">
      <c r="A1604" s="356" t="s">
        <v>282</v>
      </c>
      <c r="B1604" s="1163" t="s">
        <v>13</v>
      </c>
      <c r="C1604" s="1163"/>
      <c r="D1604" s="1163"/>
      <c r="E1604" s="546" t="s">
        <v>116</v>
      </c>
      <c r="F1604" s="356" t="s">
        <v>283</v>
      </c>
      <c r="G1604" s="1314"/>
      <c r="H1604" s="1315"/>
      <c r="I1604" s="1276" t="s">
        <v>284</v>
      </c>
      <c r="J1604" s="1277"/>
      <c r="K1604" s="1236" t="s">
        <v>285</v>
      </c>
      <c r="L1604" s="1237"/>
      <c r="M1604" s="54"/>
      <c r="N1604" s="54"/>
      <c r="P1604" s="335"/>
      <c r="Q1604" s="336"/>
      <c r="R1604" s="337"/>
    </row>
    <row r="1605" spans="1:25" ht="30" customHeight="1" x14ac:dyDescent="0.25">
      <c r="A1605" s="365">
        <v>21120</v>
      </c>
      <c r="B1605" s="1214" t="s">
        <v>1131</v>
      </c>
      <c r="C1605" s="1215"/>
      <c r="D1605" s="1216"/>
      <c r="E1605" s="247">
        <v>267.67</v>
      </c>
      <c r="F1605" s="257">
        <v>32000</v>
      </c>
      <c r="G1605" s="367"/>
      <c r="H1605" s="367"/>
      <c r="I1605" s="1183">
        <f>+'2022 MILCON Inflation Table'!F13</f>
        <v>1.2561273320332946</v>
      </c>
      <c r="J1605" s="1184"/>
      <c r="K1605" s="253">
        <f>+E1605*I1605</f>
        <v>336.22760296535199</v>
      </c>
      <c r="L1605" s="367" t="s">
        <v>205</v>
      </c>
      <c r="M1605" s="54"/>
      <c r="N1605" s="54"/>
      <c r="P1605" s="335"/>
      <c r="Q1605" s="336"/>
      <c r="R1605" s="337"/>
    </row>
    <row r="1606" spans="1:25" ht="30" customHeight="1" thickBot="1" x14ac:dyDescent="0.3">
      <c r="A1606" s="365"/>
      <c r="B1606" s="338"/>
      <c r="C1606" s="333"/>
      <c r="D1606" s="333"/>
      <c r="E1606" s="333"/>
      <c r="F1606" s="744"/>
      <c r="G1606" s="333"/>
      <c r="H1606" s="729"/>
      <c r="I1606" s="366"/>
      <c r="J1606" s="359" t="s">
        <v>72</v>
      </c>
      <c r="K1606" s="243">
        <f>AVERAGE(K1605:K1605)</f>
        <v>336.22760296535199</v>
      </c>
      <c r="L1606" s="367" t="s">
        <v>205</v>
      </c>
      <c r="M1606" s="54"/>
      <c r="N1606" s="54"/>
      <c r="P1606" s="335"/>
      <c r="Q1606" s="336"/>
      <c r="R1606" s="337"/>
    </row>
    <row r="1607" spans="1:25" ht="30" customHeight="1" thickBot="1" x14ac:dyDescent="0.3">
      <c r="A1607" s="1180"/>
      <c r="B1607" s="1181"/>
      <c r="C1607" s="1181"/>
      <c r="D1607" s="1181"/>
      <c r="E1607" s="1181"/>
      <c r="F1607" s="1181"/>
      <c r="G1607" s="1181"/>
      <c r="H1607" s="1181"/>
      <c r="I1607" s="1181"/>
      <c r="J1607" s="1181"/>
      <c r="K1607" s="1181"/>
      <c r="L1607" s="1182"/>
      <c r="M1607" s="54"/>
      <c r="N1607" s="54"/>
      <c r="P1607" s="335"/>
      <c r="Q1607" s="336"/>
      <c r="R1607" s="337"/>
    </row>
    <row r="1608" spans="1:25" ht="30" customHeight="1" x14ac:dyDescent="0.25">
      <c r="A1608" s="327" t="s">
        <v>5</v>
      </c>
      <c r="B1608" s="328">
        <v>2118</v>
      </c>
      <c r="C1608" s="1218" t="s">
        <v>1132</v>
      </c>
      <c r="D1608" s="1219"/>
      <c r="E1608" s="331" t="s">
        <v>8</v>
      </c>
      <c r="F1608" s="332" t="s">
        <v>76</v>
      </c>
      <c r="G1608" s="342" t="s">
        <v>74</v>
      </c>
      <c r="H1608" s="169">
        <v>1.2</v>
      </c>
      <c r="I1608" s="331" t="s">
        <v>10</v>
      </c>
      <c r="J1608" s="1220" t="s">
        <v>3400</v>
      </c>
      <c r="K1608" s="1220"/>
      <c r="L1608" s="1221"/>
      <c r="M1608" s="111"/>
      <c r="N1608" s="54"/>
      <c r="O1608" s="336"/>
      <c r="P1608" s="334"/>
      <c r="Q1608" s="335"/>
      <c r="R1608" s="336"/>
      <c r="S1608" s="337"/>
    </row>
    <row r="1609" spans="1:25" ht="30" customHeight="1" x14ac:dyDescent="0.25">
      <c r="A1609" s="356" t="s">
        <v>282</v>
      </c>
      <c r="B1609" s="1163" t="s">
        <v>13</v>
      </c>
      <c r="C1609" s="1163"/>
      <c r="D1609" s="1163"/>
      <c r="E1609" s="546" t="s">
        <v>116</v>
      </c>
      <c r="F1609" s="356" t="s">
        <v>283</v>
      </c>
      <c r="G1609" s="1314" t="s">
        <v>118</v>
      </c>
      <c r="H1609" s="1315"/>
      <c r="I1609" s="1276" t="s">
        <v>284</v>
      </c>
      <c r="J1609" s="1277"/>
      <c r="K1609" s="1236" t="s">
        <v>285</v>
      </c>
      <c r="L1609" s="1237"/>
      <c r="M1609" s="54"/>
      <c r="N1609" s="54"/>
      <c r="O1609" s="336"/>
      <c r="P1609" s="334"/>
      <c r="Q1609" s="335"/>
      <c r="R1609" s="336"/>
      <c r="S1609" s="337"/>
    </row>
    <row r="1610" spans="1:25" ht="30" customHeight="1" x14ac:dyDescent="0.25">
      <c r="A1610" s="365">
        <v>21140</v>
      </c>
      <c r="B1610" s="1214" t="s">
        <v>1126</v>
      </c>
      <c r="C1610" s="1215"/>
      <c r="D1610" s="1216"/>
      <c r="E1610" s="247">
        <v>229</v>
      </c>
      <c r="F1610" s="257">
        <v>26000</v>
      </c>
      <c r="G1610" s="685">
        <v>9558</v>
      </c>
      <c r="H1610" s="365" t="s">
        <v>329</v>
      </c>
      <c r="I1610" s="1183">
        <f>+'2022 MILCON Inflation Table'!F10</f>
        <v>1.4125755730404082</v>
      </c>
      <c r="J1610" s="1184"/>
      <c r="K1610" s="253">
        <f>+E1610*G1610*I1610</f>
        <v>3091819.9879105305</v>
      </c>
      <c r="L1610" s="367" t="s">
        <v>76</v>
      </c>
      <c r="M1610" s="54"/>
      <c r="N1610" s="54"/>
      <c r="O1610" s="340"/>
      <c r="P1610" s="799"/>
      <c r="Q1610" s="384"/>
      <c r="R1610" s="800"/>
      <c r="S1610" s="340"/>
      <c r="T1610" s="340"/>
    </row>
    <row r="1611" spans="1:25" ht="30" customHeight="1" thickBot="1" x14ac:dyDescent="0.3">
      <c r="A1611" s="365"/>
      <c r="B1611" s="1265" t="s">
        <v>3381</v>
      </c>
      <c r="C1611" s="1266"/>
      <c r="D1611" s="1266"/>
      <c r="E1611" s="333"/>
      <c r="F1611" s="744"/>
      <c r="G1611" s="333"/>
      <c r="H1611" s="729"/>
      <c r="I1611" s="366"/>
      <c r="J1611" s="359" t="s">
        <v>72</v>
      </c>
      <c r="K1611" s="243">
        <f>AVERAGE(K1610:K1610)</f>
        <v>3091819.9879105305</v>
      </c>
      <c r="L1611" s="367" t="s">
        <v>76</v>
      </c>
      <c r="M1611" s="54"/>
      <c r="N1611" s="54"/>
      <c r="P1611" s="335"/>
      <c r="Q1611" s="336"/>
      <c r="R1611" s="337"/>
      <c r="U1611" s="340"/>
      <c r="V1611" s="340"/>
      <c r="W1611" s="340"/>
      <c r="X1611" s="340"/>
      <c r="Y1611" s="340"/>
    </row>
    <row r="1612" spans="1:25" s="340" customFormat="1" ht="30" customHeight="1" thickBot="1" x14ac:dyDescent="0.3">
      <c r="A1612" s="1180"/>
      <c r="B1612" s="1181"/>
      <c r="C1612" s="1181"/>
      <c r="D1612" s="1181"/>
      <c r="E1612" s="1181"/>
      <c r="F1612" s="1181"/>
      <c r="G1612" s="1181"/>
      <c r="H1612" s="1181"/>
      <c r="I1612" s="1181"/>
      <c r="J1612" s="1181"/>
      <c r="K1612" s="1181"/>
      <c r="L1612" s="1182"/>
      <c r="M1612" s="54"/>
      <c r="N1612" s="54"/>
      <c r="O1612" s="336"/>
      <c r="P1612" s="334"/>
      <c r="Q1612" s="335"/>
      <c r="R1612" s="336"/>
      <c r="S1612" s="337"/>
      <c r="T1612" s="334"/>
      <c r="U1612" s="334"/>
      <c r="V1612" s="334"/>
      <c r="W1612" s="334"/>
      <c r="X1612" s="334"/>
      <c r="Y1612" s="334"/>
    </row>
    <row r="1613" spans="1:25" ht="30" customHeight="1" x14ac:dyDescent="0.25">
      <c r="A1613" s="327" t="s">
        <v>5</v>
      </c>
      <c r="B1613" s="328">
        <v>2121</v>
      </c>
      <c r="C1613" s="1304" t="s">
        <v>1133</v>
      </c>
      <c r="D1613" s="1304"/>
      <c r="E1613" s="331" t="s">
        <v>8</v>
      </c>
      <c r="F1613" s="332" t="s">
        <v>205</v>
      </c>
      <c r="G1613" s="684" t="s">
        <v>74</v>
      </c>
      <c r="H1613" s="810">
        <v>11383</v>
      </c>
      <c r="I1613" s="811" t="s">
        <v>10</v>
      </c>
      <c r="J1613" s="1220" t="s">
        <v>3388</v>
      </c>
      <c r="K1613" s="1220"/>
      <c r="L1613" s="1221"/>
      <c r="M1613" s="54"/>
      <c r="N1613" s="54"/>
      <c r="O1613" s="336"/>
      <c r="P1613" s="334"/>
      <c r="Q1613" s="335"/>
      <c r="R1613" s="336"/>
      <c r="S1613" s="337"/>
    </row>
    <row r="1614" spans="1:25" ht="30" customHeight="1" x14ac:dyDescent="0.25">
      <c r="A1614" s="359" t="s">
        <v>295</v>
      </c>
      <c r="B1614" s="1222" t="s">
        <v>326</v>
      </c>
      <c r="C1614" s="1235"/>
      <c r="D1614" s="1223"/>
      <c r="E1614" s="577" t="s">
        <v>116</v>
      </c>
      <c r="F1614" s="577" t="s">
        <v>117</v>
      </c>
      <c r="G1614" s="1236" t="s">
        <v>118</v>
      </c>
      <c r="H1614" s="1237"/>
      <c r="I1614" s="812" t="s">
        <v>1134</v>
      </c>
      <c r="J1614" s="356" t="s">
        <v>296</v>
      </c>
      <c r="K1614" s="1236" t="s">
        <v>285</v>
      </c>
      <c r="L1614" s="1237"/>
      <c r="M1614" s="54"/>
      <c r="N1614" s="54"/>
      <c r="O1614" s="336"/>
      <c r="P1614" s="334"/>
      <c r="Q1614" s="335"/>
      <c r="R1614" s="336"/>
      <c r="S1614" s="337"/>
    </row>
    <row r="1615" spans="1:25" ht="45" customHeight="1" x14ac:dyDescent="0.25">
      <c r="A1615" s="365" t="s">
        <v>1135</v>
      </c>
      <c r="B1615" s="1209" t="s">
        <v>1136</v>
      </c>
      <c r="C1615" s="1210"/>
      <c r="D1615" s="1211"/>
      <c r="E1615" s="247">
        <f>164-2.51</f>
        <v>161.49</v>
      </c>
      <c r="F1615" s="365" t="s">
        <v>205</v>
      </c>
      <c r="G1615" s="689"/>
      <c r="H1615" s="690"/>
      <c r="I1615" s="65">
        <f>+E1615</f>
        <v>161.49</v>
      </c>
      <c r="J1615" s="365">
        <v>1.01</v>
      </c>
      <c r="K1615" s="7">
        <f t="shared" ref="K1615:K1625" si="36">+I1615*J1615</f>
        <v>163.10490000000001</v>
      </c>
      <c r="L1615" s="365" t="s">
        <v>205</v>
      </c>
      <c r="M1615" s="54"/>
      <c r="N1615" s="54"/>
      <c r="O1615" s="336"/>
      <c r="P1615" s="334"/>
      <c r="Q1615" s="335"/>
      <c r="R1615" s="336"/>
      <c r="S1615" s="337"/>
    </row>
    <row r="1616" spans="1:25" ht="30" customHeight="1" x14ac:dyDescent="0.25">
      <c r="A1616" s="365" t="s">
        <v>406</v>
      </c>
      <c r="B1616" s="1209" t="s">
        <v>413</v>
      </c>
      <c r="C1616" s="1210"/>
      <c r="D1616" s="1211"/>
      <c r="E1616" s="11">
        <v>4.38</v>
      </c>
      <c r="F1616" s="365" t="s">
        <v>205</v>
      </c>
      <c r="G1616" s="452"/>
      <c r="H1616" s="589"/>
      <c r="I1616" s="170">
        <f>+E1616</f>
        <v>4.38</v>
      </c>
      <c r="J1616" s="365">
        <v>1.01</v>
      </c>
      <c r="K1616" s="7">
        <f t="shared" si="36"/>
        <v>4.4238</v>
      </c>
      <c r="L1616" s="365" t="s">
        <v>205</v>
      </c>
      <c r="M1616" s="54"/>
      <c r="N1616" s="54"/>
      <c r="O1616" s="336"/>
      <c r="P1616" s="334"/>
      <c r="Q1616" s="335"/>
      <c r="R1616" s="336"/>
      <c r="S1616" s="337"/>
    </row>
    <row r="1617" spans="1:19" ht="30" customHeight="1" x14ac:dyDescent="0.25">
      <c r="A1617" s="365" t="s">
        <v>406</v>
      </c>
      <c r="B1617" s="1209" t="s">
        <v>1137</v>
      </c>
      <c r="C1617" s="1210"/>
      <c r="D1617" s="1211"/>
      <c r="E1617" s="246">
        <f>0.15*E1616</f>
        <v>0.65699999999999992</v>
      </c>
      <c r="F1617" s="661" t="s">
        <v>205</v>
      </c>
      <c r="G1617" s="452"/>
      <c r="H1617" s="589"/>
      <c r="I1617" s="170">
        <f>+E1617</f>
        <v>0.65699999999999992</v>
      </c>
      <c r="J1617" s="365">
        <v>1.01</v>
      </c>
      <c r="K1617" s="7">
        <f t="shared" si="36"/>
        <v>0.66356999999999988</v>
      </c>
      <c r="L1617" s="365" t="s">
        <v>205</v>
      </c>
      <c r="M1617" s="54"/>
      <c r="N1617" s="54"/>
      <c r="O1617" s="336"/>
      <c r="P1617" s="334"/>
      <c r="Q1617" s="335"/>
      <c r="R1617" s="336"/>
      <c r="S1617" s="337"/>
    </row>
    <row r="1618" spans="1:19" ht="30" customHeight="1" x14ac:dyDescent="0.25">
      <c r="A1618" s="365" t="s">
        <v>406</v>
      </c>
      <c r="B1618" s="1209" t="s">
        <v>1138</v>
      </c>
      <c r="C1618" s="1210"/>
      <c r="D1618" s="1211"/>
      <c r="E1618" s="246">
        <f xml:space="preserve"> 0.58+((1.15+1.71)/2)</f>
        <v>2.0099999999999998</v>
      </c>
      <c r="F1618" s="661" t="s">
        <v>205</v>
      </c>
      <c r="G1618" s="452"/>
      <c r="H1618" s="589"/>
      <c r="I1618" s="170">
        <f>+E1618</f>
        <v>2.0099999999999998</v>
      </c>
      <c r="J1618" s="365">
        <v>1.01</v>
      </c>
      <c r="K1618" s="7">
        <f t="shared" si="36"/>
        <v>2.0301</v>
      </c>
      <c r="L1618" s="365" t="s">
        <v>205</v>
      </c>
      <c r="M1618" s="54"/>
      <c r="N1618" s="54"/>
      <c r="O1618" s="554"/>
      <c r="P1618" s="334"/>
      <c r="Q1618" s="335"/>
      <c r="R1618" s="336"/>
      <c r="S1618" s="337"/>
    </row>
    <row r="1619" spans="1:19" ht="30" customHeight="1" x14ac:dyDescent="0.25">
      <c r="A1619" s="365" t="s">
        <v>520</v>
      </c>
      <c r="B1619" s="1209" t="s">
        <v>1139</v>
      </c>
      <c r="C1619" s="1210"/>
      <c r="D1619" s="1211"/>
      <c r="E1619" s="247">
        <v>177000</v>
      </c>
      <c r="F1619" s="661" t="s">
        <v>76</v>
      </c>
      <c r="G1619" s="452"/>
      <c r="H1619" s="589" t="s">
        <v>1140</v>
      </c>
      <c r="I1619" s="170">
        <f>+E1619/H1613</f>
        <v>15.549503645787578</v>
      </c>
      <c r="J1619" s="365">
        <v>1.02</v>
      </c>
      <c r="K1619" s="7">
        <f t="shared" si="36"/>
        <v>15.86049371870333</v>
      </c>
      <c r="L1619" s="365" t="s">
        <v>205</v>
      </c>
      <c r="M1619" s="54"/>
      <c r="N1619" s="54"/>
      <c r="O1619" s="336"/>
      <c r="P1619" s="334"/>
      <c r="Q1619" s="335"/>
      <c r="R1619" s="336"/>
      <c r="S1619" s="337"/>
    </row>
    <row r="1620" spans="1:19" ht="30" customHeight="1" x14ac:dyDescent="0.25">
      <c r="A1620" s="365" t="s">
        <v>426</v>
      </c>
      <c r="B1620" s="1228" t="s">
        <v>1141</v>
      </c>
      <c r="C1620" s="1325"/>
      <c r="D1620" s="1325"/>
      <c r="E1620" s="246">
        <f>+(20.3+31.5)/2</f>
        <v>25.9</v>
      </c>
      <c r="F1620" s="365" t="s">
        <v>1142</v>
      </c>
      <c r="G1620" s="567">
        <v>162</v>
      </c>
      <c r="H1620" s="246" t="s">
        <v>1143</v>
      </c>
      <c r="I1620" s="170">
        <f>+E1620*G1620/H1613</f>
        <v>0.36860230167794078</v>
      </c>
      <c r="J1620" s="365">
        <v>1.03</v>
      </c>
      <c r="K1620" s="7">
        <f t="shared" si="36"/>
        <v>0.37966037072827902</v>
      </c>
      <c r="L1620" s="365" t="s">
        <v>205</v>
      </c>
      <c r="M1620" s="54"/>
      <c r="N1620" s="54"/>
      <c r="O1620" s="336"/>
      <c r="P1620" s="334"/>
      <c r="Q1620" s="335"/>
      <c r="R1620" s="336"/>
      <c r="S1620" s="337"/>
    </row>
    <row r="1621" spans="1:19" ht="30" customHeight="1" x14ac:dyDescent="0.25">
      <c r="A1621" s="365" t="s">
        <v>426</v>
      </c>
      <c r="B1621" s="1326" t="s">
        <v>1144</v>
      </c>
      <c r="C1621" s="1327"/>
      <c r="D1621" s="1328"/>
      <c r="E1621" s="266">
        <f>+(1710+2420)/2</f>
        <v>2065</v>
      </c>
      <c r="F1621" s="365" t="s">
        <v>76</v>
      </c>
      <c r="G1621" s="567">
        <v>2</v>
      </c>
      <c r="H1621" s="246" t="s">
        <v>1145</v>
      </c>
      <c r="I1621" s="170">
        <f>+E1621*G1621/H1613</f>
        <v>0.3628217517350435</v>
      </c>
      <c r="J1621" s="365">
        <v>1.03</v>
      </c>
      <c r="K1621" s="7">
        <f t="shared" si="36"/>
        <v>0.37370640428709478</v>
      </c>
      <c r="L1621" s="365" t="s">
        <v>205</v>
      </c>
      <c r="M1621" s="54"/>
      <c r="N1621" s="54"/>
      <c r="O1621" s="336"/>
      <c r="P1621" s="334"/>
      <c r="Q1621" s="335"/>
      <c r="R1621" s="336"/>
      <c r="S1621" s="337"/>
    </row>
    <row r="1622" spans="1:19" ht="30" customHeight="1" x14ac:dyDescent="0.25">
      <c r="A1622" s="365" t="s">
        <v>430</v>
      </c>
      <c r="B1622" s="1209" t="s">
        <v>1146</v>
      </c>
      <c r="C1622" s="1210"/>
      <c r="D1622" s="1211"/>
      <c r="E1622" s="247">
        <f>+(34.5+82)/2</f>
        <v>58.25</v>
      </c>
      <c r="F1622" s="661" t="s">
        <v>40</v>
      </c>
      <c r="G1622" s="452">
        <v>20</v>
      </c>
      <c r="H1622" s="589" t="s">
        <v>1143</v>
      </c>
      <c r="I1622" s="170">
        <f>+E1622*G1622/H1613</f>
        <v>0.10234560309233066</v>
      </c>
      <c r="J1622" s="365">
        <v>1.03</v>
      </c>
      <c r="K1622" s="7">
        <f t="shared" si="36"/>
        <v>0.10541597118510058</v>
      </c>
      <c r="L1622" s="365" t="s">
        <v>205</v>
      </c>
      <c r="M1622" s="54"/>
      <c r="N1622" s="54"/>
      <c r="O1622" s="336"/>
      <c r="P1622" s="334"/>
      <c r="Q1622" s="335"/>
      <c r="R1622" s="336"/>
      <c r="S1622" s="337"/>
    </row>
    <row r="1623" spans="1:19" ht="30" customHeight="1" x14ac:dyDescent="0.25">
      <c r="A1623" s="365" t="s">
        <v>430</v>
      </c>
      <c r="B1623" s="1209" t="s">
        <v>433</v>
      </c>
      <c r="C1623" s="1210"/>
      <c r="D1623" s="1211"/>
      <c r="E1623" s="247">
        <f>+(6450+12300)/2</f>
        <v>9375</v>
      </c>
      <c r="F1623" s="661" t="s">
        <v>76</v>
      </c>
      <c r="G1623" s="452">
        <v>2</v>
      </c>
      <c r="H1623" s="589" t="s">
        <v>1140</v>
      </c>
      <c r="I1623" s="170">
        <f>+E1623*G1623/H1613</f>
        <v>1.6471931828164807</v>
      </c>
      <c r="J1623" s="365">
        <v>1.03</v>
      </c>
      <c r="K1623" s="7">
        <f t="shared" si="36"/>
        <v>1.6966089783009752</v>
      </c>
      <c r="L1623" s="365" t="s">
        <v>205</v>
      </c>
      <c r="M1623" s="54"/>
      <c r="N1623" s="54"/>
      <c r="O1623" s="336"/>
      <c r="P1623" s="334"/>
      <c r="Q1623" s="335"/>
      <c r="R1623" s="336"/>
      <c r="S1623" s="337"/>
    </row>
    <row r="1624" spans="1:19" ht="30" customHeight="1" x14ac:dyDescent="0.25">
      <c r="A1624" s="365" t="s">
        <v>430</v>
      </c>
      <c r="B1624" s="1209" t="s">
        <v>1147</v>
      </c>
      <c r="C1624" s="1210"/>
      <c r="D1624" s="1211"/>
      <c r="E1624" s="11">
        <f>+(660+1010)/2</f>
        <v>835</v>
      </c>
      <c r="F1624" s="661" t="s">
        <v>76</v>
      </c>
      <c r="G1624" s="452">
        <v>2</v>
      </c>
      <c r="H1624" s="589" t="s">
        <v>1140</v>
      </c>
      <c r="I1624" s="170">
        <f>+E1624*G1624/H1613</f>
        <v>0.1467100061495212</v>
      </c>
      <c r="J1624" s="365">
        <v>1.03</v>
      </c>
      <c r="K1624" s="7">
        <f t="shared" si="36"/>
        <v>0.15111130633400685</v>
      </c>
      <c r="L1624" s="365" t="s">
        <v>205</v>
      </c>
      <c r="M1624" s="54"/>
      <c r="N1624" s="54"/>
      <c r="O1624" s="336"/>
      <c r="P1624" s="334"/>
      <c r="Q1624" s="335"/>
      <c r="R1624" s="336"/>
      <c r="S1624" s="337"/>
    </row>
    <row r="1625" spans="1:19" ht="30" customHeight="1" x14ac:dyDescent="0.25">
      <c r="A1625" s="365" t="s">
        <v>430</v>
      </c>
      <c r="B1625" s="1209" t="s">
        <v>435</v>
      </c>
      <c r="C1625" s="1210"/>
      <c r="D1625" s="1211"/>
      <c r="E1625" s="247">
        <f>+(1160+3475)/2</f>
        <v>2317.5</v>
      </c>
      <c r="F1625" s="661" t="s">
        <v>76</v>
      </c>
      <c r="G1625" s="452">
        <v>2</v>
      </c>
      <c r="H1625" s="589" t="s">
        <v>1140</v>
      </c>
      <c r="I1625" s="170">
        <f>+E1625*G1625/H1613</f>
        <v>0.40718615479223402</v>
      </c>
      <c r="J1625" s="365">
        <v>1.03</v>
      </c>
      <c r="K1625" s="7">
        <f t="shared" si="36"/>
        <v>0.41940173943600106</v>
      </c>
      <c r="L1625" s="365" t="s">
        <v>205</v>
      </c>
      <c r="M1625" s="54"/>
      <c r="N1625" s="54"/>
      <c r="O1625" s="336"/>
      <c r="P1625" s="334"/>
      <c r="Q1625" s="335"/>
      <c r="R1625" s="336"/>
      <c r="S1625" s="337"/>
    </row>
    <row r="1626" spans="1:19" ht="30" customHeight="1" x14ac:dyDescent="0.25">
      <c r="A1626" s="365"/>
      <c r="B1626" s="1281"/>
      <c r="C1626" s="1281"/>
      <c r="D1626" s="1281"/>
      <c r="E1626" s="247"/>
      <c r="F1626" s="365"/>
      <c r="G1626" s="366"/>
      <c r="H1626" s="662"/>
      <c r="I1626" s="662"/>
      <c r="J1626" s="365" t="s">
        <v>408</v>
      </c>
      <c r="K1626" s="247">
        <f>SUM(K1615:K1625)</f>
        <v>189.20876848897484</v>
      </c>
      <c r="L1626" s="365" t="s">
        <v>205</v>
      </c>
      <c r="M1626" s="54"/>
      <c r="N1626" s="54"/>
      <c r="O1626" s="336"/>
      <c r="P1626" s="334"/>
      <c r="Q1626" s="335"/>
      <c r="R1626" s="336"/>
      <c r="S1626" s="337"/>
    </row>
    <row r="1627" spans="1:19" ht="30" customHeight="1" x14ac:dyDescent="0.25">
      <c r="A1627" s="365"/>
      <c r="B1627" s="578"/>
      <c r="C1627" s="578"/>
      <c r="D1627" s="578"/>
      <c r="E1627" s="578"/>
      <c r="F1627" s="1329" t="s">
        <v>303</v>
      </c>
      <c r="G1627" s="1283" t="s">
        <v>304</v>
      </c>
      <c r="H1627" s="1283"/>
      <c r="I1627" s="1283"/>
      <c r="J1627" s="1283"/>
      <c r="K1627" s="250">
        <v>1.08</v>
      </c>
      <c r="L1627" s="365"/>
      <c r="M1627" s="54"/>
      <c r="N1627" s="54"/>
      <c r="O1627" s="336"/>
      <c r="P1627" s="334"/>
      <c r="Q1627" s="335"/>
      <c r="R1627" s="336"/>
      <c r="S1627" s="337"/>
    </row>
    <row r="1628" spans="1:19" ht="30" customHeight="1" x14ac:dyDescent="0.25">
      <c r="A1628" s="365"/>
      <c r="B1628" s="578"/>
      <c r="C1628" s="578"/>
      <c r="D1628" s="578"/>
      <c r="E1628" s="578"/>
      <c r="F1628" s="1329"/>
      <c r="G1628" s="1284" t="s">
        <v>438</v>
      </c>
      <c r="H1628" s="1284"/>
      <c r="I1628" s="1284"/>
      <c r="J1628" s="1284"/>
      <c r="K1628" s="250">
        <v>1.08</v>
      </c>
      <c r="L1628" s="365"/>
      <c r="M1628" s="54"/>
      <c r="N1628" s="54"/>
      <c r="O1628" s="336"/>
      <c r="P1628" s="334"/>
      <c r="Q1628" s="335"/>
      <c r="R1628" s="336"/>
      <c r="S1628" s="337"/>
    </row>
    <row r="1629" spans="1:19" ht="30" customHeight="1" x14ac:dyDescent="0.25">
      <c r="A1629" s="365"/>
      <c r="B1629" s="365"/>
      <c r="C1629" s="366"/>
      <c r="D1629" s="366"/>
      <c r="E1629" s="366"/>
      <c r="F1629" s="366"/>
      <c r="G1629" s="366"/>
      <c r="H1629" s="366"/>
      <c r="I1629" s="366"/>
      <c r="J1629" s="365" t="s">
        <v>72</v>
      </c>
      <c r="K1629" s="246">
        <f>+K1626*K1627/K1628</f>
        <v>189.20876848897484</v>
      </c>
      <c r="L1629" s="365" t="s">
        <v>205</v>
      </c>
      <c r="M1629" s="54"/>
      <c r="N1629" s="54"/>
      <c r="O1629" s="336"/>
      <c r="P1629" s="334"/>
      <c r="Q1629" s="335"/>
      <c r="R1629" s="336"/>
      <c r="S1629" s="337"/>
    </row>
    <row r="1630" spans="1:19" ht="30" customHeight="1" x14ac:dyDescent="0.25">
      <c r="A1630" s="365"/>
      <c r="B1630" s="365"/>
      <c r="C1630" s="366"/>
      <c r="D1630" s="366"/>
      <c r="E1630" s="366"/>
      <c r="F1630" s="398" t="s">
        <v>414</v>
      </c>
      <c r="G1630" s="366"/>
      <c r="H1630" s="366"/>
      <c r="I1630" s="366"/>
      <c r="J1630" s="521">
        <f>VLOOKUP(B1613,'Mil Cost Premiums for PUCs'!$A$4:$R$277,18,FALSE)</f>
        <v>1.1932356231980656</v>
      </c>
      <c r="K1630" s="246">
        <f>+K1629*J1630</f>
        <v>225.77064278248042</v>
      </c>
      <c r="L1630" s="365" t="s">
        <v>205</v>
      </c>
      <c r="M1630" s="54"/>
      <c r="N1630" s="54"/>
      <c r="O1630" s="336"/>
      <c r="P1630" s="334"/>
      <c r="Q1630" s="335"/>
      <c r="R1630" s="336"/>
      <c r="S1630" s="337"/>
    </row>
    <row r="1631" spans="1:19" ht="30" customHeight="1" x14ac:dyDescent="0.25">
      <c r="A1631" s="365"/>
      <c r="B1631" s="365"/>
      <c r="C1631" s="366"/>
      <c r="D1631" s="366"/>
      <c r="E1631" s="366"/>
      <c r="F1631" s="1212" t="s">
        <v>1148</v>
      </c>
      <c r="G1631" s="1213"/>
      <c r="H1631" s="1213"/>
      <c r="I1631" s="1213"/>
      <c r="J1631" s="521">
        <v>1.0833999999999999</v>
      </c>
      <c r="K1631" s="544">
        <f>K1630*J1631</f>
        <v>244.59991439053928</v>
      </c>
      <c r="L1631" s="365" t="s">
        <v>205</v>
      </c>
      <c r="M1631" s="54"/>
      <c r="N1631" s="54"/>
      <c r="O1631" s="336"/>
      <c r="P1631" s="334"/>
      <c r="Q1631" s="335"/>
      <c r="R1631" s="336"/>
      <c r="S1631" s="337"/>
    </row>
    <row r="1632" spans="1:19" ht="60" customHeight="1" x14ac:dyDescent="0.25">
      <c r="A1632" s="1230" t="s">
        <v>307</v>
      </c>
      <c r="B1632" s="1231"/>
      <c r="C1632" s="1231"/>
      <c r="D1632" s="1231"/>
      <c r="E1632" s="1231"/>
      <c r="F1632" s="1231"/>
      <c r="G1632" s="1231"/>
      <c r="H1632" s="1231"/>
      <c r="I1632" s="1231"/>
      <c r="J1632" s="1231"/>
      <c r="K1632" s="1231"/>
      <c r="L1632" s="1232"/>
      <c r="M1632" s="54"/>
      <c r="N1632" s="54"/>
      <c r="O1632" s="64"/>
      <c r="P1632" s="334"/>
      <c r="Q1632" s="335"/>
      <c r="R1632" s="336"/>
      <c r="S1632" s="337"/>
    </row>
    <row r="1633" spans="1:19" ht="30" customHeight="1" x14ac:dyDescent="0.25">
      <c r="A1633" s="1330" t="s">
        <v>308</v>
      </c>
      <c r="B1633" s="1331"/>
      <c r="C1633" s="1332"/>
      <c r="D1633" s="1230" t="s">
        <v>1149</v>
      </c>
      <c r="E1633" s="1231"/>
      <c r="F1633" s="1231"/>
      <c r="G1633" s="1231"/>
      <c r="H1633" s="1231"/>
      <c r="I1633" s="1231"/>
      <c r="J1633" s="1231"/>
      <c r="K1633" s="1231"/>
      <c r="L1633" s="1232"/>
      <c r="M1633" s="54"/>
      <c r="N1633" s="54"/>
      <c r="O1633" s="336"/>
      <c r="P1633" s="334"/>
      <c r="Q1633" s="335"/>
      <c r="R1633" s="336"/>
      <c r="S1633" s="337"/>
    </row>
    <row r="1634" spans="1:19" ht="30" customHeight="1" x14ac:dyDescent="0.25">
      <c r="A1634" s="1330" t="s">
        <v>310</v>
      </c>
      <c r="B1634" s="1331"/>
      <c r="C1634" s="1332"/>
      <c r="D1634" s="1230" t="s">
        <v>1150</v>
      </c>
      <c r="E1634" s="1231"/>
      <c r="F1634" s="1231"/>
      <c r="G1634" s="1231"/>
      <c r="H1634" s="1231"/>
      <c r="I1634" s="1231"/>
      <c r="J1634" s="1231"/>
      <c r="K1634" s="1231"/>
      <c r="L1634" s="1232"/>
      <c r="M1634" s="54"/>
      <c r="N1634" s="54"/>
      <c r="O1634" s="336"/>
      <c r="P1634" s="334"/>
      <c r="Q1634" s="335"/>
      <c r="R1634" s="336"/>
      <c r="S1634" s="337"/>
    </row>
    <row r="1635" spans="1:19" ht="30" customHeight="1" x14ac:dyDescent="0.25">
      <c r="A1635" s="1330" t="s">
        <v>312</v>
      </c>
      <c r="B1635" s="1331"/>
      <c r="C1635" s="1332"/>
      <c r="D1635" s="1230" t="s">
        <v>1151</v>
      </c>
      <c r="E1635" s="1231"/>
      <c r="F1635" s="1231"/>
      <c r="G1635" s="1231"/>
      <c r="H1635" s="1231"/>
      <c r="I1635" s="1231"/>
      <c r="J1635" s="1231"/>
      <c r="K1635" s="1231"/>
      <c r="L1635" s="1232"/>
      <c r="M1635" s="54"/>
      <c r="N1635" s="54"/>
      <c r="P1635" s="335"/>
      <c r="Q1635" s="336"/>
      <c r="R1635" s="337"/>
    </row>
    <row r="1636" spans="1:19" ht="30" customHeight="1" x14ac:dyDescent="0.25">
      <c r="A1636" s="1330" t="s">
        <v>314</v>
      </c>
      <c r="B1636" s="1331"/>
      <c r="C1636" s="1332"/>
      <c r="D1636" s="1230" t="s">
        <v>1152</v>
      </c>
      <c r="E1636" s="1231"/>
      <c r="F1636" s="1231"/>
      <c r="G1636" s="1231"/>
      <c r="H1636" s="1231"/>
      <c r="I1636" s="1231"/>
      <c r="J1636" s="1231"/>
      <c r="K1636" s="1231"/>
      <c r="L1636" s="1232"/>
      <c r="M1636" s="54"/>
      <c r="N1636" s="54"/>
      <c r="O1636" s="554"/>
      <c r="P1636" s="335"/>
      <c r="Q1636" s="336"/>
      <c r="R1636" s="337"/>
    </row>
    <row r="1637" spans="1:19" ht="90" customHeight="1" x14ac:dyDescent="0.25">
      <c r="A1637" s="1330" t="s">
        <v>316</v>
      </c>
      <c r="B1637" s="1331"/>
      <c r="C1637" s="1332"/>
      <c r="D1637" s="1230" t="s">
        <v>1153</v>
      </c>
      <c r="E1637" s="1231"/>
      <c r="F1637" s="1231"/>
      <c r="G1637" s="1231"/>
      <c r="H1637" s="1231"/>
      <c r="I1637" s="1231"/>
      <c r="J1637" s="1231"/>
      <c r="K1637" s="1231"/>
      <c r="L1637" s="1232"/>
      <c r="M1637" s="54"/>
      <c r="N1637" s="54"/>
      <c r="P1637" s="335"/>
      <c r="Q1637" s="336"/>
      <c r="R1637" s="337"/>
    </row>
    <row r="1638" spans="1:19" ht="30" customHeight="1" x14ac:dyDescent="0.25">
      <c r="A1638" s="1330" t="s">
        <v>318</v>
      </c>
      <c r="B1638" s="1331"/>
      <c r="C1638" s="1332"/>
      <c r="D1638" s="1230" t="s">
        <v>1154</v>
      </c>
      <c r="E1638" s="1231"/>
      <c r="F1638" s="1231"/>
      <c r="G1638" s="1231"/>
      <c r="H1638" s="1231"/>
      <c r="I1638" s="1231"/>
      <c r="J1638" s="1231"/>
      <c r="K1638" s="1231"/>
      <c r="L1638" s="1232"/>
      <c r="M1638" s="54"/>
      <c r="N1638" s="54"/>
      <c r="P1638" s="335"/>
      <c r="Q1638" s="336"/>
      <c r="R1638" s="337"/>
    </row>
    <row r="1639" spans="1:19" ht="30" customHeight="1" x14ac:dyDescent="0.25">
      <c r="A1639" s="1330" t="s">
        <v>320</v>
      </c>
      <c r="B1639" s="1331"/>
      <c r="C1639" s="1332"/>
      <c r="D1639" s="1230" t="s">
        <v>1048</v>
      </c>
      <c r="E1639" s="1231"/>
      <c r="F1639" s="1231"/>
      <c r="G1639" s="1231"/>
      <c r="H1639" s="1231"/>
      <c r="I1639" s="1231"/>
      <c r="J1639" s="1231"/>
      <c r="K1639" s="1231"/>
      <c r="L1639" s="1232"/>
      <c r="M1639" s="54"/>
      <c r="N1639" s="54"/>
      <c r="P1639" s="335"/>
      <c r="Q1639" s="336"/>
      <c r="R1639" s="337"/>
    </row>
    <row r="1640" spans="1:19" ht="75" customHeight="1" x14ac:dyDescent="0.25">
      <c r="A1640" s="1330" t="s">
        <v>559</v>
      </c>
      <c r="B1640" s="1331"/>
      <c r="C1640" s="1332"/>
      <c r="D1640" s="1206" t="s">
        <v>1121</v>
      </c>
      <c r="E1640" s="1207"/>
      <c r="F1640" s="1207"/>
      <c r="G1640" s="1207"/>
      <c r="H1640" s="1207"/>
      <c r="I1640" s="1207"/>
      <c r="J1640" s="1207"/>
      <c r="K1640" s="1207"/>
      <c r="L1640" s="1208"/>
      <c r="M1640" s="54"/>
      <c r="N1640" s="54"/>
      <c r="P1640" s="335"/>
      <c r="Q1640" s="336"/>
      <c r="R1640" s="337"/>
    </row>
    <row r="1641" spans="1:19" ht="60" customHeight="1" thickBot="1" x14ac:dyDescent="0.3">
      <c r="A1641" s="1333" t="s">
        <v>350</v>
      </c>
      <c r="B1641" s="1334"/>
      <c r="C1641" s="1335"/>
      <c r="D1641" s="1291" t="s">
        <v>1155</v>
      </c>
      <c r="E1641" s="1292"/>
      <c r="F1641" s="1292"/>
      <c r="G1641" s="1292"/>
      <c r="H1641" s="1292"/>
      <c r="I1641" s="1292"/>
      <c r="J1641" s="1292"/>
      <c r="K1641" s="1292"/>
      <c r="L1641" s="1293"/>
      <c r="M1641" s="54"/>
      <c r="N1641" s="54"/>
      <c r="P1641" s="335"/>
      <c r="Q1641" s="336"/>
      <c r="R1641" s="337"/>
    </row>
    <row r="1642" spans="1:19" ht="30" customHeight="1" thickBot="1" x14ac:dyDescent="0.3">
      <c r="A1642" s="1180"/>
      <c r="B1642" s="1181"/>
      <c r="C1642" s="1181"/>
      <c r="D1642" s="1181"/>
      <c r="E1642" s="1181"/>
      <c r="F1642" s="1181"/>
      <c r="G1642" s="1181"/>
      <c r="H1642" s="1181"/>
      <c r="I1642" s="1181"/>
      <c r="J1642" s="1181"/>
      <c r="K1642" s="1181"/>
      <c r="L1642" s="1182"/>
      <c r="M1642" s="54"/>
      <c r="N1642" s="54"/>
      <c r="P1642" s="335"/>
      <c r="Q1642" s="336"/>
      <c r="R1642" s="337"/>
    </row>
    <row r="1643" spans="1:19" ht="30" customHeight="1" x14ac:dyDescent="0.25">
      <c r="A1643" s="349" t="s">
        <v>5</v>
      </c>
      <c r="B1643" s="350">
        <v>2123</v>
      </c>
      <c r="C1643" s="1545" t="s">
        <v>1156</v>
      </c>
      <c r="D1643" s="1545"/>
      <c r="E1643" s="351" t="s">
        <v>8</v>
      </c>
      <c r="F1643" s="352" t="s">
        <v>205</v>
      </c>
      <c r="G1643" s="353" t="s">
        <v>74</v>
      </c>
      <c r="H1643" s="813">
        <v>11147</v>
      </c>
      <c r="I1643" s="351" t="s">
        <v>10</v>
      </c>
      <c r="J1643" s="1220" t="s">
        <v>3401</v>
      </c>
      <c r="K1643" s="1220"/>
      <c r="L1643" s="1221"/>
      <c r="M1643" s="54"/>
      <c r="N1643" s="54"/>
      <c r="P1643" s="335"/>
      <c r="Q1643" s="336"/>
      <c r="R1643" s="337"/>
    </row>
    <row r="1644" spans="1:19" ht="30" customHeight="1" x14ac:dyDescent="0.25">
      <c r="A1644" s="359" t="s">
        <v>295</v>
      </c>
      <c r="B1644" s="1222" t="s">
        <v>326</v>
      </c>
      <c r="C1644" s="1235"/>
      <c r="D1644" s="1223"/>
      <c r="E1644" s="577" t="s">
        <v>116</v>
      </c>
      <c r="F1644" s="577" t="s">
        <v>117</v>
      </c>
      <c r="G1644" s="1236" t="s">
        <v>118</v>
      </c>
      <c r="H1644" s="1237"/>
      <c r="I1644" s="812" t="s">
        <v>1134</v>
      </c>
      <c r="J1644" s="356" t="s">
        <v>296</v>
      </c>
      <c r="K1644" s="1236" t="s">
        <v>285</v>
      </c>
      <c r="L1644" s="1237"/>
      <c r="M1644" s="54"/>
      <c r="N1644" s="54"/>
      <c r="P1644" s="335"/>
      <c r="Q1644" s="336"/>
      <c r="R1644" s="337"/>
    </row>
    <row r="1645" spans="1:19" ht="45" customHeight="1" x14ac:dyDescent="0.25">
      <c r="A1645" s="365" t="s">
        <v>1135</v>
      </c>
      <c r="B1645" s="1209" t="s">
        <v>1136</v>
      </c>
      <c r="C1645" s="1210"/>
      <c r="D1645" s="1211"/>
      <c r="E1645" s="247">
        <f>164-2.51</f>
        <v>161.49</v>
      </c>
      <c r="F1645" s="365" t="s">
        <v>205</v>
      </c>
      <c r="G1645" s="689"/>
      <c r="H1645" s="690"/>
      <c r="I1645" s="65">
        <f>+E1645</f>
        <v>161.49</v>
      </c>
      <c r="J1645" s="365">
        <v>1.01</v>
      </c>
      <c r="K1645" s="7">
        <f>+E1645*J1645</f>
        <v>163.10490000000001</v>
      </c>
      <c r="L1645" s="365" t="s">
        <v>205</v>
      </c>
      <c r="M1645" s="54"/>
      <c r="N1645" s="54"/>
      <c r="P1645" s="335"/>
      <c r="Q1645" s="336"/>
      <c r="R1645" s="337"/>
    </row>
    <row r="1646" spans="1:19" ht="30" customHeight="1" x14ac:dyDescent="0.25">
      <c r="A1646" s="365" t="s">
        <v>406</v>
      </c>
      <c r="B1646" s="1209" t="s">
        <v>413</v>
      </c>
      <c r="C1646" s="1210"/>
      <c r="D1646" s="1211"/>
      <c r="E1646" s="11">
        <v>4.38</v>
      </c>
      <c r="F1646" s="365" t="s">
        <v>205</v>
      </c>
      <c r="G1646" s="452"/>
      <c r="H1646" s="589"/>
      <c r="I1646" s="170">
        <f>+E1646</f>
        <v>4.38</v>
      </c>
      <c r="J1646" s="365">
        <v>1.01</v>
      </c>
      <c r="K1646" s="7">
        <f>+E1646*J1646</f>
        <v>4.4238</v>
      </c>
      <c r="L1646" s="365" t="s">
        <v>205</v>
      </c>
      <c r="M1646" s="54"/>
      <c r="O1646" s="336"/>
      <c r="P1646" s="334"/>
      <c r="Q1646" s="335"/>
      <c r="R1646" s="336"/>
      <c r="S1646" s="337"/>
    </row>
    <row r="1647" spans="1:19" ht="30" customHeight="1" x14ac:dyDescent="0.25">
      <c r="A1647" s="365" t="s">
        <v>406</v>
      </c>
      <c r="B1647" s="1209" t="s">
        <v>1137</v>
      </c>
      <c r="C1647" s="1210"/>
      <c r="D1647" s="1211"/>
      <c r="E1647" s="246">
        <f>0.15*E1646</f>
        <v>0.65699999999999992</v>
      </c>
      <c r="F1647" s="661" t="s">
        <v>205</v>
      </c>
      <c r="G1647" s="452"/>
      <c r="H1647" s="589"/>
      <c r="I1647" s="170">
        <f>+E1647</f>
        <v>0.65699999999999992</v>
      </c>
      <c r="J1647" s="365">
        <v>1.01</v>
      </c>
      <c r="K1647" s="7">
        <f>+I1647*J1647</f>
        <v>0.66356999999999988</v>
      </c>
      <c r="L1647" s="365" t="s">
        <v>205</v>
      </c>
      <c r="M1647" s="54"/>
      <c r="N1647" s="54"/>
      <c r="P1647" s="335"/>
      <c r="Q1647" s="336"/>
      <c r="R1647" s="337"/>
    </row>
    <row r="1648" spans="1:19" ht="30" customHeight="1" x14ac:dyDescent="0.25">
      <c r="A1648" s="365" t="s">
        <v>406</v>
      </c>
      <c r="B1648" s="1209" t="s">
        <v>1138</v>
      </c>
      <c r="C1648" s="1210"/>
      <c r="D1648" s="1211"/>
      <c r="E1648" s="246">
        <f xml:space="preserve"> 0.58+((1.15+1.71)/2)</f>
        <v>2.0099999999999998</v>
      </c>
      <c r="F1648" s="661" t="s">
        <v>205</v>
      </c>
      <c r="G1648" s="452"/>
      <c r="H1648" s="589"/>
      <c r="I1648" s="170">
        <f>+E1648</f>
        <v>2.0099999999999998</v>
      </c>
      <c r="J1648" s="365">
        <v>1.01</v>
      </c>
      <c r="K1648" s="7">
        <f>+I1648*J1648</f>
        <v>2.0301</v>
      </c>
      <c r="L1648" s="365" t="s">
        <v>205</v>
      </c>
      <c r="M1648" s="54"/>
      <c r="N1648" s="54"/>
      <c r="P1648" s="335"/>
      <c r="Q1648" s="336"/>
      <c r="R1648" s="337"/>
    </row>
    <row r="1649" spans="1:19" ht="30" customHeight="1" x14ac:dyDescent="0.25">
      <c r="A1649" s="365" t="s">
        <v>520</v>
      </c>
      <c r="B1649" s="1209" t="s">
        <v>1139</v>
      </c>
      <c r="C1649" s="1210"/>
      <c r="D1649" s="1211"/>
      <c r="E1649" s="247">
        <f>E1619</f>
        <v>177000</v>
      </c>
      <c r="F1649" s="661" t="s">
        <v>76</v>
      </c>
      <c r="G1649" s="452"/>
      <c r="H1649" s="589" t="s">
        <v>1140</v>
      </c>
      <c r="I1649" s="170">
        <f>+E1649/H1643</f>
        <v>15.878711761011932</v>
      </c>
      <c r="J1649" s="365">
        <v>1.02</v>
      </c>
      <c r="K1649" s="247">
        <f>+I1649*J1649</f>
        <v>16.19628599623217</v>
      </c>
      <c r="L1649" s="365" t="s">
        <v>205</v>
      </c>
      <c r="M1649" s="54"/>
      <c r="N1649" s="54"/>
      <c r="P1649" s="335"/>
      <c r="Q1649" s="336"/>
      <c r="R1649" s="337"/>
    </row>
    <row r="1650" spans="1:19" ht="30" customHeight="1" x14ac:dyDescent="0.25">
      <c r="A1650" s="365" t="s">
        <v>426</v>
      </c>
      <c r="B1650" s="1228" t="s">
        <v>1141</v>
      </c>
      <c r="C1650" s="1325"/>
      <c r="D1650" s="1325"/>
      <c r="E1650" s="246">
        <f>E1620</f>
        <v>25.9</v>
      </c>
      <c r="F1650" s="661" t="s">
        <v>1157</v>
      </c>
      <c r="G1650" s="452">
        <f>2*81</f>
        <v>162</v>
      </c>
      <c r="H1650" s="589" t="s">
        <v>205</v>
      </c>
      <c r="I1650" s="170">
        <f>+E1650*G1650/H1643</f>
        <v>0.37640620794832691</v>
      </c>
      <c r="J1650" s="365">
        <v>1.03</v>
      </c>
      <c r="K1650" s="247">
        <f t="shared" ref="K1650:K1655" si="37">+I1650*J1650</f>
        <v>0.38769839418677671</v>
      </c>
      <c r="L1650" s="365" t="s">
        <v>205</v>
      </c>
      <c r="M1650" s="54"/>
      <c r="N1650" s="54"/>
      <c r="O1650" s="336"/>
      <c r="P1650" s="334"/>
      <c r="Q1650" s="335"/>
      <c r="R1650" s="336"/>
      <c r="S1650" s="337"/>
    </row>
    <row r="1651" spans="1:19" ht="30" customHeight="1" x14ac:dyDescent="0.25">
      <c r="A1651" s="365" t="s">
        <v>426</v>
      </c>
      <c r="B1651" s="1326" t="s">
        <v>1144</v>
      </c>
      <c r="C1651" s="1327"/>
      <c r="D1651" s="1328"/>
      <c r="E1651" s="266">
        <f>E1621</f>
        <v>2065</v>
      </c>
      <c r="F1651" s="661" t="s">
        <v>76</v>
      </c>
      <c r="G1651" s="452">
        <v>2</v>
      </c>
      <c r="H1651" s="589" t="s">
        <v>76</v>
      </c>
      <c r="I1651" s="170">
        <f>+E1651*G1651/H1643</f>
        <v>0.37050327442361175</v>
      </c>
      <c r="J1651" s="365">
        <v>1.03</v>
      </c>
      <c r="K1651" s="247">
        <f t="shared" si="37"/>
        <v>0.38161837265632009</v>
      </c>
      <c r="L1651" s="365" t="s">
        <v>205</v>
      </c>
      <c r="M1651" s="54"/>
      <c r="N1651" s="54"/>
      <c r="O1651" s="336"/>
      <c r="P1651" s="334"/>
      <c r="Q1651" s="335"/>
      <c r="R1651" s="336"/>
      <c r="S1651" s="337"/>
    </row>
    <row r="1652" spans="1:19" ht="30" customHeight="1" x14ac:dyDescent="0.25">
      <c r="A1652" s="365" t="s">
        <v>430</v>
      </c>
      <c r="B1652" s="1209" t="s">
        <v>1158</v>
      </c>
      <c r="C1652" s="1210"/>
      <c r="D1652" s="1211"/>
      <c r="E1652" s="247">
        <f>+(34.5+82)/2</f>
        <v>58.25</v>
      </c>
      <c r="F1652" s="661" t="s">
        <v>40</v>
      </c>
      <c r="G1652" s="452">
        <f>2*10</f>
        <v>20</v>
      </c>
      <c r="H1652" s="589" t="s">
        <v>1159</v>
      </c>
      <c r="I1652" s="170">
        <f>+E1652*G1652/H1643</f>
        <v>0.10451242486767741</v>
      </c>
      <c r="J1652" s="365">
        <v>1.03</v>
      </c>
      <c r="K1652" s="247">
        <f t="shared" si="37"/>
        <v>0.10764779761370773</v>
      </c>
      <c r="L1652" s="365" t="s">
        <v>205</v>
      </c>
      <c r="M1652" s="54"/>
      <c r="N1652" s="54"/>
      <c r="P1652" s="335"/>
      <c r="Q1652" s="336"/>
      <c r="R1652" s="337"/>
    </row>
    <row r="1653" spans="1:19" ht="30" customHeight="1" x14ac:dyDescent="0.25">
      <c r="A1653" s="365" t="s">
        <v>430</v>
      </c>
      <c r="B1653" s="1209" t="s">
        <v>1160</v>
      </c>
      <c r="C1653" s="1210"/>
      <c r="D1653" s="1211"/>
      <c r="E1653" s="247">
        <f>+(6450+12300)/2</f>
        <v>9375</v>
      </c>
      <c r="F1653" s="661" t="s">
        <v>76</v>
      </c>
      <c r="G1653" s="452">
        <v>2</v>
      </c>
      <c r="H1653" s="589" t="s">
        <v>1140</v>
      </c>
      <c r="I1653" s="170">
        <f>+E1653*G1653/H1643</f>
        <v>1.6820669238360098</v>
      </c>
      <c r="J1653" s="365">
        <v>1.03</v>
      </c>
      <c r="K1653" s="247">
        <f t="shared" si="37"/>
        <v>1.7325289315510901</v>
      </c>
      <c r="L1653" s="365" t="s">
        <v>205</v>
      </c>
      <c r="M1653" s="54"/>
      <c r="N1653" s="54"/>
      <c r="P1653" s="334"/>
    </row>
    <row r="1654" spans="1:19" ht="30" customHeight="1" x14ac:dyDescent="0.25">
      <c r="A1654" s="365" t="s">
        <v>430</v>
      </c>
      <c r="B1654" s="1209" t="s">
        <v>1161</v>
      </c>
      <c r="C1654" s="1210"/>
      <c r="D1654" s="1211"/>
      <c r="E1654" s="11">
        <f>+(660+1010)/2</f>
        <v>835</v>
      </c>
      <c r="F1654" s="661" t="s">
        <v>76</v>
      </c>
      <c r="G1654" s="452">
        <v>2</v>
      </c>
      <c r="H1654" s="589" t="s">
        <v>1140</v>
      </c>
      <c r="I1654" s="170">
        <f>+E1654*G1654/H1643</f>
        <v>0.14981609401632726</v>
      </c>
      <c r="J1654" s="365">
        <v>1.05</v>
      </c>
      <c r="K1654" s="247">
        <f t="shared" si="37"/>
        <v>0.15730689871714362</v>
      </c>
      <c r="L1654" s="365" t="s">
        <v>205</v>
      </c>
      <c r="M1654" s="54"/>
      <c r="N1654" s="54"/>
      <c r="P1654" s="334"/>
    </row>
    <row r="1655" spans="1:19" ht="30" customHeight="1" x14ac:dyDescent="0.25">
      <c r="A1655" s="365" t="s">
        <v>430</v>
      </c>
      <c r="B1655" s="1209" t="s">
        <v>1162</v>
      </c>
      <c r="C1655" s="1210"/>
      <c r="D1655" s="1211"/>
      <c r="E1655" s="247">
        <f>+(1160+3475)/2</f>
        <v>2317.5</v>
      </c>
      <c r="F1655" s="661" t="s">
        <v>76</v>
      </c>
      <c r="G1655" s="452">
        <v>2</v>
      </c>
      <c r="H1655" s="589" t="s">
        <v>1140</v>
      </c>
      <c r="I1655" s="170">
        <f>+E1655*G1655/H1643</f>
        <v>0.41580694357226161</v>
      </c>
      <c r="J1655" s="365">
        <v>1.05</v>
      </c>
      <c r="K1655" s="247">
        <f t="shared" si="37"/>
        <v>0.43659729075087472</v>
      </c>
      <c r="L1655" s="365" t="s">
        <v>205</v>
      </c>
      <c r="M1655" s="54"/>
      <c r="N1655" s="54"/>
      <c r="P1655" s="334"/>
    </row>
    <row r="1656" spans="1:19" ht="30" customHeight="1" x14ac:dyDescent="0.25">
      <c r="A1656" s="365"/>
      <c r="B1656" s="1281"/>
      <c r="C1656" s="1281"/>
      <c r="D1656" s="1281"/>
      <c r="E1656" s="247"/>
      <c r="F1656" s="366"/>
      <c r="G1656" s="662"/>
      <c r="H1656" s="662"/>
      <c r="I1656" s="365"/>
      <c r="J1656" s="365" t="s">
        <v>408</v>
      </c>
      <c r="K1656" s="247">
        <f>SUM(K1645:K1655)</f>
        <v>189.62205368170811</v>
      </c>
      <c r="L1656" s="365" t="s">
        <v>205</v>
      </c>
      <c r="M1656" s="54"/>
      <c r="N1656" s="54"/>
      <c r="P1656" s="334"/>
    </row>
    <row r="1657" spans="1:19" ht="30" customHeight="1" x14ac:dyDescent="0.25">
      <c r="A1657" s="365"/>
      <c r="B1657" s="578"/>
      <c r="C1657" s="578"/>
      <c r="D1657" s="578"/>
      <c r="E1657" s="578"/>
      <c r="F1657" s="1272" t="s">
        <v>303</v>
      </c>
      <c r="G1657" s="1283" t="s">
        <v>304</v>
      </c>
      <c r="H1657" s="1283"/>
      <c r="I1657" s="1283"/>
      <c r="J1657" s="1283"/>
      <c r="K1657" s="250">
        <v>1.08</v>
      </c>
      <c r="L1657" s="365"/>
      <c r="M1657" s="54"/>
      <c r="N1657" s="54"/>
      <c r="P1657" s="334"/>
    </row>
    <row r="1658" spans="1:19" ht="30" customHeight="1" x14ac:dyDescent="0.25">
      <c r="A1658" s="365"/>
      <c r="B1658" s="578"/>
      <c r="C1658" s="578"/>
      <c r="D1658" s="578"/>
      <c r="E1658" s="578"/>
      <c r="F1658" s="1273"/>
      <c r="G1658" s="1284" t="s">
        <v>438</v>
      </c>
      <c r="H1658" s="1284"/>
      <c r="I1658" s="1284"/>
      <c r="J1658" s="1284"/>
      <c r="K1658" s="250">
        <v>1.08</v>
      </c>
      <c r="L1658" s="365"/>
      <c r="M1658" s="54"/>
      <c r="N1658" s="54"/>
      <c r="P1658" s="334"/>
    </row>
    <row r="1659" spans="1:19" ht="30" customHeight="1" x14ac:dyDescent="0.25">
      <c r="A1659" s="365"/>
      <c r="B1659" s="365"/>
      <c r="C1659" s="366"/>
      <c r="D1659" s="366"/>
      <c r="E1659" s="366"/>
      <c r="F1659" s="366"/>
      <c r="G1659" s="366"/>
      <c r="H1659" s="366"/>
      <c r="I1659" s="366"/>
      <c r="J1659" s="365" t="s">
        <v>72</v>
      </c>
      <c r="K1659" s="246">
        <f>+K1656*K1657/K1658</f>
        <v>189.62205368170811</v>
      </c>
      <c r="L1659" s="365" t="s">
        <v>205</v>
      </c>
      <c r="M1659" s="54"/>
      <c r="N1659" s="54"/>
      <c r="P1659" s="334"/>
    </row>
    <row r="1660" spans="1:19" ht="30" customHeight="1" x14ac:dyDescent="0.25">
      <c r="A1660" s="365"/>
      <c r="B1660" s="365"/>
      <c r="C1660" s="366"/>
      <c r="D1660" s="366"/>
      <c r="E1660" s="366"/>
      <c r="F1660" s="814" t="s">
        <v>414</v>
      </c>
      <c r="G1660" s="815"/>
      <c r="H1660" s="815"/>
      <c r="I1660" s="816"/>
      <c r="J1660" s="521">
        <f>VLOOKUP(B1643,'Mil Cost Premiums for PUCs'!$A$4:$R$277,18,FALSE)</f>
        <v>1.1932356231980656</v>
      </c>
      <c r="K1660" s="246">
        <f>+K1659*J1660</f>
        <v>226.26378939699003</v>
      </c>
      <c r="L1660" s="365" t="s">
        <v>205</v>
      </c>
      <c r="M1660" s="54"/>
      <c r="N1660" s="54"/>
      <c r="P1660" s="334"/>
    </row>
    <row r="1661" spans="1:19" ht="30" customHeight="1" x14ac:dyDescent="0.25">
      <c r="A1661" s="365"/>
      <c r="B1661" s="365"/>
      <c r="C1661" s="366"/>
      <c r="D1661" s="366"/>
      <c r="E1661" s="366"/>
      <c r="F1661" s="1212" t="s">
        <v>1148</v>
      </c>
      <c r="G1661" s="1213"/>
      <c r="H1661" s="1213"/>
      <c r="I1661" s="1213"/>
      <c r="J1661" s="521">
        <v>1.0833999999999999</v>
      </c>
      <c r="K1661" s="544">
        <f>K1660*J1661</f>
        <v>245.13418943269897</v>
      </c>
      <c r="L1661" s="365" t="s">
        <v>205</v>
      </c>
      <c r="N1661" s="54"/>
      <c r="P1661" s="334"/>
    </row>
    <row r="1662" spans="1:19" ht="60" customHeight="1" x14ac:dyDescent="0.25">
      <c r="A1662" s="1230" t="s">
        <v>307</v>
      </c>
      <c r="B1662" s="1231"/>
      <c r="C1662" s="1231"/>
      <c r="D1662" s="1231"/>
      <c r="E1662" s="1231"/>
      <c r="F1662" s="1231"/>
      <c r="G1662" s="1231"/>
      <c r="H1662" s="1231"/>
      <c r="I1662" s="1231"/>
      <c r="J1662" s="1231"/>
      <c r="K1662" s="1231"/>
      <c r="L1662" s="1232"/>
      <c r="M1662" s="54"/>
      <c r="N1662" s="54"/>
      <c r="P1662" s="334"/>
    </row>
    <row r="1663" spans="1:19" ht="30" customHeight="1" x14ac:dyDescent="0.25">
      <c r="A1663" s="1330" t="s">
        <v>308</v>
      </c>
      <c r="B1663" s="1331"/>
      <c r="C1663" s="1332"/>
      <c r="D1663" s="1230" t="s">
        <v>1163</v>
      </c>
      <c r="E1663" s="1231"/>
      <c r="F1663" s="1231"/>
      <c r="G1663" s="1231"/>
      <c r="H1663" s="1231"/>
      <c r="I1663" s="1231"/>
      <c r="J1663" s="1231"/>
      <c r="K1663" s="1231"/>
      <c r="L1663" s="1232"/>
      <c r="M1663" s="54"/>
      <c r="N1663" s="54"/>
      <c r="P1663" s="334"/>
    </row>
    <row r="1664" spans="1:19" ht="30" customHeight="1" x14ac:dyDescent="0.25">
      <c r="A1664" s="1330" t="s">
        <v>310</v>
      </c>
      <c r="B1664" s="1331"/>
      <c r="C1664" s="1332"/>
      <c r="D1664" s="1230" t="s">
        <v>1164</v>
      </c>
      <c r="E1664" s="1231"/>
      <c r="F1664" s="1231"/>
      <c r="G1664" s="1231"/>
      <c r="H1664" s="1231"/>
      <c r="I1664" s="1231"/>
      <c r="J1664" s="1231"/>
      <c r="K1664" s="1231"/>
      <c r="L1664" s="1232"/>
      <c r="M1664" s="54"/>
      <c r="N1664" s="54"/>
      <c r="P1664" s="334"/>
    </row>
    <row r="1665" spans="1:19" ht="30" customHeight="1" x14ac:dyDescent="0.25">
      <c r="A1665" s="1330" t="s">
        <v>312</v>
      </c>
      <c r="B1665" s="1331"/>
      <c r="C1665" s="1332"/>
      <c r="D1665" s="1230" t="s">
        <v>1165</v>
      </c>
      <c r="E1665" s="1231"/>
      <c r="F1665" s="1231"/>
      <c r="G1665" s="1231"/>
      <c r="H1665" s="1231"/>
      <c r="I1665" s="1231"/>
      <c r="J1665" s="1231"/>
      <c r="K1665" s="1231"/>
      <c r="L1665" s="1232"/>
      <c r="M1665" s="54"/>
      <c r="N1665" s="54"/>
      <c r="P1665" s="334"/>
    </row>
    <row r="1666" spans="1:19" ht="30" customHeight="1" x14ac:dyDescent="0.25">
      <c r="A1666" s="1330" t="s">
        <v>314</v>
      </c>
      <c r="B1666" s="1331"/>
      <c r="C1666" s="1332"/>
      <c r="D1666" s="1230" t="s">
        <v>1166</v>
      </c>
      <c r="E1666" s="1231"/>
      <c r="F1666" s="1231"/>
      <c r="G1666" s="1231"/>
      <c r="H1666" s="1231"/>
      <c r="I1666" s="1231"/>
      <c r="J1666" s="1231"/>
      <c r="K1666" s="1231"/>
      <c r="L1666" s="1232"/>
      <c r="M1666" s="54"/>
      <c r="N1666" s="54"/>
      <c r="P1666" s="334"/>
    </row>
    <row r="1667" spans="1:19" ht="90" customHeight="1" x14ac:dyDescent="0.25">
      <c r="A1667" s="1330" t="s">
        <v>316</v>
      </c>
      <c r="B1667" s="1331"/>
      <c r="C1667" s="1332"/>
      <c r="D1667" s="1230" t="s">
        <v>1167</v>
      </c>
      <c r="E1667" s="1231"/>
      <c r="F1667" s="1231"/>
      <c r="G1667" s="1231"/>
      <c r="H1667" s="1231"/>
      <c r="I1667" s="1231"/>
      <c r="J1667" s="1231"/>
      <c r="K1667" s="1231"/>
      <c r="L1667" s="1232"/>
      <c r="M1667" s="54"/>
      <c r="N1667" s="54"/>
      <c r="P1667" s="334"/>
    </row>
    <row r="1668" spans="1:19" ht="30" customHeight="1" x14ac:dyDescent="0.25">
      <c r="A1668" s="1330" t="s">
        <v>318</v>
      </c>
      <c r="B1668" s="1331"/>
      <c r="C1668" s="1332"/>
      <c r="D1668" s="1230" t="s">
        <v>1154</v>
      </c>
      <c r="E1668" s="1231"/>
      <c r="F1668" s="1231"/>
      <c r="G1668" s="1231"/>
      <c r="H1668" s="1231"/>
      <c r="I1668" s="1231"/>
      <c r="J1668" s="1231"/>
      <c r="K1668" s="1231"/>
      <c r="L1668" s="1232"/>
      <c r="M1668" s="54"/>
      <c r="N1668" s="54"/>
      <c r="P1668" s="334"/>
    </row>
    <row r="1669" spans="1:19" ht="30" customHeight="1" x14ac:dyDescent="0.25">
      <c r="A1669" s="1330" t="s">
        <v>320</v>
      </c>
      <c r="B1669" s="1331"/>
      <c r="C1669" s="1332"/>
      <c r="D1669" s="1230" t="s">
        <v>1048</v>
      </c>
      <c r="E1669" s="1231"/>
      <c r="F1669" s="1231"/>
      <c r="G1669" s="1231"/>
      <c r="H1669" s="1231"/>
      <c r="I1669" s="1231"/>
      <c r="J1669" s="1231"/>
      <c r="K1669" s="1231"/>
      <c r="L1669" s="1232"/>
      <c r="M1669" s="54"/>
      <c r="O1669" s="336"/>
      <c r="P1669" s="334"/>
      <c r="Q1669" s="335"/>
      <c r="R1669" s="336"/>
      <c r="S1669" s="337"/>
    </row>
    <row r="1670" spans="1:19" ht="75" customHeight="1" x14ac:dyDescent="0.25">
      <c r="A1670" s="1330" t="s">
        <v>559</v>
      </c>
      <c r="B1670" s="1331"/>
      <c r="C1670" s="1332"/>
      <c r="D1670" s="1206" t="s">
        <v>1121</v>
      </c>
      <c r="E1670" s="1207"/>
      <c r="F1670" s="1207"/>
      <c r="G1670" s="1207"/>
      <c r="H1670" s="1207"/>
      <c r="I1670" s="1207"/>
      <c r="J1670" s="1207"/>
      <c r="K1670" s="1207"/>
      <c r="L1670" s="1208"/>
      <c r="M1670" s="54"/>
      <c r="N1670" s="54"/>
      <c r="O1670" s="336"/>
      <c r="P1670" s="334"/>
      <c r="Q1670" s="335"/>
      <c r="R1670" s="336"/>
      <c r="S1670" s="337"/>
    </row>
    <row r="1671" spans="1:19" ht="60" customHeight="1" thickBot="1" x14ac:dyDescent="0.3">
      <c r="A1671" s="1256" t="s">
        <v>350</v>
      </c>
      <c r="B1671" s="1257"/>
      <c r="C1671" s="1258"/>
      <c r="D1671" s="1291" t="s">
        <v>1155</v>
      </c>
      <c r="E1671" s="1292"/>
      <c r="F1671" s="1292"/>
      <c r="G1671" s="1292"/>
      <c r="H1671" s="1292"/>
      <c r="I1671" s="1292"/>
      <c r="J1671" s="1292"/>
      <c r="K1671" s="1292"/>
      <c r="L1671" s="1293"/>
      <c r="M1671" s="54"/>
      <c r="N1671" s="54"/>
      <c r="O1671" s="336"/>
      <c r="P1671" s="334"/>
      <c r="Q1671" s="335"/>
      <c r="R1671" s="336"/>
      <c r="S1671" s="337"/>
    </row>
    <row r="1672" spans="1:19" ht="30" customHeight="1" thickBot="1" x14ac:dyDescent="0.3">
      <c r="A1672" s="1180"/>
      <c r="B1672" s="1181"/>
      <c r="C1672" s="1181"/>
      <c r="D1672" s="1181"/>
      <c r="E1672" s="1181"/>
      <c r="F1672" s="1181"/>
      <c r="G1672" s="1181"/>
      <c r="H1672" s="1181"/>
      <c r="I1672" s="1181"/>
      <c r="J1672" s="1181"/>
      <c r="K1672" s="1181"/>
      <c r="L1672" s="1182"/>
      <c r="M1672" s="54"/>
      <c r="N1672" s="54"/>
      <c r="P1672" s="334"/>
    </row>
    <row r="1673" spans="1:19" ht="30" customHeight="1" x14ac:dyDescent="0.25">
      <c r="A1673" s="327" t="s">
        <v>5</v>
      </c>
      <c r="B1673" s="328">
        <v>2124</v>
      </c>
      <c r="C1673" s="1251" t="s">
        <v>1168</v>
      </c>
      <c r="D1673" s="1252"/>
      <c r="E1673" s="331" t="s">
        <v>8</v>
      </c>
      <c r="F1673" s="332" t="s">
        <v>76</v>
      </c>
      <c r="G1673" s="333" t="s">
        <v>1169</v>
      </c>
      <c r="H1673" s="653">
        <v>14400</v>
      </c>
      <c r="I1673" s="331" t="s">
        <v>10</v>
      </c>
      <c r="J1673" s="1220" t="s">
        <v>3388</v>
      </c>
      <c r="K1673" s="1220"/>
      <c r="L1673" s="1221"/>
      <c r="M1673" s="54"/>
      <c r="N1673" s="54"/>
      <c r="P1673" s="334"/>
    </row>
    <row r="1674" spans="1:19" ht="30" customHeight="1" x14ac:dyDescent="0.25">
      <c r="A1674" s="359" t="s">
        <v>295</v>
      </c>
      <c r="B1674" s="1222" t="s">
        <v>326</v>
      </c>
      <c r="C1674" s="1235"/>
      <c r="D1674" s="1223"/>
      <c r="E1674" s="577" t="s">
        <v>116</v>
      </c>
      <c r="F1674" s="577" t="s">
        <v>117</v>
      </c>
      <c r="G1674" s="1194" t="s">
        <v>118</v>
      </c>
      <c r="H1674" s="1195"/>
      <c r="I1674" s="356" t="s">
        <v>296</v>
      </c>
      <c r="J1674" s="356"/>
      <c r="K1674" s="1236" t="s">
        <v>285</v>
      </c>
      <c r="L1674" s="1237"/>
      <c r="M1674" s="54"/>
      <c r="N1674" s="54"/>
      <c r="P1674" s="334"/>
    </row>
    <row r="1675" spans="1:19" ht="30" customHeight="1" x14ac:dyDescent="0.25">
      <c r="A1675" s="365" t="s">
        <v>297</v>
      </c>
      <c r="B1675" s="1214" t="s">
        <v>1170</v>
      </c>
      <c r="C1675" s="1215"/>
      <c r="D1675" s="1216"/>
      <c r="E1675" s="247">
        <v>74000</v>
      </c>
      <c r="F1675" s="365" t="s">
        <v>76</v>
      </c>
      <c r="G1675" s="689"/>
      <c r="H1675" s="690"/>
      <c r="I1675" s="817">
        <v>1.02</v>
      </c>
      <c r="J1675" s="817"/>
      <c r="K1675" s="7">
        <f>+E1675*I1675</f>
        <v>75480</v>
      </c>
      <c r="L1675" s="396" t="s">
        <v>76</v>
      </c>
      <c r="M1675" s="54"/>
      <c r="N1675" s="54"/>
      <c r="P1675" s="334"/>
    </row>
    <row r="1676" spans="1:19" ht="30" customHeight="1" x14ac:dyDescent="0.25">
      <c r="A1676" s="365" t="s">
        <v>684</v>
      </c>
      <c r="B1676" s="1214" t="s">
        <v>1171</v>
      </c>
      <c r="C1676" s="1215"/>
      <c r="D1676" s="1216"/>
      <c r="E1676" s="7">
        <f>+((4.79+7.16)/2)+(8*(0.44+0.63)/2)+((0.5+2.53)/2)</f>
        <v>11.77</v>
      </c>
      <c r="F1676" s="396" t="s">
        <v>205</v>
      </c>
      <c r="G1676" s="741">
        <f>+H1673</f>
        <v>14400</v>
      </c>
      <c r="H1676" s="690" t="s">
        <v>329</v>
      </c>
      <c r="I1676" s="706">
        <v>1.02</v>
      </c>
      <c r="J1676" s="706"/>
      <c r="K1676" s="716">
        <f>+E1676*G1676*I1676</f>
        <v>172877.76</v>
      </c>
      <c r="L1676" s="396" t="s">
        <v>76</v>
      </c>
      <c r="M1676" s="54"/>
      <c r="N1676" s="54"/>
      <c r="P1676" s="334"/>
    </row>
    <row r="1677" spans="1:19" ht="30" customHeight="1" x14ac:dyDescent="0.25">
      <c r="A1677" s="365" t="s">
        <v>520</v>
      </c>
      <c r="B1677" s="1214" t="s">
        <v>1172</v>
      </c>
      <c r="C1677" s="1215"/>
      <c r="D1677" s="1216"/>
      <c r="E1677" s="247">
        <v>125</v>
      </c>
      <c r="F1677" s="365" t="s">
        <v>40</v>
      </c>
      <c r="G1677" s="818">
        <v>100</v>
      </c>
      <c r="H1677" s="690" t="s">
        <v>523</v>
      </c>
      <c r="I1677" s="365">
        <v>1.02</v>
      </c>
      <c r="J1677" s="706"/>
      <c r="K1677" s="7">
        <f>+E1677*G1677*I1677</f>
        <v>12750</v>
      </c>
      <c r="L1677" s="396" t="s">
        <v>76</v>
      </c>
      <c r="M1677" s="54"/>
      <c r="N1677" s="54"/>
      <c r="P1677" s="334"/>
    </row>
    <row r="1678" spans="1:19" ht="30" customHeight="1" x14ac:dyDescent="0.25">
      <c r="A1678" s="365" t="s">
        <v>520</v>
      </c>
      <c r="B1678" s="1214" t="s">
        <v>1173</v>
      </c>
      <c r="C1678" s="1215"/>
      <c r="D1678" s="1216"/>
      <c r="E1678" s="247">
        <v>3075</v>
      </c>
      <c r="F1678" s="365" t="s">
        <v>76</v>
      </c>
      <c r="G1678" s="689"/>
      <c r="H1678" s="690"/>
      <c r="I1678" s="365">
        <v>1.02</v>
      </c>
      <c r="J1678" s="706"/>
      <c r="K1678" s="7">
        <f>+E1678*I1678</f>
        <v>3136.5</v>
      </c>
      <c r="L1678" s="396" t="s">
        <v>76</v>
      </c>
      <c r="M1678" s="54"/>
      <c r="N1678" s="54"/>
      <c r="P1678" s="334"/>
    </row>
    <row r="1679" spans="1:19" ht="30" customHeight="1" x14ac:dyDescent="0.25">
      <c r="A1679" s="365"/>
      <c r="B1679" s="578"/>
      <c r="C1679" s="578"/>
      <c r="D1679" s="578"/>
      <c r="E1679" s="246"/>
      <c r="F1679" s="365"/>
      <c r="G1679" s="366"/>
      <c r="H1679" s="662"/>
      <c r="I1679" s="365"/>
      <c r="J1679" s="365" t="s">
        <v>343</v>
      </c>
      <c r="K1679" s="247">
        <f>SUM(K1675:K1678)</f>
        <v>264244.26</v>
      </c>
      <c r="L1679" s="365" t="s">
        <v>76</v>
      </c>
      <c r="M1679" s="54"/>
      <c r="N1679" s="111"/>
      <c r="P1679" s="334"/>
    </row>
    <row r="1680" spans="1:19" ht="30" customHeight="1" x14ac:dyDescent="0.25">
      <c r="A1680" s="365"/>
      <c r="B1680" s="578"/>
      <c r="C1680" s="578"/>
      <c r="D1680" s="578"/>
      <c r="E1680" s="247"/>
      <c r="F1680" s="1272" t="s">
        <v>303</v>
      </c>
      <c r="G1680" s="1283" t="s">
        <v>304</v>
      </c>
      <c r="H1680" s="1283"/>
      <c r="I1680" s="1283"/>
      <c r="J1680" s="1283"/>
      <c r="K1680" s="250">
        <v>1.07</v>
      </c>
      <c r="L1680" s="365"/>
      <c r="M1680" s="54"/>
      <c r="N1680" s="54"/>
      <c r="P1680" s="334"/>
    </row>
    <row r="1681" spans="1:25" ht="30" customHeight="1" x14ac:dyDescent="0.25">
      <c r="A1681" s="365"/>
      <c r="B1681" s="578"/>
      <c r="C1681" s="578"/>
      <c r="D1681" s="578"/>
      <c r="E1681" s="247"/>
      <c r="F1681" s="1273"/>
      <c r="G1681" s="1284" t="s">
        <v>438</v>
      </c>
      <c r="H1681" s="1284"/>
      <c r="I1681" s="1284"/>
      <c r="J1681" s="1284"/>
      <c r="K1681" s="250">
        <v>1.08</v>
      </c>
      <c r="L1681" s="365"/>
      <c r="M1681" s="54"/>
      <c r="N1681" s="54"/>
      <c r="P1681" s="334"/>
    </row>
    <row r="1682" spans="1:25" ht="30" customHeight="1" x14ac:dyDescent="0.25">
      <c r="A1682" s="365"/>
      <c r="B1682" s="365"/>
      <c r="C1682" s="366"/>
      <c r="D1682" s="366"/>
      <c r="E1682" s="366"/>
      <c r="F1682" s="366"/>
      <c r="G1682" s="366"/>
      <c r="H1682" s="366"/>
      <c r="I1682" s="366"/>
      <c r="J1682" s="366" t="s">
        <v>72</v>
      </c>
      <c r="K1682" s="246">
        <f>+K1679*K1680/K1681</f>
        <v>261797.55388888888</v>
      </c>
      <c r="L1682" s="365" t="s">
        <v>76</v>
      </c>
      <c r="M1682" s="54"/>
      <c r="N1682" s="54"/>
      <c r="P1682" s="334"/>
    </row>
    <row r="1683" spans="1:25" ht="30" customHeight="1" x14ac:dyDescent="0.25">
      <c r="A1683" s="365"/>
      <c r="B1683" s="1281"/>
      <c r="C1683" s="1281"/>
      <c r="D1683" s="1281"/>
      <c r="E1683" s="366"/>
      <c r="F1683" s="366"/>
      <c r="G1683" s="580" t="s">
        <v>306</v>
      </c>
      <c r="H1683" s="366"/>
      <c r="I1683" s="366"/>
      <c r="J1683" s="521">
        <f>VLOOKUP(B1673,'Mil Cost Premiums for PUCs'!$A$4:$R$277,18,FALSE)</f>
        <v>1.1233553701921195</v>
      </c>
      <c r="K1683" s="246">
        <f>+K1682*J1683</f>
        <v>294091.68806424411</v>
      </c>
      <c r="L1683" s="365" t="s">
        <v>76</v>
      </c>
      <c r="M1683" s="54"/>
      <c r="N1683" s="54"/>
      <c r="P1683" s="334"/>
    </row>
    <row r="1684" spans="1:25" ht="30" customHeight="1" thickBot="1" x14ac:dyDescent="0.3">
      <c r="A1684" s="365"/>
      <c r="B1684" s="365"/>
      <c r="C1684" s="366"/>
      <c r="D1684" s="366"/>
      <c r="E1684" s="366"/>
      <c r="F1684" s="1212" t="s">
        <v>1148</v>
      </c>
      <c r="G1684" s="1213"/>
      <c r="H1684" s="1213"/>
      <c r="I1684" s="1213"/>
      <c r="J1684" s="521">
        <v>1.0833999999999999</v>
      </c>
      <c r="K1684" s="544">
        <f>K1683*J1684</f>
        <v>318618.93484880205</v>
      </c>
      <c r="L1684" s="365" t="s">
        <v>76</v>
      </c>
      <c r="N1684" s="54"/>
      <c r="P1684" s="334"/>
    </row>
    <row r="1685" spans="1:25" ht="30" customHeight="1" thickBot="1" x14ac:dyDescent="0.3">
      <c r="A1685" s="1180"/>
      <c r="B1685" s="1181"/>
      <c r="C1685" s="1181"/>
      <c r="D1685" s="1181"/>
      <c r="E1685" s="1181"/>
      <c r="F1685" s="1181"/>
      <c r="G1685" s="1181"/>
      <c r="H1685" s="1181"/>
      <c r="I1685" s="1181"/>
      <c r="J1685" s="1181"/>
      <c r="K1685" s="1181"/>
      <c r="L1685" s="1182"/>
      <c r="M1685" s="54"/>
      <c r="N1685" s="54"/>
      <c r="P1685" s="334"/>
    </row>
    <row r="1686" spans="1:25" ht="30" customHeight="1" x14ac:dyDescent="0.25">
      <c r="A1686" s="349" t="s">
        <v>5</v>
      </c>
      <c r="B1686" s="350">
        <v>2125</v>
      </c>
      <c r="C1686" s="1545" t="s">
        <v>1174</v>
      </c>
      <c r="D1686" s="1545"/>
      <c r="E1686" s="351" t="s">
        <v>8</v>
      </c>
      <c r="F1686" s="352" t="s">
        <v>205</v>
      </c>
      <c r="G1686" s="353" t="s">
        <v>74</v>
      </c>
      <c r="H1686" s="813">
        <v>33011</v>
      </c>
      <c r="I1686" s="351" t="s">
        <v>10</v>
      </c>
      <c r="J1686" s="1220" t="s">
        <v>3388</v>
      </c>
      <c r="K1686" s="1220"/>
      <c r="L1686" s="1221"/>
      <c r="M1686" s="54"/>
      <c r="N1686" s="54"/>
      <c r="P1686" s="334"/>
    </row>
    <row r="1687" spans="1:25" ht="30" customHeight="1" x14ac:dyDescent="0.25">
      <c r="A1687" s="359" t="s">
        <v>295</v>
      </c>
      <c r="B1687" s="1222" t="s">
        <v>326</v>
      </c>
      <c r="C1687" s="1235"/>
      <c r="D1687" s="1223"/>
      <c r="E1687" s="577" t="s">
        <v>116</v>
      </c>
      <c r="F1687" s="577" t="s">
        <v>117</v>
      </c>
      <c r="G1687" s="1236" t="s">
        <v>118</v>
      </c>
      <c r="H1687" s="1237"/>
      <c r="I1687" s="819" t="s">
        <v>1134</v>
      </c>
      <c r="J1687" s="356" t="s">
        <v>296</v>
      </c>
      <c r="K1687" s="1236" t="s">
        <v>285</v>
      </c>
      <c r="L1687" s="1237"/>
      <c r="M1687" s="54"/>
      <c r="N1687" s="54"/>
      <c r="P1687" s="334"/>
    </row>
    <row r="1688" spans="1:25" ht="45" customHeight="1" x14ac:dyDescent="0.25">
      <c r="A1688" s="365" t="s">
        <v>1135</v>
      </c>
      <c r="B1688" s="1209" t="s">
        <v>1175</v>
      </c>
      <c r="C1688" s="1210"/>
      <c r="D1688" s="1211"/>
      <c r="E1688" s="247">
        <f>164-2.51</f>
        <v>161.49</v>
      </c>
      <c r="F1688" s="365" t="s">
        <v>205</v>
      </c>
      <c r="G1688" s="689"/>
      <c r="H1688" s="690"/>
      <c r="I1688" s="65">
        <f>+E1688</f>
        <v>161.49</v>
      </c>
      <c r="J1688" s="365">
        <v>1.01</v>
      </c>
      <c r="K1688" s="7">
        <f t="shared" ref="K1688:K1698" si="38">+I1688*J1688</f>
        <v>163.10490000000001</v>
      </c>
      <c r="L1688" s="365" t="s">
        <v>205</v>
      </c>
      <c r="M1688" s="54"/>
      <c r="N1688" s="54"/>
      <c r="P1688" s="334"/>
    </row>
    <row r="1689" spans="1:25" ht="30" customHeight="1" x14ac:dyDescent="0.25">
      <c r="A1689" s="365" t="s">
        <v>406</v>
      </c>
      <c r="B1689" s="1209" t="s">
        <v>1176</v>
      </c>
      <c r="C1689" s="1210"/>
      <c r="D1689" s="1211"/>
      <c r="E1689" s="11">
        <v>3.61</v>
      </c>
      <c r="F1689" s="365" t="s">
        <v>205</v>
      </c>
      <c r="G1689" s="452"/>
      <c r="H1689" s="589"/>
      <c r="I1689" s="170">
        <f>+E1689</f>
        <v>3.61</v>
      </c>
      <c r="J1689" s="365">
        <v>1.01</v>
      </c>
      <c r="K1689" s="7">
        <f t="shared" si="38"/>
        <v>3.6461000000000001</v>
      </c>
      <c r="L1689" s="365" t="s">
        <v>205</v>
      </c>
      <c r="M1689" s="54"/>
      <c r="O1689" s="336"/>
      <c r="P1689" s="334"/>
      <c r="Q1689" s="335"/>
      <c r="R1689" s="336"/>
      <c r="S1689" s="337"/>
    </row>
    <row r="1690" spans="1:25" ht="30" customHeight="1" x14ac:dyDescent="0.25">
      <c r="A1690" s="365" t="s">
        <v>406</v>
      </c>
      <c r="B1690" s="1209" t="s">
        <v>1137</v>
      </c>
      <c r="C1690" s="1210"/>
      <c r="D1690" s="1211"/>
      <c r="E1690" s="246">
        <f>0.15*E1689</f>
        <v>0.54149999999999998</v>
      </c>
      <c r="F1690" s="661" t="s">
        <v>205</v>
      </c>
      <c r="G1690" s="452"/>
      <c r="H1690" s="589"/>
      <c r="I1690" s="170">
        <f>E1690</f>
        <v>0.54149999999999998</v>
      </c>
      <c r="J1690" s="365">
        <v>1.01</v>
      </c>
      <c r="K1690" s="247">
        <f t="shared" si="38"/>
        <v>0.54691500000000004</v>
      </c>
      <c r="L1690" s="365" t="s">
        <v>205</v>
      </c>
      <c r="M1690" s="54"/>
      <c r="N1690" s="54"/>
      <c r="P1690" s="334"/>
    </row>
    <row r="1691" spans="1:25" ht="30" customHeight="1" x14ac:dyDescent="0.25">
      <c r="A1691" s="365" t="s">
        <v>406</v>
      </c>
      <c r="B1691" s="1209" t="s">
        <v>1138</v>
      </c>
      <c r="C1691" s="1210"/>
      <c r="D1691" s="1211"/>
      <c r="E1691" s="246">
        <f xml:space="preserve"> 0.58+((1.15+1.71)/2)</f>
        <v>2.0099999999999998</v>
      </c>
      <c r="F1691" s="661" t="s">
        <v>205</v>
      </c>
      <c r="G1691" s="452"/>
      <c r="H1691" s="589"/>
      <c r="I1691" s="170">
        <f>E1691</f>
        <v>2.0099999999999998</v>
      </c>
      <c r="J1691" s="365">
        <v>1.01</v>
      </c>
      <c r="K1691" s="247">
        <f t="shared" si="38"/>
        <v>2.0301</v>
      </c>
      <c r="L1691" s="365" t="s">
        <v>205</v>
      </c>
      <c r="M1691" s="54"/>
      <c r="N1691" s="54"/>
      <c r="P1691" s="334"/>
    </row>
    <row r="1692" spans="1:25" ht="30" customHeight="1" x14ac:dyDescent="0.25">
      <c r="A1692" s="365" t="s">
        <v>520</v>
      </c>
      <c r="B1692" s="1209" t="s">
        <v>1177</v>
      </c>
      <c r="C1692" s="1210"/>
      <c r="D1692" s="1211"/>
      <c r="E1692" s="247">
        <v>177000</v>
      </c>
      <c r="F1692" s="661" t="s">
        <v>76</v>
      </c>
      <c r="G1692" s="452"/>
      <c r="H1692" s="589" t="s">
        <v>1140</v>
      </c>
      <c r="I1692" s="170">
        <f>+E1692*2/$H$1686</f>
        <v>10.723698161218987</v>
      </c>
      <c r="J1692" s="365">
        <v>1.02</v>
      </c>
      <c r="K1692" s="247">
        <f t="shared" si="38"/>
        <v>10.938172124443367</v>
      </c>
      <c r="L1692" s="365" t="s">
        <v>205</v>
      </c>
      <c r="M1692" s="54"/>
      <c r="N1692" s="54"/>
      <c r="P1692" s="334"/>
    </row>
    <row r="1693" spans="1:25" ht="30" customHeight="1" x14ac:dyDescent="0.25">
      <c r="A1693" s="365" t="s">
        <v>426</v>
      </c>
      <c r="B1693" s="1228" t="s">
        <v>1178</v>
      </c>
      <c r="C1693" s="1325"/>
      <c r="D1693" s="1325"/>
      <c r="E1693" s="246">
        <f>(20.3+31.5)/2</f>
        <v>25.9</v>
      </c>
      <c r="F1693" s="661" t="s">
        <v>1142</v>
      </c>
      <c r="G1693" s="452">
        <f>4*81</f>
        <v>324</v>
      </c>
      <c r="H1693" s="589" t="s">
        <v>205</v>
      </c>
      <c r="I1693" s="170">
        <f>+E1693*G1693/H1686</f>
        <v>0.25420617369967585</v>
      </c>
      <c r="J1693" s="365">
        <v>1.03</v>
      </c>
      <c r="K1693" s="247">
        <f t="shared" si="38"/>
        <v>0.26183235891066614</v>
      </c>
      <c r="L1693" s="365" t="s">
        <v>205</v>
      </c>
      <c r="M1693" s="54"/>
      <c r="N1693" s="54"/>
      <c r="T1693" s="10"/>
    </row>
    <row r="1694" spans="1:25" ht="30" customHeight="1" x14ac:dyDescent="0.25">
      <c r="A1694" s="365" t="s">
        <v>426</v>
      </c>
      <c r="B1694" s="1229" t="s">
        <v>1179</v>
      </c>
      <c r="C1694" s="1288"/>
      <c r="D1694" s="1289"/>
      <c r="E1694" s="266">
        <f>(1710+2420)/2</f>
        <v>2065</v>
      </c>
      <c r="F1694" s="365" t="s">
        <v>76</v>
      </c>
      <c r="G1694" s="567">
        <v>4</v>
      </c>
      <c r="H1694" s="246" t="s">
        <v>1145</v>
      </c>
      <c r="I1694" s="170">
        <f>+E1694*G1694/$H$1686</f>
        <v>0.25021962376177637</v>
      </c>
      <c r="J1694" s="365">
        <v>1.03</v>
      </c>
      <c r="K1694" s="247">
        <f t="shared" si="38"/>
        <v>0.25772621247462968</v>
      </c>
      <c r="L1694" s="365" t="s">
        <v>205</v>
      </c>
      <c r="M1694" s="111"/>
      <c r="N1694" s="111"/>
      <c r="T1694" s="10"/>
      <c r="U1694" s="10"/>
    </row>
    <row r="1695" spans="1:25" ht="30" customHeight="1" x14ac:dyDescent="0.25">
      <c r="A1695" s="365" t="s">
        <v>430</v>
      </c>
      <c r="B1695" s="1209" t="s">
        <v>1180</v>
      </c>
      <c r="C1695" s="1210"/>
      <c r="D1695" s="1211"/>
      <c r="E1695" s="247">
        <f>+(34.5+82)/2</f>
        <v>58.25</v>
      </c>
      <c r="F1695" s="661" t="s">
        <v>40</v>
      </c>
      <c r="G1695" s="452">
        <f>4*10</f>
        <v>40</v>
      </c>
      <c r="H1695" s="589" t="s">
        <v>1181</v>
      </c>
      <c r="I1695" s="170">
        <f>+E1695*G1695/$H$1686</f>
        <v>7.0582533095028932E-2</v>
      </c>
      <c r="J1695" s="365">
        <v>1.03</v>
      </c>
      <c r="K1695" s="247">
        <f t="shared" si="38"/>
        <v>7.2700009087879797E-2</v>
      </c>
      <c r="L1695" s="365" t="s">
        <v>205</v>
      </c>
      <c r="M1695" s="54"/>
      <c r="N1695" s="111"/>
      <c r="O1695" s="543"/>
      <c r="P1695" s="344"/>
      <c r="Q1695" s="345"/>
      <c r="R1695" s="345"/>
      <c r="S1695" s="345"/>
      <c r="T1695" s="345"/>
      <c r="U1695" s="10"/>
    </row>
    <row r="1696" spans="1:25" ht="30" customHeight="1" x14ac:dyDescent="0.25">
      <c r="A1696" s="365" t="s">
        <v>430</v>
      </c>
      <c r="B1696" s="1209" t="s">
        <v>1182</v>
      </c>
      <c r="C1696" s="1210"/>
      <c r="D1696" s="1211"/>
      <c r="E1696" s="247">
        <f>+(6450+12300)/2</f>
        <v>9375</v>
      </c>
      <c r="F1696" s="661" t="s">
        <v>76</v>
      </c>
      <c r="G1696" s="452">
        <v>4</v>
      </c>
      <c r="H1696" s="589" t="s">
        <v>1140</v>
      </c>
      <c r="I1696" s="170">
        <f>+E1696*G1696/$H$1686</f>
        <v>1.1359849747054012</v>
      </c>
      <c r="J1696" s="365">
        <v>1.03</v>
      </c>
      <c r="K1696" s="247">
        <f t="shared" si="38"/>
        <v>1.1700645239465632</v>
      </c>
      <c r="L1696" s="365" t="s">
        <v>205</v>
      </c>
      <c r="M1696" s="54"/>
      <c r="N1696" s="54"/>
      <c r="U1696" s="345"/>
      <c r="V1696" s="345"/>
      <c r="W1696" s="345"/>
      <c r="X1696" s="345"/>
      <c r="Y1696" s="345"/>
    </row>
    <row r="1697" spans="1:25" s="345" customFormat="1" ht="30" customHeight="1" x14ac:dyDescent="0.25">
      <c r="A1697" s="365" t="s">
        <v>430</v>
      </c>
      <c r="B1697" s="1209" t="s">
        <v>1183</v>
      </c>
      <c r="C1697" s="1210"/>
      <c r="D1697" s="1211"/>
      <c r="E1697" s="11">
        <f>+(660+1010)/2</f>
        <v>835</v>
      </c>
      <c r="F1697" s="661" t="s">
        <v>76</v>
      </c>
      <c r="G1697" s="452">
        <v>4</v>
      </c>
      <c r="H1697" s="589" t="s">
        <v>1140</v>
      </c>
      <c r="I1697" s="170">
        <f>+E1697*G1697/$H$1686</f>
        <v>0.10117839508042774</v>
      </c>
      <c r="J1697" s="365">
        <v>1.03</v>
      </c>
      <c r="K1697" s="247">
        <f t="shared" si="38"/>
        <v>0.10421374693284058</v>
      </c>
      <c r="L1697" s="365" t="s">
        <v>205</v>
      </c>
      <c r="M1697" s="54"/>
      <c r="N1697" s="54"/>
      <c r="O1697" s="340"/>
      <c r="P1697" s="340"/>
      <c r="Q1697" s="334"/>
      <c r="R1697" s="334"/>
      <c r="S1697" s="334"/>
      <c r="T1697" s="334"/>
      <c r="U1697" s="334"/>
      <c r="V1697" s="334"/>
      <c r="W1697" s="334"/>
      <c r="X1697" s="334"/>
      <c r="Y1697" s="334"/>
    </row>
    <row r="1698" spans="1:25" ht="30" customHeight="1" x14ac:dyDescent="0.25">
      <c r="A1698" s="365" t="s">
        <v>430</v>
      </c>
      <c r="B1698" s="1209" t="s">
        <v>1184</v>
      </c>
      <c r="C1698" s="1210"/>
      <c r="D1698" s="1211"/>
      <c r="E1698" s="247">
        <f>+(1160+3475)/2</f>
        <v>2317.5</v>
      </c>
      <c r="F1698" s="661" t="s">
        <v>76</v>
      </c>
      <c r="G1698" s="452">
        <v>4</v>
      </c>
      <c r="H1698" s="589" t="s">
        <v>1140</v>
      </c>
      <c r="I1698" s="170">
        <f>+E1698*G1698/$H$1686</f>
        <v>0.28081548574717519</v>
      </c>
      <c r="J1698" s="365">
        <v>1.03</v>
      </c>
      <c r="K1698" s="247">
        <f t="shared" si="38"/>
        <v>0.28923995031959043</v>
      </c>
      <c r="L1698" s="365" t="s">
        <v>205</v>
      </c>
      <c r="M1698" s="54"/>
      <c r="N1698" s="54"/>
      <c r="O1698" s="336"/>
      <c r="P1698" s="334"/>
      <c r="Q1698" s="335"/>
      <c r="R1698" s="336"/>
      <c r="S1698" s="337"/>
    </row>
    <row r="1699" spans="1:25" ht="30" customHeight="1" x14ac:dyDescent="0.25">
      <c r="A1699" s="365"/>
      <c r="B1699" s="1281"/>
      <c r="C1699" s="1281"/>
      <c r="D1699" s="1281"/>
      <c r="E1699" s="247"/>
      <c r="F1699" s="366"/>
      <c r="G1699" s="662"/>
      <c r="H1699" s="662"/>
      <c r="I1699" s="365"/>
      <c r="J1699" s="365" t="s">
        <v>408</v>
      </c>
      <c r="K1699" s="247">
        <f>SUM(K1688:K1698)</f>
        <v>182.42196392611552</v>
      </c>
      <c r="L1699" s="365" t="s">
        <v>205</v>
      </c>
      <c r="M1699" s="54"/>
      <c r="N1699" s="54"/>
      <c r="O1699" s="336"/>
      <c r="P1699" s="334"/>
      <c r="Q1699" s="335"/>
      <c r="R1699" s="336"/>
      <c r="S1699" s="337"/>
    </row>
    <row r="1700" spans="1:25" ht="30" customHeight="1" x14ac:dyDescent="0.25">
      <c r="A1700" s="365"/>
      <c r="B1700" s="578"/>
      <c r="C1700" s="578"/>
      <c r="D1700" s="578"/>
      <c r="E1700" s="578"/>
      <c r="F1700" s="1272" t="s">
        <v>303</v>
      </c>
      <c r="G1700" s="1283" t="s">
        <v>304</v>
      </c>
      <c r="H1700" s="1283"/>
      <c r="I1700" s="1283"/>
      <c r="J1700" s="1283"/>
      <c r="K1700" s="250">
        <v>1.08</v>
      </c>
      <c r="L1700" s="365"/>
      <c r="M1700" s="54"/>
      <c r="N1700" s="54"/>
      <c r="P1700" s="335"/>
      <c r="Q1700" s="336"/>
      <c r="R1700" s="337"/>
    </row>
    <row r="1701" spans="1:25" ht="30" customHeight="1" x14ac:dyDescent="0.25">
      <c r="A1701" s="365"/>
      <c r="B1701" s="578"/>
      <c r="C1701" s="578"/>
      <c r="D1701" s="578"/>
      <c r="E1701" s="578"/>
      <c r="F1701" s="1273"/>
      <c r="G1701" s="1284" t="s">
        <v>438</v>
      </c>
      <c r="H1701" s="1284"/>
      <c r="I1701" s="1284"/>
      <c r="J1701" s="1284"/>
      <c r="K1701" s="250">
        <v>1.08</v>
      </c>
      <c r="L1701" s="365"/>
      <c r="M1701" s="54"/>
      <c r="N1701" s="54"/>
      <c r="O1701" s="10"/>
      <c r="P1701" s="334"/>
      <c r="Q1701" s="335"/>
      <c r="R1701" s="336"/>
      <c r="S1701" s="337"/>
    </row>
    <row r="1702" spans="1:25" ht="30" customHeight="1" x14ac:dyDescent="0.25">
      <c r="A1702" s="365"/>
      <c r="B1702" s="365"/>
      <c r="C1702" s="366"/>
      <c r="D1702" s="366"/>
      <c r="E1702" s="366"/>
      <c r="F1702" s="366"/>
      <c r="G1702" s="366"/>
      <c r="H1702" s="366"/>
      <c r="I1702" s="366"/>
      <c r="J1702" s="366" t="s">
        <v>72</v>
      </c>
      <c r="K1702" s="246">
        <f>+K1699*K1700/K1701</f>
        <v>182.42196392611552</v>
      </c>
      <c r="L1702" s="365" t="s">
        <v>205</v>
      </c>
      <c r="M1702" s="54"/>
      <c r="N1702" s="54"/>
      <c r="O1702" s="336"/>
      <c r="P1702" s="334"/>
      <c r="Q1702" s="335"/>
      <c r="R1702" s="336"/>
      <c r="S1702" s="337"/>
    </row>
    <row r="1703" spans="1:25" ht="30" customHeight="1" x14ac:dyDescent="0.25">
      <c r="A1703" s="365"/>
      <c r="B1703" s="365"/>
      <c r="C1703" s="366"/>
      <c r="D1703" s="366"/>
      <c r="E1703" s="366"/>
      <c r="F1703" s="366"/>
      <c r="G1703" s="580" t="s">
        <v>306</v>
      </c>
      <c r="H1703" s="366"/>
      <c r="I1703" s="366"/>
      <c r="J1703" s="521">
        <f>VLOOKUP(B1686,'Mil Cost Premiums for PUCs'!$A$4:$R$277,18,FALSE)</f>
        <v>1.1932356231980656</v>
      </c>
      <c r="K1703" s="246">
        <f>+K1702*J1703</f>
        <v>217.67238581039351</v>
      </c>
      <c r="L1703" s="365" t="s">
        <v>205</v>
      </c>
      <c r="M1703" s="54"/>
      <c r="N1703" s="54"/>
      <c r="P1703" s="335"/>
      <c r="Q1703" s="336"/>
      <c r="R1703" s="337"/>
    </row>
    <row r="1704" spans="1:25" ht="30" customHeight="1" thickBot="1" x14ac:dyDescent="0.3">
      <c r="A1704" s="365"/>
      <c r="B1704" s="365"/>
      <c r="C1704" s="366"/>
      <c r="D1704" s="366"/>
      <c r="E1704" s="366"/>
      <c r="F1704" s="1212" t="s">
        <v>1148</v>
      </c>
      <c r="G1704" s="1213"/>
      <c r="H1704" s="1213"/>
      <c r="I1704" s="1213"/>
      <c r="J1704" s="521">
        <v>1.0833999999999999</v>
      </c>
      <c r="K1704" s="544">
        <f>K1703*J1704</f>
        <v>235.82626278698029</v>
      </c>
      <c r="L1704" s="365" t="s">
        <v>205</v>
      </c>
      <c r="N1704" s="112"/>
      <c r="P1704" s="335"/>
      <c r="Q1704" s="336"/>
      <c r="R1704" s="337"/>
    </row>
    <row r="1705" spans="1:25" ht="30" customHeight="1" thickBot="1" x14ac:dyDescent="0.3">
      <c r="A1705" s="1180"/>
      <c r="B1705" s="1181"/>
      <c r="C1705" s="1181"/>
      <c r="D1705" s="1181"/>
      <c r="E1705" s="1181"/>
      <c r="F1705" s="1181"/>
      <c r="G1705" s="1181"/>
      <c r="H1705" s="1181"/>
      <c r="I1705" s="1181"/>
      <c r="J1705" s="1181"/>
      <c r="K1705" s="1181"/>
      <c r="L1705" s="1182"/>
      <c r="M1705" s="54"/>
      <c r="N1705" s="54"/>
      <c r="P1705" s="335"/>
      <c r="Q1705" s="336"/>
      <c r="R1705" s="337"/>
    </row>
    <row r="1706" spans="1:25" ht="30" customHeight="1" x14ac:dyDescent="0.25">
      <c r="A1706" s="327" t="s">
        <v>5</v>
      </c>
      <c r="B1706" s="328">
        <v>2126</v>
      </c>
      <c r="C1706" s="1406" t="s">
        <v>1185</v>
      </c>
      <c r="D1706" s="1406"/>
      <c r="E1706" s="331" t="s">
        <v>8</v>
      </c>
      <c r="F1706" s="332" t="s">
        <v>205</v>
      </c>
      <c r="G1706" s="342" t="s">
        <v>74</v>
      </c>
      <c r="H1706" s="820">
        <v>33754</v>
      </c>
      <c r="I1706" s="331" t="s">
        <v>10</v>
      </c>
      <c r="J1706" s="1220" t="s">
        <v>294</v>
      </c>
      <c r="K1706" s="1220"/>
      <c r="L1706" s="1221"/>
      <c r="M1706" s="54"/>
      <c r="N1706" s="54"/>
      <c r="P1706" s="335"/>
      <c r="Q1706" s="336"/>
      <c r="R1706" s="337"/>
    </row>
    <row r="1707" spans="1:25" ht="30" customHeight="1" x14ac:dyDescent="0.25">
      <c r="A1707" s="359" t="s">
        <v>295</v>
      </c>
      <c r="B1707" s="1222" t="s">
        <v>326</v>
      </c>
      <c r="C1707" s="1235"/>
      <c r="D1707" s="1223"/>
      <c r="E1707" s="359" t="s">
        <v>116</v>
      </c>
      <c r="F1707" s="359" t="s">
        <v>117</v>
      </c>
      <c r="G1707" s="1236" t="s">
        <v>118</v>
      </c>
      <c r="H1707" s="1237"/>
      <c r="I1707" s="699" t="s">
        <v>1134</v>
      </c>
      <c r="J1707" s="356" t="s">
        <v>296</v>
      </c>
      <c r="K1707" s="1236" t="s">
        <v>285</v>
      </c>
      <c r="L1707" s="1237"/>
      <c r="M1707" s="54"/>
      <c r="N1707" s="54"/>
      <c r="P1707" s="335"/>
      <c r="Q1707" s="336"/>
      <c r="R1707" s="337"/>
    </row>
    <row r="1708" spans="1:25" ht="45" customHeight="1" x14ac:dyDescent="0.25">
      <c r="A1708" s="365" t="s">
        <v>1135</v>
      </c>
      <c r="B1708" s="1209" t="s">
        <v>1186</v>
      </c>
      <c r="C1708" s="1210"/>
      <c r="D1708" s="1211"/>
      <c r="E1708" s="247">
        <f>164-2.51</f>
        <v>161.49</v>
      </c>
      <c r="F1708" s="365" t="s">
        <v>205</v>
      </c>
      <c r="G1708" s="689"/>
      <c r="H1708" s="690"/>
      <c r="I1708" s="65">
        <f>+E1708</f>
        <v>161.49</v>
      </c>
      <c r="J1708" s="365">
        <v>1.1599999999999999</v>
      </c>
      <c r="K1708" s="7">
        <f>+I1708*J1708</f>
        <v>187.32839999999999</v>
      </c>
      <c r="L1708" s="396" t="s">
        <v>205</v>
      </c>
      <c r="M1708" s="54"/>
      <c r="N1708" s="54"/>
      <c r="P1708" s="335"/>
      <c r="Q1708" s="336"/>
      <c r="R1708" s="337"/>
    </row>
    <row r="1709" spans="1:25" ht="30" customHeight="1" x14ac:dyDescent="0.25">
      <c r="A1709" s="365" t="s">
        <v>406</v>
      </c>
      <c r="B1709" s="1209" t="s">
        <v>1176</v>
      </c>
      <c r="C1709" s="1210"/>
      <c r="D1709" s="1211"/>
      <c r="E1709" s="11">
        <v>3.61</v>
      </c>
      <c r="F1709" s="365" t="s">
        <v>205</v>
      </c>
      <c r="G1709" s="452"/>
      <c r="H1709" s="589"/>
      <c r="I1709" s="65">
        <f>+E1709</f>
        <v>3.61</v>
      </c>
      <c r="J1709" s="365">
        <v>1.1599999999999999</v>
      </c>
      <c r="K1709" s="7">
        <f>+I1709*J1709</f>
        <v>4.1875999999999998</v>
      </c>
      <c r="L1709" s="365" t="s">
        <v>205</v>
      </c>
      <c r="M1709" s="111"/>
      <c r="N1709" s="54"/>
      <c r="O1709" s="336"/>
      <c r="P1709" s="334"/>
      <c r="Q1709" s="335"/>
      <c r="R1709" s="336"/>
      <c r="S1709" s="337"/>
    </row>
    <row r="1710" spans="1:25" ht="30" customHeight="1" x14ac:dyDescent="0.25">
      <c r="A1710" s="365" t="s">
        <v>406</v>
      </c>
      <c r="B1710" s="1209" t="s">
        <v>1137</v>
      </c>
      <c r="C1710" s="1210"/>
      <c r="D1710" s="1211"/>
      <c r="E1710" s="246">
        <f>0.15*E1709</f>
        <v>0.54149999999999998</v>
      </c>
      <c r="F1710" s="661" t="s">
        <v>205</v>
      </c>
      <c r="G1710" s="452"/>
      <c r="H1710" s="589"/>
      <c r="I1710" s="65">
        <f>+E1710</f>
        <v>0.54149999999999998</v>
      </c>
      <c r="J1710" s="365">
        <v>1.1599999999999999</v>
      </c>
      <c r="K1710" s="7">
        <f>+I1710*J1710</f>
        <v>0.62813999999999992</v>
      </c>
      <c r="L1710" s="396" t="s">
        <v>205</v>
      </c>
      <c r="M1710" s="111"/>
      <c r="N1710" s="54"/>
      <c r="O1710" s="336"/>
      <c r="P1710" s="334"/>
      <c r="Q1710" s="335"/>
      <c r="R1710" s="336"/>
      <c r="S1710" s="337"/>
    </row>
    <row r="1711" spans="1:25" ht="30" customHeight="1" x14ac:dyDescent="0.25">
      <c r="A1711" s="365" t="s">
        <v>406</v>
      </c>
      <c r="B1711" s="1209" t="s">
        <v>1138</v>
      </c>
      <c r="C1711" s="1210"/>
      <c r="D1711" s="1211"/>
      <c r="E1711" s="246">
        <f xml:space="preserve"> 0.58+((1.15+1.71)/2)</f>
        <v>2.0099999999999998</v>
      </c>
      <c r="F1711" s="661" t="s">
        <v>205</v>
      </c>
      <c r="G1711" s="452"/>
      <c r="H1711" s="589"/>
      <c r="I1711" s="170">
        <f>+E1711</f>
        <v>2.0099999999999998</v>
      </c>
      <c r="J1711" s="365">
        <v>1.1599999999999999</v>
      </c>
      <c r="K1711" s="7">
        <f>+I1711*J1711</f>
        <v>2.3315999999999995</v>
      </c>
      <c r="L1711" s="365" t="s">
        <v>205</v>
      </c>
      <c r="M1711" s="54"/>
      <c r="N1711" s="54"/>
      <c r="P1711" s="335"/>
      <c r="Q1711" s="336"/>
      <c r="R1711" s="337"/>
    </row>
    <row r="1712" spans="1:25" ht="30" customHeight="1" x14ac:dyDescent="0.25">
      <c r="A1712" s="365" t="s">
        <v>520</v>
      </c>
      <c r="B1712" s="1209" t="s">
        <v>1187</v>
      </c>
      <c r="C1712" s="1210"/>
      <c r="D1712" s="1211"/>
      <c r="E1712" s="247">
        <v>204000</v>
      </c>
      <c r="F1712" s="661" t="s">
        <v>76</v>
      </c>
      <c r="G1712" s="704">
        <f>H1706</f>
        <v>33754</v>
      </c>
      <c r="H1712" s="589" t="s">
        <v>1140</v>
      </c>
      <c r="I1712" s="170">
        <f>+E1712/H1706</f>
        <v>6.0437281507376905</v>
      </c>
      <c r="J1712" s="365">
        <v>1.04</v>
      </c>
      <c r="K1712" s="7">
        <f>+I1712*2*J1712</f>
        <v>12.570954553534397</v>
      </c>
      <c r="L1712" s="396" t="s">
        <v>205</v>
      </c>
      <c r="M1712" s="54"/>
      <c r="N1712" s="54"/>
      <c r="P1712" s="335"/>
      <c r="Q1712" s="336"/>
      <c r="R1712" s="337"/>
    </row>
    <row r="1713" spans="1:25" ht="30" customHeight="1" x14ac:dyDescent="0.25">
      <c r="A1713" s="365" t="s">
        <v>426</v>
      </c>
      <c r="B1713" s="1228" t="s">
        <v>1188</v>
      </c>
      <c r="C1713" s="1325"/>
      <c r="D1713" s="1325"/>
      <c r="E1713" s="246">
        <f>(24+37.25)/2</f>
        <v>30.625</v>
      </c>
      <c r="F1713" s="365" t="s">
        <v>1142</v>
      </c>
      <c r="G1713" s="567">
        <f>4*81</f>
        <v>324</v>
      </c>
      <c r="H1713" s="245" t="s">
        <v>1181</v>
      </c>
      <c r="I1713" s="170">
        <f t="shared" ref="I1713:I1718" si="39">+E1713*G1713/33595</f>
        <v>0.29535645185295428</v>
      </c>
      <c r="J1713" s="365">
        <v>1.07</v>
      </c>
      <c r="K1713" s="7">
        <f t="shared" ref="K1713:K1718" si="40">+I1713*J1713</f>
        <v>0.31603140348266112</v>
      </c>
      <c r="L1713" s="396" t="s">
        <v>205</v>
      </c>
      <c r="M1713" s="54"/>
      <c r="N1713" s="54"/>
      <c r="O1713" s="336"/>
      <c r="P1713" s="334"/>
      <c r="Q1713" s="335"/>
      <c r="R1713" s="336"/>
      <c r="S1713" s="337"/>
    </row>
    <row r="1714" spans="1:25" ht="30" customHeight="1" x14ac:dyDescent="0.25">
      <c r="A1714" s="365" t="s">
        <v>426</v>
      </c>
      <c r="B1714" s="1326" t="s">
        <v>1179</v>
      </c>
      <c r="C1714" s="1327"/>
      <c r="D1714" s="1328"/>
      <c r="E1714" s="266">
        <f>(2020+2850)/2</f>
        <v>2435</v>
      </c>
      <c r="F1714" s="365" t="s">
        <v>76</v>
      </c>
      <c r="G1714" s="567">
        <v>4</v>
      </c>
      <c r="H1714" s="246" t="s">
        <v>1145</v>
      </c>
      <c r="I1714" s="170">
        <f t="shared" si="39"/>
        <v>0.28992409584759637</v>
      </c>
      <c r="J1714" s="365">
        <v>1.07</v>
      </c>
      <c r="K1714" s="7">
        <f t="shared" si="40"/>
        <v>0.31021878255692814</v>
      </c>
      <c r="L1714" s="396" t="s">
        <v>205</v>
      </c>
      <c r="M1714" s="54"/>
      <c r="N1714" s="54"/>
      <c r="O1714" s="336"/>
      <c r="P1714" s="334"/>
      <c r="Q1714" s="335"/>
      <c r="R1714" s="336"/>
      <c r="S1714" s="337"/>
    </row>
    <row r="1715" spans="1:25" ht="30" customHeight="1" x14ac:dyDescent="0.25">
      <c r="A1715" s="365" t="s">
        <v>430</v>
      </c>
      <c r="B1715" s="1209" t="s">
        <v>1189</v>
      </c>
      <c r="C1715" s="1210"/>
      <c r="D1715" s="1211"/>
      <c r="E1715" s="247">
        <f>+(34.5+82)/2</f>
        <v>58.25</v>
      </c>
      <c r="F1715" s="661" t="s">
        <v>40</v>
      </c>
      <c r="G1715" s="452">
        <f>4*10</f>
        <v>40</v>
      </c>
      <c r="H1715" s="589" t="s">
        <v>1181</v>
      </c>
      <c r="I1715" s="170">
        <f t="shared" si="39"/>
        <v>6.9355558862926034E-2</v>
      </c>
      <c r="J1715" s="365">
        <v>1.21</v>
      </c>
      <c r="K1715" s="7">
        <f t="shared" si="40"/>
        <v>8.3920226224140498E-2</v>
      </c>
      <c r="L1715" s="396" t="s">
        <v>205</v>
      </c>
      <c r="M1715" s="54"/>
      <c r="N1715" s="54"/>
      <c r="O1715" s="336"/>
      <c r="P1715" s="334"/>
      <c r="Q1715" s="335"/>
      <c r="R1715" s="336"/>
      <c r="S1715" s="337"/>
    </row>
    <row r="1716" spans="1:25" ht="30" customHeight="1" x14ac:dyDescent="0.25">
      <c r="A1716" s="365" t="s">
        <v>430</v>
      </c>
      <c r="B1716" s="1209" t="s">
        <v>1182</v>
      </c>
      <c r="C1716" s="1210"/>
      <c r="D1716" s="1211"/>
      <c r="E1716" s="247">
        <f>+(6450+12300)/2</f>
        <v>9375</v>
      </c>
      <c r="F1716" s="661" t="s">
        <v>76</v>
      </c>
      <c r="G1716" s="452">
        <v>4</v>
      </c>
      <c r="H1716" s="589" t="s">
        <v>1140</v>
      </c>
      <c r="I1716" s="170">
        <f t="shared" si="39"/>
        <v>1.116237535347522</v>
      </c>
      <c r="J1716" s="365">
        <v>1.21</v>
      </c>
      <c r="K1716" s="7">
        <f t="shared" si="40"/>
        <v>1.3506474177705017</v>
      </c>
      <c r="L1716" s="396" t="s">
        <v>205</v>
      </c>
      <c r="M1716" s="54"/>
      <c r="N1716" s="54"/>
      <c r="O1716" s="336"/>
      <c r="P1716" s="334"/>
      <c r="Q1716" s="335"/>
      <c r="R1716" s="336"/>
      <c r="S1716" s="337"/>
    </row>
    <row r="1717" spans="1:25" ht="30" customHeight="1" x14ac:dyDescent="0.25">
      <c r="A1717" s="365" t="s">
        <v>430</v>
      </c>
      <c r="B1717" s="1209" t="s">
        <v>1183</v>
      </c>
      <c r="C1717" s="1210"/>
      <c r="D1717" s="1211"/>
      <c r="E1717" s="11">
        <f>+(660+1010)/2</f>
        <v>835</v>
      </c>
      <c r="F1717" s="661" t="s">
        <v>76</v>
      </c>
      <c r="G1717" s="452">
        <v>4</v>
      </c>
      <c r="H1717" s="589" t="s">
        <v>1140</v>
      </c>
      <c r="I1717" s="170">
        <f t="shared" si="39"/>
        <v>9.9419556481619292E-2</v>
      </c>
      <c r="J1717" s="365">
        <v>1.21</v>
      </c>
      <c r="K1717" s="7">
        <f t="shared" si="40"/>
        <v>0.12029766334275933</v>
      </c>
      <c r="L1717" s="365" t="s">
        <v>205</v>
      </c>
      <c r="M1717" s="54"/>
      <c r="N1717" s="54"/>
      <c r="O1717" s="821"/>
      <c r="P1717" s="334"/>
      <c r="Q1717" s="335"/>
      <c r="R1717" s="336"/>
      <c r="S1717" s="337"/>
    </row>
    <row r="1718" spans="1:25" ht="30" customHeight="1" x14ac:dyDescent="0.25">
      <c r="A1718" s="365" t="s">
        <v>430</v>
      </c>
      <c r="B1718" s="1209" t="s">
        <v>1184</v>
      </c>
      <c r="C1718" s="1210"/>
      <c r="D1718" s="1211"/>
      <c r="E1718" s="247">
        <f>+(1160+3475)/2</f>
        <v>2317.5</v>
      </c>
      <c r="F1718" s="661" t="s">
        <v>76</v>
      </c>
      <c r="G1718" s="452">
        <v>4</v>
      </c>
      <c r="H1718" s="589" t="s">
        <v>1140</v>
      </c>
      <c r="I1718" s="170">
        <f t="shared" si="39"/>
        <v>0.2759339187379074</v>
      </c>
      <c r="J1718" s="365">
        <v>1.21</v>
      </c>
      <c r="K1718" s="7">
        <f t="shared" si="40"/>
        <v>0.33388004167286794</v>
      </c>
      <c r="L1718" s="365" t="s">
        <v>205</v>
      </c>
      <c r="M1718" s="54"/>
      <c r="N1718" s="111"/>
      <c r="O1718" s="336"/>
      <c r="P1718" s="334"/>
      <c r="Q1718" s="335"/>
      <c r="R1718" s="336"/>
      <c r="S1718" s="337"/>
    </row>
    <row r="1719" spans="1:25" ht="30" customHeight="1" x14ac:dyDescent="0.25">
      <c r="A1719" s="365"/>
      <c r="B1719" s="1281"/>
      <c r="C1719" s="1281"/>
      <c r="D1719" s="1281"/>
      <c r="E1719" s="247"/>
      <c r="F1719" s="366"/>
      <c r="G1719" s="662"/>
      <c r="H1719" s="662"/>
      <c r="I1719" s="365" t="s">
        <v>408</v>
      </c>
      <c r="J1719" s="247">
        <f>SUM(K1708:K1718)</f>
        <v>209.56169008858424</v>
      </c>
      <c r="K1719" s="247">
        <f>SUM(K1708:K1718)</f>
        <v>209.56169008858424</v>
      </c>
      <c r="L1719" s="365" t="s">
        <v>205</v>
      </c>
      <c r="M1719" s="112"/>
      <c r="N1719" s="54"/>
      <c r="O1719" s="336"/>
      <c r="P1719" s="334"/>
      <c r="Q1719" s="335"/>
      <c r="R1719" s="336"/>
      <c r="S1719" s="337"/>
    </row>
    <row r="1720" spans="1:25" ht="30" customHeight="1" x14ac:dyDescent="0.25">
      <c r="A1720" s="365"/>
      <c r="B1720" s="578"/>
      <c r="C1720" s="578"/>
      <c r="D1720" s="578"/>
      <c r="E1720" s="578"/>
      <c r="F1720" s="1272" t="s">
        <v>303</v>
      </c>
      <c r="G1720" s="1283" t="s">
        <v>304</v>
      </c>
      <c r="H1720" s="1283"/>
      <c r="I1720" s="1283"/>
      <c r="J1720" s="1283"/>
      <c r="K1720" s="250">
        <v>1.05</v>
      </c>
      <c r="L1720" s="365"/>
      <c r="M1720" s="54"/>
      <c r="N1720" s="54"/>
      <c r="O1720" s="336"/>
      <c r="P1720" s="334"/>
      <c r="Q1720" s="335"/>
      <c r="R1720" s="336"/>
      <c r="S1720" s="337"/>
    </row>
    <row r="1721" spans="1:25" ht="30" customHeight="1" x14ac:dyDescent="0.25">
      <c r="A1721" s="365"/>
      <c r="B1721" s="578"/>
      <c r="C1721" s="578"/>
      <c r="D1721" s="578"/>
      <c r="E1721" s="578"/>
      <c r="F1721" s="1273"/>
      <c r="G1721" s="1284" t="s">
        <v>305</v>
      </c>
      <c r="H1721" s="1284"/>
      <c r="I1721" s="1284"/>
      <c r="J1721" s="1284"/>
      <c r="K1721" s="250">
        <v>1.06</v>
      </c>
      <c r="L1721" s="365"/>
      <c r="M1721" s="54"/>
      <c r="N1721" s="54"/>
      <c r="O1721" s="336"/>
      <c r="P1721" s="334"/>
      <c r="Q1721" s="335"/>
      <c r="R1721" s="336"/>
      <c r="S1721" s="337"/>
    </row>
    <row r="1722" spans="1:25" ht="30" customHeight="1" x14ac:dyDescent="0.25">
      <c r="A1722" s="365"/>
      <c r="B1722" s="365"/>
      <c r="C1722" s="366"/>
      <c r="D1722" s="366"/>
      <c r="E1722" s="366"/>
      <c r="F1722" s="366"/>
      <c r="G1722" s="366"/>
      <c r="H1722" s="366"/>
      <c r="I1722" s="366"/>
      <c r="J1722" s="365" t="s">
        <v>72</v>
      </c>
      <c r="K1722" s="246">
        <f>+J1719*K1720/K1721</f>
        <v>207.58469301227686</v>
      </c>
      <c r="L1722" s="365" t="s">
        <v>205</v>
      </c>
      <c r="M1722" s="54"/>
      <c r="N1722" s="54"/>
      <c r="T1722" s="10"/>
    </row>
    <row r="1723" spans="1:25" ht="30" customHeight="1" x14ac:dyDescent="0.25">
      <c r="A1723" s="365"/>
      <c r="B1723" s="365"/>
      <c r="C1723" s="366"/>
      <c r="D1723" s="366"/>
      <c r="E1723" s="366"/>
      <c r="G1723" s="366"/>
      <c r="H1723" s="366"/>
      <c r="I1723" s="553" t="s">
        <v>414</v>
      </c>
      <c r="J1723" s="521">
        <f>VLOOKUP(B1706,'Mil Cost Premiums for PUCs'!$A$4:$R$277,18,FALSE)</f>
        <v>1.1932356231980656</v>
      </c>
      <c r="K1723" s="246">
        <f>+K1722*J1723</f>
        <v>247.69745053288332</v>
      </c>
      <c r="L1723" s="365" t="s">
        <v>205</v>
      </c>
      <c r="M1723" s="54"/>
      <c r="N1723" s="54"/>
      <c r="T1723" s="10"/>
      <c r="U1723" s="10"/>
    </row>
    <row r="1724" spans="1:25" ht="60" customHeight="1" x14ac:dyDescent="0.25">
      <c r="A1724" s="1230" t="s">
        <v>307</v>
      </c>
      <c r="B1724" s="1231"/>
      <c r="C1724" s="1231"/>
      <c r="D1724" s="1231"/>
      <c r="E1724" s="1231"/>
      <c r="F1724" s="1231"/>
      <c r="G1724" s="1231"/>
      <c r="H1724" s="1231"/>
      <c r="I1724" s="1231"/>
      <c r="J1724" s="1231"/>
      <c r="K1724" s="1231"/>
      <c r="L1724" s="1232"/>
      <c r="M1724" s="54"/>
      <c r="N1724" s="54"/>
      <c r="O1724" s="543"/>
      <c r="P1724" s="344"/>
      <c r="Q1724" s="345"/>
      <c r="R1724" s="345"/>
      <c r="S1724" s="345"/>
      <c r="T1724" s="345"/>
      <c r="U1724" s="10"/>
    </row>
    <row r="1725" spans="1:25" ht="30" customHeight="1" x14ac:dyDescent="0.25">
      <c r="A1725" s="1546" t="s">
        <v>308</v>
      </c>
      <c r="B1725" s="1546"/>
      <c r="C1725" s="1546"/>
      <c r="D1725" s="1230" t="s">
        <v>1190</v>
      </c>
      <c r="E1725" s="1231"/>
      <c r="F1725" s="1231"/>
      <c r="G1725" s="1231"/>
      <c r="H1725" s="1231"/>
      <c r="I1725" s="1231"/>
      <c r="J1725" s="1231"/>
      <c r="K1725" s="1231"/>
      <c r="L1725" s="1232"/>
      <c r="M1725" s="54"/>
      <c r="N1725" s="54"/>
      <c r="U1725" s="345"/>
      <c r="V1725" s="345"/>
      <c r="W1725" s="345"/>
      <c r="X1725" s="345"/>
      <c r="Y1725" s="345"/>
    </row>
    <row r="1726" spans="1:25" s="345" customFormat="1" ht="30" customHeight="1" x14ac:dyDescent="0.25">
      <c r="A1726" s="1330" t="s">
        <v>310</v>
      </c>
      <c r="B1726" s="1331"/>
      <c r="C1726" s="1332"/>
      <c r="D1726" s="1230" t="s">
        <v>1191</v>
      </c>
      <c r="E1726" s="1231"/>
      <c r="F1726" s="1231"/>
      <c r="G1726" s="1231"/>
      <c r="H1726" s="1231"/>
      <c r="I1726" s="1231"/>
      <c r="J1726" s="1231"/>
      <c r="K1726" s="1231"/>
      <c r="L1726" s="1232"/>
      <c r="M1726" s="54"/>
      <c r="N1726" s="54"/>
      <c r="O1726" s="334"/>
      <c r="P1726" s="340"/>
      <c r="Q1726" s="334"/>
      <c r="R1726" s="334"/>
      <c r="S1726" s="334"/>
      <c r="T1726" s="334"/>
      <c r="U1726" s="334"/>
      <c r="V1726" s="334"/>
      <c r="W1726" s="334"/>
      <c r="X1726" s="334"/>
      <c r="Y1726" s="334"/>
    </row>
    <row r="1727" spans="1:25" ht="30" customHeight="1" x14ac:dyDescent="0.25">
      <c r="A1727" s="1330" t="s">
        <v>312</v>
      </c>
      <c r="B1727" s="1331"/>
      <c r="C1727" s="1332"/>
      <c r="D1727" s="1230" t="s">
        <v>1192</v>
      </c>
      <c r="E1727" s="1231"/>
      <c r="F1727" s="1231"/>
      <c r="G1727" s="1231"/>
      <c r="H1727" s="1231"/>
      <c r="I1727" s="1231"/>
      <c r="J1727" s="1231"/>
      <c r="K1727" s="1231"/>
      <c r="L1727" s="1232"/>
      <c r="M1727" s="54"/>
      <c r="N1727" s="54"/>
      <c r="T1727" s="10"/>
    </row>
    <row r="1728" spans="1:25" ht="30" customHeight="1" x14ac:dyDescent="0.25">
      <c r="A1728" s="1330" t="s">
        <v>314</v>
      </c>
      <c r="B1728" s="1331"/>
      <c r="C1728" s="1332"/>
      <c r="D1728" s="1230" t="s">
        <v>1193</v>
      </c>
      <c r="E1728" s="1231"/>
      <c r="F1728" s="1231"/>
      <c r="G1728" s="1231"/>
      <c r="H1728" s="1231"/>
      <c r="I1728" s="1231"/>
      <c r="J1728" s="1231"/>
      <c r="K1728" s="1231"/>
      <c r="L1728" s="1232"/>
      <c r="M1728" s="54"/>
      <c r="N1728" s="54"/>
      <c r="T1728" s="10"/>
      <c r="U1728" s="10"/>
    </row>
    <row r="1729" spans="1:25" ht="90" customHeight="1" x14ac:dyDescent="0.25">
      <c r="A1729" s="1330" t="s">
        <v>316</v>
      </c>
      <c r="B1729" s="1331"/>
      <c r="C1729" s="1332"/>
      <c r="D1729" s="1230" t="s">
        <v>1194</v>
      </c>
      <c r="E1729" s="1231"/>
      <c r="F1729" s="1231"/>
      <c r="G1729" s="1231"/>
      <c r="H1729" s="1231"/>
      <c r="I1729" s="1231"/>
      <c r="J1729" s="1231"/>
      <c r="K1729" s="1231"/>
      <c r="L1729" s="1232"/>
      <c r="M1729" s="54"/>
      <c r="N1729" s="54"/>
      <c r="O1729" s="543"/>
      <c r="P1729" s="344"/>
      <c r="Q1729" s="345"/>
      <c r="R1729" s="345"/>
      <c r="S1729" s="345"/>
      <c r="T1729" s="345"/>
      <c r="U1729" s="10"/>
    </row>
    <row r="1730" spans="1:25" ht="30" customHeight="1" x14ac:dyDescent="0.25">
      <c r="A1730" s="1330" t="s">
        <v>318</v>
      </c>
      <c r="B1730" s="1331"/>
      <c r="C1730" s="1332"/>
      <c r="D1730" s="1230" t="s">
        <v>1195</v>
      </c>
      <c r="E1730" s="1231"/>
      <c r="F1730" s="1231"/>
      <c r="G1730" s="1231"/>
      <c r="H1730" s="1231"/>
      <c r="I1730" s="1231"/>
      <c r="J1730" s="1231"/>
      <c r="K1730" s="1231"/>
      <c r="L1730" s="1232"/>
      <c r="M1730" s="54"/>
      <c r="N1730" s="54"/>
      <c r="U1730" s="345"/>
      <c r="V1730" s="345"/>
      <c r="W1730" s="345"/>
      <c r="X1730" s="345"/>
      <c r="Y1730" s="345"/>
    </row>
    <row r="1731" spans="1:25" s="345" customFormat="1" ht="30" customHeight="1" x14ac:dyDescent="0.25">
      <c r="A1731" s="1330" t="s">
        <v>320</v>
      </c>
      <c r="B1731" s="1331"/>
      <c r="C1731" s="1332"/>
      <c r="D1731" s="1230" t="s">
        <v>464</v>
      </c>
      <c r="E1731" s="1231"/>
      <c r="F1731" s="1231"/>
      <c r="G1731" s="1231"/>
      <c r="H1731" s="1231"/>
      <c r="I1731" s="1231"/>
      <c r="J1731" s="1231"/>
      <c r="K1731" s="1231"/>
      <c r="L1731" s="1232"/>
      <c r="M1731" s="54"/>
      <c r="N1731" s="54"/>
      <c r="O1731" s="334"/>
      <c r="P1731" s="340"/>
      <c r="Q1731" s="334"/>
      <c r="R1731" s="334"/>
      <c r="S1731" s="334"/>
      <c r="T1731" s="334"/>
      <c r="U1731" s="334"/>
      <c r="V1731" s="334"/>
      <c r="W1731" s="334"/>
      <c r="X1731" s="334"/>
      <c r="Y1731" s="334"/>
    </row>
    <row r="1732" spans="1:25" ht="30" customHeight="1" x14ac:dyDescent="0.25">
      <c r="A1732" s="1330" t="s">
        <v>559</v>
      </c>
      <c r="B1732" s="1331"/>
      <c r="C1732" s="1332"/>
      <c r="D1732" s="1206" t="s">
        <v>1121</v>
      </c>
      <c r="E1732" s="1207"/>
      <c r="F1732" s="1207"/>
      <c r="G1732" s="1207"/>
      <c r="H1732" s="1207"/>
      <c r="I1732" s="1207"/>
      <c r="J1732" s="1207"/>
      <c r="K1732" s="1207"/>
      <c r="L1732" s="1208"/>
      <c r="M1732" s="54"/>
      <c r="N1732" s="54"/>
      <c r="T1732" s="10"/>
    </row>
    <row r="1733" spans="1:25" ht="75" customHeight="1" thickBot="1" x14ac:dyDescent="0.3">
      <c r="A1733" s="1256" t="s">
        <v>350</v>
      </c>
      <c r="B1733" s="1257"/>
      <c r="C1733" s="1258"/>
      <c r="D1733" s="1291" t="s">
        <v>3382</v>
      </c>
      <c r="E1733" s="1292"/>
      <c r="F1733" s="1292"/>
      <c r="G1733" s="1292"/>
      <c r="H1733" s="1292"/>
      <c r="I1733" s="1292"/>
      <c r="J1733" s="1292"/>
      <c r="K1733" s="1292"/>
      <c r="L1733" s="1293"/>
      <c r="M1733" s="111"/>
      <c r="N1733" s="54"/>
      <c r="T1733" s="10"/>
      <c r="U1733" s="10"/>
    </row>
    <row r="1734" spans="1:25" ht="30" customHeight="1" thickBot="1" x14ac:dyDescent="0.3">
      <c r="A1734" s="1180"/>
      <c r="B1734" s="1181"/>
      <c r="C1734" s="1181"/>
      <c r="D1734" s="1181"/>
      <c r="E1734" s="1181"/>
      <c r="F1734" s="1181"/>
      <c r="G1734" s="1181"/>
      <c r="H1734" s="1181"/>
      <c r="I1734" s="1181"/>
      <c r="J1734" s="1181"/>
      <c r="K1734" s="1181"/>
      <c r="L1734" s="1182"/>
      <c r="M1734" s="54"/>
      <c r="N1734" s="54"/>
      <c r="O1734" s="543"/>
      <c r="P1734" s="344"/>
      <c r="Q1734" s="345"/>
      <c r="R1734" s="345"/>
      <c r="S1734" s="345"/>
      <c r="T1734" s="345"/>
      <c r="U1734" s="10"/>
    </row>
    <row r="1735" spans="1:25" ht="30" customHeight="1" x14ac:dyDescent="0.25">
      <c r="A1735" s="327" t="s">
        <v>5</v>
      </c>
      <c r="B1735" s="328">
        <v>2131</v>
      </c>
      <c r="C1735" s="1218" t="s">
        <v>1196</v>
      </c>
      <c r="D1735" s="1219"/>
      <c r="E1735" s="331" t="s">
        <v>8</v>
      </c>
      <c r="F1735" s="332" t="s">
        <v>205</v>
      </c>
      <c r="G1735" s="342" t="s">
        <v>74</v>
      </c>
      <c r="H1735" s="267">
        <v>82690</v>
      </c>
      <c r="I1735" s="331" t="s">
        <v>10</v>
      </c>
      <c r="J1735" s="1220" t="s">
        <v>1197</v>
      </c>
      <c r="K1735" s="1220"/>
      <c r="L1735" s="1221"/>
      <c r="M1735" s="111"/>
      <c r="N1735" s="54"/>
      <c r="U1735" s="345"/>
      <c r="V1735" s="345"/>
      <c r="W1735" s="345"/>
      <c r="X1735" s="345"/>
      <c r="Y1735" s="345"/>
    </row>
    <row r="1736" spans="1:25" s="345" customFormat="1" ht="30" customHeight="1" x14ac:dyDescent="0.25">
      <c r="A1736" s="356"/>
      <c r="B1736" s="1163" t="s">
        <v>13</v>
      </c>
      <c r="C1736" s="1163"/>
      <c r="D1736" s="1163"/>
      <c r="E1736" s="356" t="s">
        <v>576</v>
      </c>
      <c r="F1736" s="356" t="s">
        <v>15</v>
      </c>
      <c r="G1736" s="366"/>
      <c r="H1736" s="356"/>
      <c r="I1736" s="1276" t="s">
        <v>284</v>
      </c>
      <c r="J1736" s="1277"/>
      <c r="K1736" s="1236" t="s">
        <v>285</v>
      </c>
      <c r="L1736" s="1237"/>
      <c r="M1736" s="54"/>
      <c r="N1736" s="54"/>
      <c r="O1736" s="340"/>
      <c r="P1736" s="340"/>
      <c r="Q1736" s="334"/>
      <c r="R1736" s="334"/>
      <c r="S1736" s="334"/>
      <c r="T1736" s="334"/>
      <c r="U1736" s="334"/>
      <c r="V1736" s="334"/>
      <c r="W1736" s="334"/>
      <c r="X1736" s="334"/>
      <c r="Y1736" s="334"/>
    </row>
    <row r="1737" spans="1:25" ht="30" customHeight="1" x14ac:dyDescent="0.25">
      <c r="A1737" s="360"/>
      <c r="B1737" s="1164" t="s">
        <v>1198</v>
      </c>
      <c r="C1737" s="1164"/>
      <c r="D1737" s="1164"/>
      <c r="E1737" s="363">
        <v>1197.03</v>
      </c>
      <c r="F1737" s="360" t="s">
        <v>205</v>
      </c>
      <c r="H1737" s="732"/>
      <c r="I1737" s="1302">
        <f>+'2022 MILCON Inflation Table'!F7</f>
        <v>1.5288397638699995</v>
      </c>
      <c r="J1737" s="1303"/>
      <c r="K1737" s="363">
        <f>+E1737*I1737</f>
        <v>1830.0670625453056</v>
      </c>
      <c r="L1737" s="360" t="s">
        <v>205</v>
      </c>
      <c r="M1737" s="54"/>
      <c r="N1737" s="54"/>
      <c r="T1737" s="10"/>
    </row>
    <row r="1738" spans="1:25" ht="30" customHeight="1" x14ac:dyDescent="0.25">
      <c r="A1738" s="365"/>
      <c r="B1738" s="1281"/>
      <c r="C1738" s="1281"/>
      <c r="D1738" s="1281"/>
      <c r="E1738" s="366"/>
      <c r="F1738" s="366"/>
      <c r="G1738" s="366"/>
      <c r="H1738" s="366"/>
      <c r="I1738" s="366"/>
      <c r="J1738" s="365" t="s">
        <v>72</v>
      </c>
      <c r="K1738" s="243">
        <f>+K1737</f>
        <v>1830.0670625453056</v>
      </c>
      <c r="L1738" s="365" t="s">
        <v>205</v>
      </c>
      <c r="M1738" s="54"/>
      <c r="N1738" s="54"/>
      <c r="T1738" s="10"/>
      <c r="U1738" s="10"/>
    </row>
    <row r="1739" spans="1:25" ht="30" customHeight="1" x14ac:dyDescent="0.25">
      <c r="A1739" s="365"/>
      <c r="B1739" s="1209" t="s">
        <v>1199</v>
      </c>
      <c r="C1739" s="1210"/>
      <c r="D1739" s="1210"/>
      <c r="E1739" s="587"/>
      <c r="F1739" s="587"/>
      <c r="G1739" s="1547" t="s">
        <v>1200</v>
      </c>
      <c r="H1739" s="1547"/>
      <c r="I1739" s="1547"/>
      <c r="J1739" s="521">
        <f>VLOOKUP(B1735,'Mil Cost Premiums for PUCs'!$A$4:$R$277,18,FALSE)</f>
        <v>1.1503866704650523</v>
      </c>
      <c r="K1739" s="268">
        <f>+K1738*J1739</f>
        <v>2105.2847548092527</v>
      </c>
      <c r="L1739" s="365" t="s">
        <v>205</v>
      </c>
      <c r="M1739" s="54"/>
      <c r="N1739" s="54"/>
      <c r="O1739" s="543"/>
      <c r="P1739" s="344"/>
      <c r="Q1739" s="345"/>
      <c r="R1739" s="345"/>
      <c r="S1739" s="345"/>
      <c r="T1739" s="345"/>
      <c r="U1739" s="10"/>
    </row>
    <row r="1740" spans="1:25" ht="30" customHeight="1" x14ac:dyDescent="0.25">
      <c r="A1740" s="1352" t="s">
        <v>1201</v>
      </c>
      <c r="B1740" s="1353"/>
      <c r="C1740" s="1353"/>
      <c r="D1740" s="1353"/>
      <c r="E1740" s="1353"/>
      <c r="F1740" s="1353"/>
      <c r="G1740" s="1353"/>
      <c r="H1740" s="1353"/>
      <c r="I1740" s="1353"/>
      <c r="J1740" s="1353"/>
      <c r="K1740" s="1353"/>
      <c r="L1740" s="1354"/>
      <c r="M1740" s="54"/>
      <c r="N1740" s="54"/>
      <c r="O1740" s="10"/>
      <c r="P1740" s="334"/>
      <c r="Q1740" s="335"/>
      <c r="R1740" s="336"/>
      <c r="S1740" s="337"/>
      <c r="U1740" s="345"/>
      <c r="V1740" s="345"/>
      <c r="W1740" s="345"/>
      <c r="X1740" s="345"/>
      <c r="Y1740" s="345"/>
    </row>
    <row r="1741" spans="1:25" s="345" customFormat="1" ht="30" customHeight="1" x14ac:dyDescent="0.25">
      <c r="A1741" s="1381"/>
      <c r="B1741" s="1382"/>
      <c r="C1741" s="1382"/>
      <c r="D1741" s="1382"/>
      <c r="E1741" s="1382"/>
      <c r="F1741" s="1382"/>
      <c r="G1741" s="1382"/>
      <c r="H1741" s="1382"/>
      <c r="I1741" s="1382"/>
      <c r="J1741" s="1382"/>
      <c r="K1741" s="1382"/>
      <c r="L1741" s="1383"/>
      <c r="M1741" s="54"/>
      <c r="N1741" s="54"/>
      <c r="O1741" s="336"/>
      <c r="P1741" s="334"/>
      <c r="Q1741" s="335"/>
      <c r="R1741" s="336"/>
      <c r="S1741" s="337"/>
      <c r="T1741" s="334"/>
      <c r="U1741" s="334"/>
      <c r="V1741" s="334"/>
      <c r="W1741" s="334"/>
      <c r="X1741" s="334"/>
      <c r="Y1741" s="334"/>
    </row>
    <row r="1742" spans="1:25" ht="30" customHeight="1" thickBot="1" x14ac:dyDescent="0.3">
      <c r="A1742" s="1384"/>
      <c r="B1742" s="1385"/>
      <c r="C1742" s="1385"/>
      <c r="D1742" s="1385"/>
      <c r="E1742" s="1385"/>
      <c r="F1742" s="1385"/>
      <c r="G1742" s="1385"/>
      <c r="H1742" s="1385"/>
      <c r="I1742" s="1385"/>
      <c r="J1742" s="1385"/>
      <c r="K1742" s="1385"/>
      <c r="L1742" s="1386"/>
      <c r="M1742" s="54"/>
      <c r="N1742" s="54"/>
    </row>
    <row r="1743" spans="1:25" ht="30" customHeight="1" thickBot="1" x14ac:dyDescent="0.3">
      <c r="A1743" s="1180"/>
      <c r="B1743" s="1181"/>
      <c r="C1743" s="1181"/>
      <c r="D1743" s="1181"/>
      <c r="E1743" s="1181"/>
      <c r="F1743" s="1181"/>
      <c r="G1743" s="1181"/>
      <c r="H1743" s="1181"/>
      <c r="I1743" s="1181"/>
      <c r="J1743" s="1181"/>
      <c r="K1743" s="1181"/>
      <c r="L1743" s="1182"/>
      <c r="M1743" s="54"/>
      <c r="N1743" s="54"/>
    </row>
    <row r="1744" spans="1:25" ht="30" customHeight="1" x14ac:dyDescent="0.25">
      <c r="A1744" s="327" t="s">
        <v>5</v>
      </c>
      <c r="B1744" s="328">
        <v>2132</v>
      </c>
      <c r="C1744" s="1218" t="s">
        <v>1202</v>
      </c>
      <c r="D1744" s="1219"/>
      <c r="E1744" s="331" t="s">
        <v>8</v>
      </c>
      <c r="F1744" s="332" t="s">
        <v>76</v>
      </c>
      <c r="G1744" s="342" t="s">
        <v>74</v>
      </c>
      <c r="H1744" s="160">
        <v>1</v>
      </c>
      <c r="I1744" s="331" t="s">
        <v>10</v>
      </c>
      <c r="J1744" s="1220" t="s">
        <v>1203</v>
      </c>
      <c r="K1744" s="1220"/>
      <c r="L1744" s="1221"/>
      <c r="M1744" s="112"/>
      <c r="N1744" s="54"/>
      <c r="T1744" s="10"/>
    </row>
    <row r="1745" spans="1:25" ht="30" customHeight="1" x14ac:dyDescent="0.25">
      <c r="A1745" s="356"/>
      <c r="B1745" s="1249" t="s">
        <v>468</v>
      </c>
      <c r="C1745" s="1249"/>
      <c r="D1745" s="1249"/>
      <c r="E1745" s="356" t="s">
        <v>116</v>
      </c>
      <c r="F1745" s="356" t="s">
        <v>117</v>
      </c>
      <c r="G1745" s="1194" t="s">
        <v>118</v>
      </c>
      <c r="H1745" s="1195"/>
      <c r="I1745" s="356" t="s">
        <v>119</v>
      </c>
      <c r="J1745" s="356" t="s">
        <v>120</v>
      </c>
      <c r="K1745" s="1236" t="s">
        <v>72</v>
      </c>
      <c r="L1745" s="1237"/>
      <c r="M1745" s="54"/>
      <c r="N1745" s="54"/>
      <c r="T1745" s="10"/>
      <c r="U1745" s="10"/>
    </row>
    <row r="1746" spans="1:25" ht="30" customHeight="1" thickBot="1" x14ac:dyDescent="0.3">
      <c r="A1746" s="360"/>
      <c r="B1746" s="1179">
        <v>15572.53</v>
      </c>
      <c r="C1746" s="1179"/>
      <c r="D1746" s="1179"/>
      <c r="E1746" s="485"/>
      <c r="F1746" s="486"/>
      <c r="G1746" s="1183"/>
      <c r="H1746" s="1184"/>
      <c r="I1746" s="486"/>
      <c r="J1746" s="487">
        <v>1.0833999999999999</v>
      </c>
      <c r="K1746" s="488">
        <f>B1746*J1746</f>
        <v>16871.279001999999</v>
      </c>
      <c r="L1746" s="486" t="s">
        <v>76</v>
      </c>
      <c r="M1746" s="54"/>
      <c r="N1746" s="54"/>
      <c r="O1746" s="543"/>
      <c r="P1746" s="344"/>
      <c r="Q1746" s="345"/>
      <c r="R1746" s="345"/>
      <c r="S1746" s="345"/>
      <c r="T1746" s="345"/>
      <c r="U1746" s="10"/>
    </row>
    <row r="1747" spans="1:25" ht="30" customHeight="1" thickBot="1" x14ac:dyDescent="0.3">
      <c r="A1747" s="1180"/>
      <c r="B1747" s="1181"/>
      <c r="C1747" s="1181"/>
      <c r="D1747" s="1181"/>
      <c r="E1747" s="1181"/>
      <c r="F1747" s="1181"/>
      <c r="G1747" s="1181"/>
      <c r="H1747" s="1181"/>
      <c r="I1747" s="1181"/>
      <c r="J1747" s="1181"/>
      <c r="K1747" s="1181"/>
      <c r="L1747" s="1182"/>
      <c r="M1747" s="54"/>
      <c r="N1747" s="54"/>
      <c r="U1747" s="345"/>
      <c r="V1747" s="345"/>
      <c r="W1747" s="345"/>
      <c r="X1747" s="345"/>
      <c r="Y1747" s="345"/>
    </row>
    <row r="1748" spans="1:25" s="345" customFormat="1" ht="30" customHeight="1" x14ac:dyDescent="0.25">
      <c r="A1748" s="327" t="s">
        <v>5</v>
      </c>
      <c r="B1748" s="328">
        <v>2133</v>
      </c>
      <c r="C1748" s="1218" t="s">
        <v>1204</v>
      </c>
      <c r="D1748" s="1219"/>
      <c r="E1748" s="331" t="s">
        <v>8</v>
      </c>
      <c r="F1748" s="332" t="s">
        <v>205</v>
      </c>
      <c r="G1748" s="342" t="s">
        <v>74</v>
      </c>
      <c r="H1748" s="248">
        <v>15620</v>
      </c>
      <c r="I1748" s="331" t="s">
        <v>10</v>
      </c>
      <c r="J1748" s="1220" t="s">
        <v>1205</v>
      </c>
      <c r="K1748" s="1220"/>
      <c r="L1748" s="1221"/>
      <c r="M1748" s="54"/>
      <c r="N1748" s="54"/>
      <c r="O1748" s="334"/>
      <c r="P1748" s="340"/>
      <c r="Q1748" s="334"/>
      <c r="R1748" s="334"/>
      <c r="S1748" s="334"/>
      <c r="T1748" s="334"/>
      <c r="U1748" s="334"/>
      <c r="V1748" s="334"/>
      <c r="W1748" s="334"/>
      <c r="X1748" s="334"/>
      <c r="Y1748" s="334"/>
    </row>
    <row r="1749" spans="1:25" ht="30" customHeight="1" x14ac:dyDescent="0.25">
      <c r="A1749" s="356" t="s">
        <v>282</v>
      </c>
      <c r="B1749" s="1163" t="s">
        <v>13</v>
      </c>
      <c r="C1749" s="1163"/>
      <c r="D1749" s="1163"/>
      <c r="E1749" s="357" t="s">
        <v>283</v>
      </c>
      <c r="F1749" s="546" t="s">
        <v>116</v>
      </c>
      <c r="G1749" s="356"/>
      <c r="H1749" s="356"/>
      <c r="I1749" s="1276" t="s">
        <v>284</v>
      </c>
      <c r="J1749" s="1277"/>
      <c r="K1749" s="1236" t="s">
        <v>285</v>
      </c>
      <c r="L1749" s="1237"/>
      <c r="M1749" s="54"/>
      <c r="O1749" s="336"/>
      <c r="P1749" s="334"/>
      <c r="Q1749" s="335"/>
      <c r="R1749" s="336"/>
      <c r="S1749" s="337"/>
    </row>
    <row r="1750" spans="1:25" ht="30" customHeight="1" x14ac:dyDescent="0.25">
      <c r="A1750" s="367" t="s">
        <v>286</v>
      </c>
      <c r="B1750" s="1164" t="s">
        <v>1206</v>
      </c>
      <c r="C1750" s="1164"/>
      <c r="D1750" s="1164"/>
      <c r="E1750" s="547">
        <v>25000</v>
      </c>
      <c r="F1750" s="240">
        <v>259</v>
      </c>
      <c r="G1750" s="548"/>
      <c r="H1750" s="549"/>
      <c r="I1750" s="1302">
        <f>'2022 MILCON Inflation Table'!F17</f>
        <v>1.0833841548808889</v>
      </c>
      <c r="J1750" s="1303"/>
      <c r="K1750" s="240">
        <f>F1750*I1750</f>
        <v>280.59649611415023</v>
      </c>
      <c r="L1750" s="367" t="s">
        <v>205</v>
      </c>
      <c r="M1750" s="54"/>
      <c r="N1750" s="54"/>
      <c r="O1750" s="543"/>
      <c r="P1750" s="344"/>
      <c r="Q1750" s="345"/>
      <c r="R1750" s="345"/>
      <c r="S1750" s="345"/>
      <c r="T1750" s="345"/>
    </row>
    <row r="1751" spans="1:25" ht="30" customHeight="1" thickBot="1" x14ac:dyDescent="0.3">
      <c r="A1751" s="365"/>
      <c r="B1751" s="1281"/>
      <c r="C1751" s="1281"/>
      <c r="D1751" s="1281"/>
      <c r="E1751" s="550"/>
      <c r="F1751" s="551"/>
      <c r="G1751" s="551"/>
      <c r="H1751" s="552"/>
      <c r="I1751" s="366"/>
      <c r="J1751" s="359" t="s">
        <v>72</v>
      </c>
      <c r="K1751" s="246">
        <f>+K1750</f>
        <v>280.59649611415023</v>
      </c>
      <c r="L1751" s="365" t="s">
        <v>205</v>
      </c>
      <c r="M1751" s="54"/>
      <c r="N1751" s="54"/>
      <c r="O1751" s="543"/>
      <c r="P1751" s="344"/>
      <c r="Q1751" s="345"/>
      <c r="R1751" s="345"/>
      <c r="S1751" s="345"/>
      <c r="T1751" s="345"/>
      <c r="U1751" s="345"/>
    </row>
    <row r="1752" spans="1:25" ht="30" customHeight="1" thickBot="1" x14ac:dyDescent="0.3">
      <c r="A1752" s="1180"/>
      <c r="B1752" s="1181"/>
      <c r="C1752" s="1181"/>
      <c r="D1752" s="1181"/>
      <c r="E1752" s="1181"/>
      <c r="F1752" s="1181"/>
      <c r="G1752" s="1181"/>
      <c r="H1752" s="1181"/>
      <c r="I1752" s="1181"/>
      <c r="J1752" s="1181"/>
      <c r="K1752" s="1181"/>
      <c r="L1752" s="1182"/>
      <c r="M1752" s="54"/>
      <c r="N1752" s="111"/>
      <c r="U1752" s="345"/>
    </row>
    <row r="1753" spans="1:25" ht="30" customHeight="1" x14ac:dyDescent="0.25">
      <c r="A1753" s="349" t="s">
        <v>5</v>
      </c>
      <c r="B1753" s="350">
        <v>2134</v>
      </c>
      <c r="C1753" s="1470" t="s">
        <v>1207</v>
      </c>
      <c r="D1753" s="1471"/>
      <c r="E1753" s="351" t="s">
        <v>8</v>
      </c>
      <c r="F1753" s="352" t="s">
        <v>205</v>
      </c>
      <c r="G1753" s="353" t="s">
        <v>74</v>
      </c>
      <c r="H1753" s="813">
        <v>14807</v>
      </c>
      <c r="I1753" s="822" t="s">
        <v>10</v>
      </c>
      <c r="J1753" s="1220" t="s">
        <v>3388</v>
      </c>
      <c r="K1753" s="1220"/>
      <c r="L1753" s="1221"/>
      <c r="M1753" s="54"/>
      <c r="N1753" s="54"/>
      <c r="V1753" s="345"/>
      <c r="W1753" s="345"/>
      <c r="X1753" s="345"/>
      <c r="Y1753" s="345"/>
    </row>
    <row r="1754" spans="1:25" s="345" customFormat="1" ht="30" customHeight="1" x14ac:dyDescent="0.25">
      <c r="A1754" s="359" t="s">
        <v>295</v>
      </c>
      <c r="B1754" s="657" t="s">
        <v>326</v>
      </c>
      <c r="C1754" s="658"/>
      <c r="D1754" s="659"/>
      <c r="E1754" s="577" t="s">
        <v>116</v>
      </c>
      <c r="F1754" s="577" t="s">
        <v>117</v>
      </c>
      <c r="G1754" s="1236" t="s">
        <v>118</v>
      </c>
      <c r="H1754" s="1237"/>
      <c r="I1754" s="356" t="s">
        <v>1134</v>
      </c>
      <c r="J1754" s="356" t="s">
        <v>296</v>
      </c>
      <c r="K1754" s="1236" t="s">
        <v>285</v>
      </c>
      <c r="L1754" s="1237"/>
      <c r="M1754" s="54"/>
      <c r="N1754" s="54"/>
      <c r="O1754" s="334"/>
      <c r="P1754" s="340"/>
      <c r="Q1754" s="334"/>
      <c r="R1754" s="334"/>
      <c r="S1754" s="334"/>
      <c r="T1754" s="10"/>
      <c r="U1754" s="334"/>
      <c r="V1754" s="334"/>
      <c r="W1754" s="334"/>
      <c r="X1754" s="334"/>
      <c r="Y1754" s="334"/>
    </row>
    <row r="1755" spans="1:25" ht="30" customHeight="1" x14ac:dyDescent="0.25">
      <c r="A1755" s="365" t="s">
        <v>1135</v>
      </c>
      <c r="B1755" s="1209" t="s">
        <v>1208</v>
      </c>
      <c r="C1755" s="1210"/>
      <c r="D1755" s="1211"/>
      <c r="E1755" s="265">
        <v>155</v>
      </c>
      <c r="F1755" s="365" t="s">
        <v>205</v>
      </c>
      <c r="G1755" s="365"/>
      <c r="H1755" s="365"/>
      <c r="I1755" s="247">
        <f>+E1755</f>
        <v>155</v>
      </c>
      <c r="J1755" s="365">
        <v>1.05</v>
      </c>
      <c r="K1755" s="663">
        <f>+I1755*J1755</f>
        <v>162.75</v>
      </c>
      <c r="L1755" s="664" t="s">
        <v>205</v>
      </c>
      <c r="M1755" s="54"/>
      <c r="N1755" s="54"/>
      <c r="O1755" s="543"/>
      <c r="P1755" s="344"/>
      <c r="Q1755" s="345"/>
      <c r="R1755" s="345"/>
      <c r="S1755" s="345"/>
      <c r="T1755" s="345"/>
      <c r="U1755" s="10"/>
    </row>
    <row r="1756" spans="1:25" ht="30" customHeight="1" x14ac:dyDescent="0.25">
      <c r="A1756" s="365" t="s">
        <v>406</v>
      </c>
      <c r="B1756" s="1209" t="s">
        <v>1209</v>
      </c>
      <c r="C1756" s="1210"/>
      <c r="D1756" s="1211"/>
      <c r="E1756" s="229">
        <v>4.08</v>
      </c>
      <c r="F1756" s="365" t="s">
        <v>205</v>
      </c>
      <c r="G1756" s="366"/>
      <c r="H1756" s="662"/>
      <c r="I1756" s="247">
        <f>+E1756</f>
        <v>4.08</v>
      </c>
      <c r="J1756" s="365">
        <v>1.05</v>
      </c>
      <c r="K1756" s="663">
        <f>+I1756*J1756</f>
        <v>4.2840000000000007</v>
      </c>
      <c r="L1756" s="664" t="s">
        <v>205</v>
      </c>
      <c r="M1756" s="54"/>
      <c r="N1756" s="54"/>
      <c r="O1756" s="543"/>
      <c r="P1756" s="344"/>
      <c r="Q1756" s="345"/>
      <c r="R1756" s="345"/>
      <c r="S1756" s="345"/>
      <c r="T1756" s="345"/>
      <c r="U1756" s="345"/>
    </row>
    <row r="1757" spans="1:25" ht="30" customHeight="1" x14ac:dyDescent="0.25">
      <c r="A1757" s="365" t="s">
        <v>520</v>
      </c>
      <c r="B1757" s="1209" t="s">
        <v>1210</v>
      </c>
      <c r="C1757" s="1210"/>
      <c r="D1757" s="1211"/>
      <c r="E1757" s="265">
        <v>177000</v>
      </c>
      <c r="F1757" s="661" t="s">
        <v>76</v>
      </c>
      <c r="G1757" s="805">
        <f>+H1753</f>
        <v>14807</v>
      </c>
      <c r="H1757" s="662" t="s">
        <v>1140</v>
      </c>
      <c r="I1757" s="247">
        <f>+E1757/G1757</f>
        <v>11.953805632471129</v>
      </c>
      <c r="J1757" s="706">
        <v>1.02</v>
      </c>
      <c r="K1757" s="663">
        <f>+I1757*J1757</f>
        <v>12.192881745120552</v>
      </c>
      <c r="L1757" s="664" t="s">
        <v>205</v>
      </c>
      <c r="M1757" s="54"/>
      <c r="N1757" s="54"/>
      <c r="U1757" s="345"/>
    </row>
    <row r="1758" spans="1:25" ht="30" customHeight="1" x14ac:dyDescent="0.25">
      <c r="A1758" s="365" t="s">
        <v>436</v>
      </c>
      <c r="B1758" s="1209" t="s">
        <v>1211</v>
      </c>
      <c r="C1758" s="1210"/>
      <c r="D1758" s="1211"/>
      <c r="E1758" s="211">
        <v>42.25</v>
      </c>
      <c r="F1758" s="661" t="s">
        <v>205</v>
      </c>
      <c r="G1758" s="366">
        <v>288</v>
      </c>
      <c r="H1758" s="662" t="s">
        <v>437</v>
      </c>
      <c r="I1758" s="247">
        <f>+E1758*G1758/H1753</f>
        <v>0.8217734855136084</v>
      </c>
      <c r="J1758" s="365">
        <v>1.05</v>
      </c>
      <c r="K1758" s="663">
        <f>+I1758*J1758</f>
        <v>0.86286215978928882</v>
      </c>
      <c r="L1758" s="664" t="s">
        <v>205</v>
      </c>
      <c r="M1758" s="54"/>
      <c r="N1758" s="54"/>
      <c r="V1758" s="345"/>
      <c r="W1758" s="345"/>
      <c r="X1758" s="345"/>
      <c r="Y1758" s="345"/>
    </row>
    <row r="1759" spans="1:25" s="345" customFormat="1" ht="30" customHeight="1" x14ac:dyDescent="0.25">
      <c r="A1759" s="365"/>
      <c r="B1759" s="738"/>
      <c r="C1759" s="591"/>
      <c r="D1759" s="589"/>
      <c r="E1759" s="247"/>
      <c r="F1759" s="366"/>
      <c r="G1759" s="662"/>
      <c r="H1759" s="365"/>
      <c r="I1759" s="365"/>
      <c r="J1759" s="247" t="s">
        <v>408</v>
      </c>
      <c r="K1759" s="663">
        <f>SUM(K1755:K1758)</f>
        <v>180.08974390490985</v>
      </c>
      <c r="L1759" s="664" t="s">
        <v>205</v>
      </c>
      <c r="M1759" s="54"/>
      <c r="N1759" s="54"/>
      <c r="O1759" s="334"/>
      <c r="P1759" s="340"/>
      <c r="Q1759" s="334"/>
      <c r="R1759" s="334"/>
      <c r="S1759" s="334"/>
      <c r="T1759" s="10"/>
      <c r="U1759" s="334"/>
      <c r="V1759" s="334"/>
      <c r="W1759" s="334"/>
      <c r="X1759" s="334"/>
      <c r="Y1759" s="334"/>
    </row>
    <row r="1760" spans="1:25" ht="30" customHeight="1" x14ac:dyDescent="0.25">
      <c r="A1760" s="365"/>
      <c r="B1760" s="578"/>
      <c r="C1760" s="578"/>
      <c r="D1760" s="578"/>
      <c r="E1760" s="578"/>
      <c r="F1760" s="1272" t="s">
        <v>303</v>
      </c>
      <c r="G1760" s="1283" t="s">
        <v>304</v>
      </c>
      <c r="H1760" s="1283"/>
      <c r="I1760" s="1283"/>
      <c r="J1760" s="1283"/>
      <c r="K1760" s="250">
        <v>1.1000000000000001</v>
      </c>
      <c r="L1760" s="365"/>
      <c r="M1760" s="54"/>
      <c r="N1760" s="54"/>
      <c r="T1760" s="10"/>
      <c r="U1760" s="10"/>
    </row>
    <row r="1761" spans="1:25" ht="30" customHeight="1" x14ac:dyDescent="0.25">
      <c r="A1761" s="365"/>
      <c r="B1761" s="578"/>
      <c r="C1761" s="578"/>
      <c r="D1761" s="578"/>
      <c r="E1761" s="578"/>
      <c r="F1761" s="1273"/>
      <c r="G1761" s="1284" t="s">
        <v>438</v>
      </c>
      <c r="H1761" s="1284"/>
      <c r="I1761" s="1284"/>
      <c r="J1761" s="1284"/>
      <c r="K1761" s="250">
        <v>1.08</v>
      </c>
      <c r="L1761" s="365"/>
      <c r="M1761" s="54"/>
      <c r="N1761" s="54"/>
      <c r="T1761" s="10"/>
      <c r="U1761" s="10"/>
    </row>
    <row r="1762" spans="1:25" ht="30" customHeight="1" x14ac:dyDescent="0.25">
      <c r="A1762" s="365"/>
      <c r="B1762" s="1398"/>
      <c r="C1762" s="1399"/>
      <c r="D1762" s="1400"/>
      <c r="E1762" s="366"/>
      <c r="F1762" s="366"/>
      <c r="G1762" s="366"/>
      <c r="H1762" s="366"/>
      <c r="I1762" s="366"/>
      <c r="J1762" s="246" t="s">
        <v>72</v>
      </c>
      <c r="K1762" s="663">
        <f>+K1759*K1760/K1761</f>
        <v>183.4247391624082</v>
      </c>
      <c r="L1762" s="664" t="s">
        <v>205</v>
      </c>
      <c r="M1762" s="54"/>
      <c r="N1762" s="54"/>
      <c r="T1762" s="10"/>
      <c r="U1762" s="10"/>
    </row>
    <row r="1763" spans="1:25" ht="30" customHeight="1" x14ac:dyDescent="0.25">
      <c r="A1763" s="661"/>
      <c r="B1763" s="697"/>
      <c r="C1763" s="587"/>
      <c r="D1763" s="587"/>
      <c r="E1763" s="587"/>
      <c r="F1763" s="366"/>
      <c r="G1763" s="823"/>
      <c r="H1763" s="823"/>
      <c r="I1763" s="814" t="s">
        <v>414</v>
      </c>
      <c r="J1763" s="521">
        <f>VLOOKUP(B1753,'Mil Cost Premiums for PUCs'!$A$4:$R$277,18,FALSE)</f>
        <v>1.12897214704308</v>
      </c>
      <c r="K1763" s="651">
        <f>+K1762*J1763</f>
        <v>207.0814215930009</v>
      </c>
      <c r="L1763" s="664" t="s">
        <v>205</v>
      </c>
      <c r="M1763" s="54"/>
      <c r="N1763" s="54"/>
      <c r="O1763" s="543"/>
      <c r="P1763" s="344"/>
      <c r="Q1763" s="345"/>
      <c r="R1763" s="345"/>
      <c r="S1763" s="345"/>
      <c r="T1763" s="345"/>
      <c r="U1763" s="10"/>
    </row>
    <row r="1764" spans="1:25" ht="30" customHeight="1" x14ac:dyDescent="0.25">
      <c r="A1764" s="365"/>
      <c r="B1764" s="365"/>
      <c r="C1764" s="366"/>
      <c r="D1764" s="366"/>
      <c r="E1764" s="366"/>
      <c r="F1764" s="1212" t="s">
        <v>1148</v>
      </c>
      <c r="G1764" s="1213"/>
      <c r="H1764" s="1213"/>
      <c r="I1764" s="1213"/>
      <c r="J1764" s="521">
        <v>1.0833999999999999</v>
      </c>
      <c r="K1764" s="544">
        <f>K1763*J1764</f>
        <v>224.35201215385715</v>
      </c>
      <c r="L1764" s="365" t="s">
        <v>205</v>
      </c>
      <c r="N1764" s="54"/>
      <c r="U1764" s="345"/>
      <c r="V1764" s="345"/>
      <c r="W1764" s="345"/>
      <c r="X1764" s="345"/>
      <c r="Y1764" s="345"/>
    </row>
    <row r="1765" spans="1:25" s="345" customFormat="1" ht="60" customHeight="1" x14ac:dyDescent="0.25">
      <c r="A1765" s="1230" t="s">
        <v>307</v>
      </c>
      <c r="B1765" s="1231"/>
      <c r="C1765" s="1231"/>
      <c r="D1765" s="1231"/>
      <c r="E1765" s="1231"/>
      <c r="F1765" s="1231"/>
      <c r="G1765" s="1231"/>
      <c r="H1765" s="1231"/>
      <c r="I1765" s="1231"/>
      <c r="J1765" s="1231"/>
      <c r="K1765" s="1231"/>
      <c r="L1765" s="1232"/>
      <c r="M1765" s="54"/>
      <c r="N1765" s="54"/>
      <c r="O1765" s="340"/>
      <c r="P1765" s="340"/>
      <c r="Q1765" s="334"/>
      <c r="R1765" s="334"/>
      <c r="S1765" s="334"/>
      <c r="T1765" s="334"/>
      <c r="U1765" s="334"/>
      <c r="V1765" s="334"/>
      <c r="W1765" s="334"/>
      <c r="X1765" s="334"/>
      <c r="Y1765" s="334"/>
    </row>
    <row r="1766" spans="1:25" ht="30" customHeight="1" x14ac:dyDescent="0.25">
      <c r="A1766" s="1224" t="s">
        <v>308</v>
      </c>
      <c r="B1766" s="1225"/>
      <c r="C1766" s="1226"/>
      <c r="D1766" s="1230" t="s">
        <v>1212</v>
      </c>
      <c r="E1766" s="1231"/>
      <c r="F1766" s="1231"/>
      <c r="G1766" s="1231"/>
      <c r="H1766" s="1231"/>
      <c r="I1766" s="1231"/>
      <c r="J1766" s="1231"/>
      <c r="K1766" s="1231"/>
      <c r="L1766" s="1232"/>
      <c r="M1766" s="54"/>
      <c r="N1766" s="54"/>
      <c r="O1766" s="336"/>
      <c r="P1766" s="334"/>
      <c r="Q1766" s="335"/>
      <c r="R1766" s="336"/>
      <c r="S1766" s="337"/>
    </row>
    <row r="1767" spans="1:25" ht="30" customHeight="1" x14ac:dyDescent="0.25">
      <c r="A1767" s="1224" t="s">
        <v>310</v>
      </c>
      <c r="B1767" s="1225"/>
      <c r="C1767" s="1226"/>
      <c r="D1767" s="1230" t="s">
        <v>1213</v>
      </c>
      <c r="E1767" s="1231"/>
      <c r="F1767" s="1231"/>
      <c r="G1767" s="1231"/>
      <c r="H1767" s="1231"/>
      <c r="I1767" s="1231"/>
      <c r="J1767" s="1231"/>
      <c r="K1767" s="1231"/>
      <c r="L1767" s="1232"/>
      <c r="M1767" s="111"/>
      <c r="N1767" s="54"/>
      <c r="P1767" s="784"/>
      <c r="Q1767" s="336"/>
    </row>
    <row r="1768" spans="1:25" ht="30" customHeight="1" x14ac:dyDescent="0.25">
      <c r="A1768" s="1224" t="s">
        <v>312</v>
      </c>
      <c r="B1768" s="1225"/>
      <c r="C1768" s="1226"/>
      <c r="D1768" s="1230" t="s">
        <v>1214</v>
      </c>
      <c r="E1768" s="1231"/>
      <c r="F1768" s="1231"/>
      <c r="G1768" s="1231"/>
      <c r="H1768" s="1231"/>
      <c r="I1768" s="1231"/>
      <c r="J1768" s="1231"/>
      <c r="K1768" s="1231"/>
      <c r="L1768" s="1232"/>
      <c r="M1768" s="54"/>
      <c r="N1768" s="54"/>
      <c r="O1768" s="345"/>
      <c r="P1768" s="798"/>
      <c r="Q1768" s="469"/>
      <c r="R1768" s="345"/>
      <c r="S1768" s="345"/>
      <c r="T1768" s="345"/>
      <c r="U1768" s="337"/>
    </row>
    <row r="1769" spans="1:25" ht="30" customHeight="1" x14ac:dyDescent="0.25">
      <c r="A1769" s="1224" t="s">
        <v>314</v>
      </c>
      <c r="B1769" s="1225"/>
      <c r="C1769" s="1226"/>
      <c r="D1769" s="1230" t="s">
        <v>1215</v>
      </c>
      <c r="E1769" s="1231"/>
      <c r="F1769" s="1231"/>
      <c r="G1769" s="1231"/>
      <c r="H1769" s="1231"/>
      <c r="I1769" s="1231"/>
      <c r="J1769" s="1231"/>
      <c r="K1769" s="1231"/>
      <c r="L1769" s="1232"/>
      <c r="M1769" s="54"/>
      <c r="N1769" s="54"/>
      <c r="P1769" s="784"/>
      <c r="Q1769" s="336"/>
      <c r="U1769" s="824"/>
      <c r="V1769" s="345"/>
      <c r="W1769" s="345"/>
      <c r="X1769" s="345"/>
      <c r="Y1769" s="345"/>
    </row>
    <row r="1770" spans="1:25" s="345" customFormat="1" ht="90" customHeight="1" x14ac:dyDescent="0.25">
      <c r="A1770" s="1224" t="s">
        <v>316</v>
      </c>
      <c r="B1770" s="1225"/>
      <c r="C1770" s="1226"/>
      <c r="D1770" s="1230" t="s">
        <v>3384</v>
      </c>
      <c r="E1770" s="1231"/>
      <c r="F1770" s="1231"/>
      <c r="G1770" s="1231"/>
      <c r="H1770" s="1231"/>
      <c r="I1770" s="1231"/>
      <c r="J1770" s="1231"/>
      <c r="K1770" s="1231"/>
      <c r="L1770" s="1232"/>
      <c r="M1770" s="54"/>
      <c r="N1770" s="54"/>
      <c r="O1770" s="334"/>
      <c r="P1770" s="784"/>
      <c r="Q1770" s="336"/>
      <c r="R1770" s="334"/>
      <c r="S1770" s="334"/>
      <c r="T1770" s="334"/>
      <c r="U1770" s="337"/>
      <c r="V1770" s="334"/>
      <c r="W1770" s="334"/>
      <c r="X1770" s="334"/>
      <c r="Y1770" s="334"/>
    </row>
    <row r="1771" spans="1:25" ht="30" customHeight="1" x14ac:dyDescent="0.25">
      <c r="A1771" s="1548" t="s">
        <v>318</v>
      </c>
      <c r="B1771" s="1549"/>
      <c r="C1771" s="1550"/>
      <c r="D1771" s="1256" t="s">
        <v>1216</v>
      </c>
      <c r="E1771" s="1257"/>
      <c r="F1771" s="1257"/>
      <c r="G1771" s="1257"/>
      <c r="H1771" s="1257"/>
      <c r="I1771" s="1257"/>
      <c r="J1771" s="1257"/>
      <c r="K1771" s="1257"/>
      <c r="L1771" s="1258"/>
      <c r="M1771" s="54"/>
      <c r="N1771" s="111"/>
      <c r="P1771" s="784"/>
      <c r="Q1771" s="336"/>
      <c r="U1771" s="337"/>
    </row>
    <row r="1772" spans="1:25" ht="30" customHeight="1" x14ac:dyDescent="0.25">
      <c r="A1772" s="1548" t="s">
        <v>320</v>
      </c>
      <c r="B1772" s="1549"/>
      <c r="C1772" s="1550"/>
      <c r="D1772" s="1256" t="s">
        <v>1048</v>
      </c>
      <c r="E1772" s="1257"/>
      <c r="F1772" s="1257"/>
      <c r="G1772" s="1257"/>
      <c r="H1772" s="1257"/>
      <c r="I1772" s="1257"/>
      <c r="J1772" s="1257"/>
      <c r="K1772" s="1257"/>
      <c r="L1772" s="1258"/>
      <c r="M1772" s="54"/>
      <c r="N1772" s="54"/>
      <c r="P1772" s="784"/>
      <c r="Q1772" s="336"/>
      <c r="U1772" s="337"/>
    </row>
    <row r="1773" spans="1:25" ht="30" customHeight="1" x14ac:dyDescent="0.25">
      <c r="A1773" s="1268" t="s">
        <v>322</v>
      </c>
      <c r="B1773" s="1167"/>
      <c r="C1773" s="1168"/>
      <c r="D1773" s="1206" t="s">
        <v>1217</v>
      </c>
      <c r="E1773" s="1207"/>
      <c r="F1773" s="1207"/>
      <c r="G1773" s="1207"/>
      <c r="H1773" s="1207"/>
      <c r="I1773" s="1207"/>
      <c r="J1773" s="1207"/>
      <c r="K1773" s="1207"/>
      <c r="L1773" s="1208"/>
      <c r="M1773" s="54"/>
      <c r="N1773" s="54"/>
      <c r="P1773" s="784"/>
      <c r="Q1773" s="336"/>
      <c r="U1773" s="337"/>
    </row>
    <row r="1774" spans="1:25" ht="60" customHeight="1" thickBot="1" x14ac:dyDescent="0.3">
      <c r="A1774" s="1265" t="s">
        <v>350</v>
      </c>
      <c r="B1774" s="1266"/>
      <c r="C1774" s="1267"/>
      <c r="D1774" s="1291" t="s">
        <v>1218</v>
      </c>
      <c r="E1774" s="1292"/>
      <c r="F1774" s="1292"/>
      <c r="G1774" s="1292"/>
      <c r="H1774" s="1292"/>
      <c r="I1774" s="1292"/>
      <c r="J1774" s="1292"/>
      <c r="K1774" s="1292"/>
      <c r="L1774" s="1293"/>
      <c r="M1774" s="54"/>
      <c r="N1774" s="54"/>
      <c r="P1774" s="784"/>
      <c r="Q1774" s="336"/>
      <c r="U1774" s="337"/>
    </row>
    <row r="1775" spans="1:25" ht="30" customHeight="1" thickBot="1" x14ac:dyDescent="0.3">
      <c r="A1775" s="1180"/>
      <c r="B1775" s="1181"/>
      <c r="C1775" s="1181"/>
      <c r="D1775" s="1181"/>
      <c r="E1775" s="1181"/>
      <c r="F1775" s="1181"/>
      <c r="G1775" s="1181"/>
      <c r="H1775" s="1181"/>
      <c r="I1775" s="1181"/>
      <c r="J1775" s="1181"/>
      <c r="K1775" s="1181"/>
      <c r="L1775" s="1182"/>
      <c r="M1775" s="54"/>
      <c r="N1775" s="54"/>
      <c r="P1775" s="784"/>
      <c r="Q1775" s="336"/>
      <c r="U1775" s="337"/>
    </row>
    <row r="1776" spans="1:25" ht="30" customHeight="1" x14ac:dyDescent="0.25">
      <c r="A1776" s="327" t="s">
        <v>5</v>
      </c>
      <c r="B1776" s="328">
        <v>2135</v>
      </c>
      <c r="C1776" s="1218" t="s">
        <v>1219</v>
      </c>
      <c r="D1776" s="1219"/>
      <c r="E1776" s="331" t="s">
        <v>8</v>
      </c>
      <c r="F1776" s="332" t="s">
        <v>76</v>
      </c>
      <c r="G1776" s="338" t="s">
        <v>74</v>
      </c>
      <c r="H1776" s="653">
        <v>4907</v>
      </c>
      <c r="I1776" s="331" t="s">
        <v>10</v>
      </c>
      <c r="J1776" s="1220" t="s">
        <v>290</v>
      </c>
      <c r="K1776" s="1220"/>
      <c r="L1776" s="1221"/>
      <c r="M1776" s="54"/>
      <c r="N1776" s="54"/>
      <c r="P1776" s="784"/>
      <c r="Q1776" s="336"/>
      <c r="U1776" s="337"/>
    </row>
    <row r="1777" spans="1:21" ht="30" customHeight="1" x14ac:dyDescent="0.25">
      <c r="A1777" s="356" t="s">
        <v>282</v>
      </c>
      <c r="B1777" s="1163" t="s">
        <v>13</v>
      </c>
      <c r="C1777" s="1163"/>
      <c r="D1777" s="1163"/>
      <c r="E1777" s="357" t="s">
        <v>283</v>
      </c>
      <c r="F1777" s="546" t="s">
        <v>116</v>
      </c>
      <c r="G1777" s="1276" t="s">
        <v>118</v>
      </c>
      <c r="H1777" s="1277"/>
      <c r="I1777" s="1276" t="s">
        <v>284</v>
      </c>
      <c r="J1777" s="1277"/>
      <c r="K1777" s="1236" t="s">
        <v>285</v>
      </c>
      <c r="L1777" s="1237"/>
      <c r="M1777" s="54"/>
      <c r="N1777" s="112"/>
      <c r="P1777" s="784"/>
      <c r="Q1777" s="336"/>
      <c r="U1777" s="337"/>
    </row>
    <row r="1778" spans="1:21" ht="30" customHeight="1" x14ac:dyDescent="0.25">
      <c r="A1778" s="365">
        <v>14962</v>
      </c>
      <c r="B1778" s="1214" t="s">
        <v>561</v>
      </c>
      <c r="C1778" s="1215"/>
      <c r="D1778" s="1216"/>
      <c r="E1778" s="825">
        <v>1</v>
      </c>
      <c r="F1778" s="240">
        <v>6777000</v>
      </c>
      <c r="G1778" s="826"/>
      <c r="H1778" s="549"/>
      <c r="I1778" s="1302">
        <f>+'2022 MILCON Inflation Table'!F15</f>
        <v>1.1446122264727614</v>
      </c>
      <c r="J1778" s="1303"/>
      <c r="K1778" s="240">
        <f>+F1778*I1778</f>
        <v>7757037.0588059044</v>
      </c>
      <c r="L1778" s="367" t="s">
        <v>76</v>
      </c>
      <c r="M1778" s="54"/>
      <c r="N1778" s="54"/>
      <c r="P1778" s="784"/>
      <c r="Q1778" s="336"/>
      <c r="U1778" s="337"/>
    </row>
    <row r="1779" spans="1:21" ht="30" customHeight="1" thickBot="1" x14ac:dyDescent="0.3">
      <c r="A1779" s="365"/>
      <c r="B1779" s="1281" t="s">
        <v>1220</v>
      </c>
      <c r="C1779" s="1281"/>
      <c r="D1779" s="1281"/>
      <c r="E1779" s="646"/>
      <c r="F1779" s="647"/>
      <c r="G1779" s="647"/>
      <c r="H1779" s="648"/>
      <c r="I1779" s="366"/>
      <c r="J1779" s="359" t="s">
        <v>72</v>
      </c>
      <c r="K1779" s="246">
        <f>+K1778</f>
        <v>7757037.0588059044</v>
      </c>
      <c r="L1779" s="365" t="s">
        <v>76</v>
      </c>
      <c r="M1779" s="54"/>
      <c r="N1779" s="54"/>
      <c r="P1779" s="784"/>
      <c r="Q1779" s="336"/>
      <c r="U1779" s="337"/>
    </row>
    <row r="1780" spans="1:21" ht="30" customHeight="1" thickBot="1" x14ac:dyDescent="0.3">
      <c r="A1780" s="1180"/>
      <c r="B1780" s="1181"/>
      <c r="C1780" s="1181"/>
      <c r="D1780" s="1181"/>
      <c r="E1780" s="1181"/>
      <c r="F1780" s="1181"/>
      <c r="G1780" s="1181"/>
      <c r="H1780" s="1181"/>
      <c r="I1780" s="1181"/>
      <c r="J1780" s="1181"/>
      <c r="K1780" s="1181"/>
      <c r="L1780" s="1182"/>
      <c r="M1780" s="54"/>
      <c r="N1780" s="54"/>
      <c r="P1780" s="784"/>
      <c r="Q1780" s="336"/>
      <c r="U1780" s="337"/>
    </row>
    <row r="1781" spans="1:21" ht="30" customHeight="1" x14ac:dyDescent="0.25">
      <c r="A1781" s="327" t="s">
        <v>5</v>
      </c>
      <c r="B1781" s="328">
        <v>2136</v>
      </c>
      <c r="C1781" s="1218" t="s">
        <v>1221</v>
      </c>
      <c r="D1781" s="1219"/>
      <c r="E1781" s="331" t="s">
        <v>8</v>
      </c>
      <c r="F1781" s="332" t="s">
        <v>205</v>
      </c>
      <c r="G1781" s="338" t="s">
        <v>74</v>
      </c>
      <c r="H1781" s="653">
        <v>20692</v>
      </c>
      <c r="I1781" s="331" t="s">
        <v>10</v>
      </c>
      <c r="J1781" s="1220" t="s">
        <v>1222</v>
      </c>
      <c r="K1781" s="1220"/>
      <c r="L1781" s="1221"/>
      <c r="M1781" s="54"/>
      <c r="N1781" s="111"/>
      <c r="O1781" s="336"/>
      <c r="P1781" s="334"/>
      <c r="Q1781" s="335"/>
      <c r="R1781" s="336"/>
      <c r="S1781" s="337"/>
      <c r="U1781" s="337"/>
    </row>
    <row r="1782" spans="1:21" ht="30" customHeight="1" x14ac:dyDescent="0.25">
      <c r="A1782" s="356" t="s">
        <v>282</v>
      </c>
      <c r="B1782" s="1163" t="s">
        <v>13</v>
      </c>
      <c r="C1782" s="1163"/>
      <c r="D1782" s="1163"/>
      <c r="E1782" s="357" t="s">
        <v>1223</v>
      </c>
      <c r="F1782" s="546"/>
      <c r="G1782" s="1276"/>
      <c r="H1782" s="1277"/>
      <c r="I1782" s="1276"/>
      <c r="J1782" s="1277"/>
      <c r="K1782" s="1236" t="s">
        <v>285</v>
      </c>
      <c r="L1782" s="1237"/>
      <c r="M1782" s="54"/>
      <c r="N1782" s="54"/>
      <c r="O1782" s="336"/>
      <c r="P1782" s="334"/>
      <c r="Q1782" s="335"/>
      <c r="R1782" s="336"/>
      <c r="S1782" s="337"/>
    </row>
    <row r="1783" spans="1:21" ht="30" customHeight="1" x14ac:dyDescent="0.25">
      <c r="A1783" s="365">
        <v>21365</v>
      </c>
      <c r="B1783" s="1214" t="s">
        <v>1224</v>
      </c>
      <c r="C1783" s="1215"/>
      <c r="D1783" s="1216"/>
      <c r="E1783" s="827">
        <f>K1631</f>
        <v>244.59991439053928</v>
      </c>
      <c r="F1783" s="240"/>
      <c r="G1783" s="826"/>
      <c r="H1783" s="549"/>
      <c r="I1783" s="1302"/>
      <c r="J1783" s="1303"/>
      <c r="K1783" s="240">
        <f>E1783</f>
        <v>244.59991439053928</v>
      </c>
      <c r="L1783" s="367" t="s">
        <v>205</v>
      </c>
      <c r="M1783" s="54"/>
      <c r="N1783" s="54"/>
      <c r="O1783" s="336"/>
      <c r="P1783" s="334"/>
      <c r="Q1783" s="335"/>
      <c r="R1783" s="336"/>
      <c r="S1783" s="337"/>
    </row>
    <row r="1784" spans="1:21" ht="30" customHeight="1" thickBot="1" x14ac:dyDescent="0.3">
      <c r="A1784" s="365"/>
      <c r="B1784" s="1281"/>
      <c r="C1784" s="1281"/>
      <c r="D1784" s="1281"/>
      <c r="E1784" s="646"/>
      <c r="F1784" s="647"/>
      <c r="G1784" s="647"/>
      <c r="H1784" s="648"/>
      <c r="I1784" s="366"/>
      <c r="J1784" s="359" t="s">
        <v>72</v>
      </c>
      <c r="K1784" s="246">
        <f>+K1783</f>
        <v>244.59991439053928</v>
      </c>
      <c r="L1784" s="365" t="s">
        <v>205</v>
      </c>
      <c r="M1784" s="54"/>
      <c r="N1784" s="54"/>
      <c r="O1784" s="336"/>
      <c r="P1784" s="334"/>
      <c r="Q1784" s="335"/>
      <c r="R1784" s="336"/>
      <c r="S1784" s="337"/>
    </row>
    <row r="1785" spans="1:21" ht="30" customHeight="1" thickBot="1" x14ac:dyDescent="0.3">
      <c r="A1785" s="1180"/>
      <c r="B1785" s="1181"/>
      <c r="C1785" s="1181"/>
      <c r="D1785" s="1181"/>
      <c r="E1785" s="1181"/>
      <c r="F1785" s="1181"/>
      <c r="G1785" s="1181"/>
      <c r="H1785" s="1181"/>
      <c r="I1785" s="1181"/>
      <c r="J1785" s="1181"/>
      <c r="K1785" s="1181"/>
      <c r="L1785" s="1182"/>
      <c r="M1785" s="54"/>
      <c r="N1785" s="54"/>
      <c r="O1785" s="336"/>
      <c r="P1785" s="334"/>
      <c r="Q1785" s="335"/>
      <c r="R1785" s="336"/>
      <c r="S1785" s="337"/>
    </row>
    <row r="1786" spans="1:21" ht="30" customHeight="1" x14ac:dyDescent="0.25">
      <c r="A1786" s="327" t="s">
        <v>5</v>
      </c>
      <c r="B1786" s="328">
        <v>2137</v>
      </c>
      <c r="C1786" s="1218" t="s">
        <v>1225</v>
      </c>
      <c r="D1786" s="1219"/>
      <c r="E1786" s="331" t="s">
        <v>8</v>
      </c>
      <c r="F1786" s="332" t="s">
        <v>76</v>
      </c>
      <c r="G1786" s="342" t="s">
        <v>7</v>
      </c>
      <c r="H1786" s="160">
        <v>1</v>
      </c>
      <c r="I1786" s="331" t="s">
        <v>10</v>
      </c>
      <c r="J1786" s="1220" t="s">
        <v>3402</v>
      </c>
      <c r="K1786" s="1220"/>
      <c r="L1786" s="1221"/>
      <c r="M1786" s="54"/>
      <c r="N1786" s="54"/>
      <c r="O1786" s="336"/>
      <c r="P1786" s="334"/>
      <c r="Q1786" s="335"/>
      <c r="R1786" s="336"/>
      <c r="S1786" s="337"/>
    </row>
    <row r="1787" spans="1:21" ht="30" customHeight="1" x14ac:dyDescent="0.25">
      <c r="A1787" s="356" t="s">
        <v>282</v>
      </c>
      <c r="B1787" s="1163" t="s">
        <v>13</v>
      </c>
      <c r="C1787" s="1163"/>
      <c r="D1787" s="1163"/>
      <c r="E1787" s="357" t="s">
        <v>283</v>
      </c>
      <c r="F1787" s="546" t="s">
        <v>1226</v>
      </c>
      <c r="G1787" s="1276"/>
      <c r="H1787" s="1277"/>
      <c r="I1787" s="1276" t="s">
        <v>284</v>
      </c>
      <c r="J1787" s="1277"/>
      <c r="K1787" s="1236" t="s">
        <v>285</v>
      </c>
      <c r="L1787" s="1237"/>
      <c r="M1787" s="54"/>
      <c r="N1787" s="54"/>
      <c r="O1787" s="336"/>
      <c r="P1787" s="334"/>
      <c r="Q1787" s="335"/>
      <c r="R1787" s="336"/>
      <c r="S1787" s="337"/>
    </row>
    <row r="1788" spans="1:21" ht="30" customHeight="1" x14ac:dyDescent="0.25">
      <c r="A1788" s="365">
        <v>21340</v>
      </c>
      <c r="B1788" s="1214" t="s">
        <v>1225</v>
      </c>
      <c r="C1788" s="1215"/>
      <c r="D1788" s="1216"/>
      <c r="E1788" s="825">
        <v>1</v>
      </c>
      <c r="F1788" s="240">
        <v>6449532.4800000004</v>
      </c>
      <c r="G1788" s="826"/>
      <c r="H1788" s="549"/>
      <c r="I1788" s="1302">
        <v>1.0833999999999999</v>
      </c>
      <c r="J1788" s="1303"/>
      <c r="K1788" s="240">
        <f>F1788*I1788</f>
        <v>6987423.4888319997</v>
      </c>
      <c r="L1788" s="367" t="s">
        <v>76</v>
      </c>
      <c r="M1788" s="54"/>
      <c r="N1788" s="54"/>
      <c r="O1788" s="336"/>
      <c r="P1788" s="334"/>
      <c r="Q1788" s="335"/>
      <c r="R1788" s="336"/>
      <c r="S1788" s="337"/>
    </row>
    <row r="1789" spans="1:21" ht="30" customHeight="1" thickBot="1" x14ac:dyDescent="0.3">
      <c r="A1789" s="365"/>
      <c r="B1789" s="1281"/>
      <c r="C1789" s="1281"/>
      <c r="D1789" s="1281"/>
      <c r="E1789" s="646"/>
      <c r="F1789" s="647"/>
      <c r="G1789" s="647"/>
      <c r="H1789" s="648"/>
      <c r="I1789" s="366"/>
      <c r="J1789" s="359" t="s">
        <v>72</v>
      </c>
      <c r="K1789" s="246">
        <f>+K1788</f>
        <v>6987423.4888319997</v>
      </c>
      <c r="L1789" s="365" t="s">
        <v>76</v>
      </c>
      <c r="M1789" s="54"/>
      <c r="N1789" s="54"/>
      <c r="O1789" s="336"/>
      <c r="P1789" s="334"/>
      <c r="Q1789" s="335"/>
      <c r="R1789" s="336"/>
      <c r="S1789" s="337"/>
    </row>
    <row r="1790" spans="1:21" ht="30" customHeight="1" thickBot="1" x14ac:dyDescent="0.3">
      <c r="A1790" s="1180"/>
      <c r="B1790" s="1181"/>
      <c r="C1790" s="1181"/>
      <c r="D1790" s="1181"/>
      <c r="E1790" s="1181"/>
      <c r="F1790" s="1181"/>
      <c r="G1790" s="1181"/>
      <c r="H1790" s="1181"/>
      <c r="I1790" s="1181"/>
      <c r="J1790" s="1181"/>
      <c r="K1790" s="1181"/>
      <c r="L1790" s="1182"/>
      <c r="M1790" s="54"/>
      <c r="N1790" s="54"/>
      <c r="O1790" s="336"/>
      <c r="P1790" s="334"/>
      <c r="Q1790" s="335"/>
      <c r="R1790" s="336"/>
      <c r="S1790" s="337"/>
    </row>
    <row r="1791" spans="1:21" ht="30" customHeight="1" x14ac:dyDescent="0.25">
      <c r="A1791" s="327" t="s">
        <v>5</v>
      </c>
      <c r="B1791" s="328">
        <v>2141</v>
      </c>
      <c r="C1791" s="1218" t="s">
        <v>1227</v>
      </c>
      <c r="D1791" s="1219"/>
      <c r="E1791" s="331" t="s">
        <v>8</v>
      </c>
      <c r="F1791" s="332" t="s">
        <v>205</v>
      </c>
      <c r="G1791" s="342" t="s">
        <v>74</v>
      </c>
      <c r="H1791" s="248">
        <v>8699</v>
      </c>
      <c r="I1791" s="331" t="s">
        <v>10</v>
      </c>
      <c r="J1791" s="1220" t="s">
        <v>281</v>
      </c>
      <c r="K1791" s="1220"/>
      <c r="L1791" s="1221"/>
      <c r="M1791" s="54"/>
      <c r="N1791" s="54"/>
      <c r="O1791" s="336"/>
      <c r="P1791" s="334"/>
      <c r="Q1791" s="335"/>
      <c r="R1791" s="336"/>
      <c r="S1791" s="337"/>
    </row>
    <row r="1792" spans="1:21" ht="30" customHeight="1" x14ac:dyDescent="0.25">
      <c r="A1792" s="356" t="s">
        <v>282</v>
      </c>
      <c r="B1792" s="1322" t="s">
        <v>13</v>
      </c>
      <c r="C1792" s="1323"/>
      <c r="D1792" s="1324"/>
      <c r="E1792" s="357" t="s">
        <v>283</v>
      </c>
      <c r="F1792" s="546" t="s">
        <v>116</v>
      </c>
      <c r="H1792" s="391"/>
      <c r="I1792" s="1276" t="s">
        <v>284</v>
      </c>
      <c r="J1792" s="1277"/>
      <c r="K1792" s="1236" t="s">
        <v>285</v>
      </c>
      <c r="L1792" s="1237"/>
      <c r="M1792" s="112"/>
      <c r="N1792" s="54"/>
      <c r="O1792" s="336"/>
      <c r="P1792" s="334"/>
      <c r="Q1792" s="335"/>
      <c r="R1792" s="336"/>
      <c r="S1792" s="337"/>
    </row>
    <row r="1793" spans="1:19" ht="30" customHeight="1" x14ac:dyDescent="0.25">
      <c r="A1793" s="367" t="s">
        <v>286</v>
      </c>
      <c r="B1793" s="1268" t="s">
        <v>1228</v>
      </c>
      <c r="C1793" s="1167"/>
      <c r="D1793" s="1168"/>
      <c r="E1793" s="547">
        <v>7200</v>
      </c>
      <c r="F1793" s="240">
        <v>384</v>
      </c>
      <c r="G1793" s="548"/>
      <c r="H1793" s="549"/>
      <c r="I1793" s="1302" t="s">
        <v>288</v>
      </c>
      <c r="J1793" s="1303"/>
      <c r="K1793" s="240">
        <f>+F1793</f>
        <v>384</v>
      </c>
      <c r="L1793" s="367" t="s">
        <v>205</v>
      </c>
      <c r="M1793" s="54"/>
      <c r="N1793" s="54"/>
      <c r="O1793" s="336"/>
      <c r="P1793" s="334"/>
      <c r="Q1793" s="335"/>
      <c r="R1793" s="336"/>
      <c r="S1793" s="337"/>
    </row>
    <row r="1794" spans="1:19" ht="30" customHeight="1" thickBot="1" x14ac:dyDescent="0.3">
      <c r="A1794" s="365"/>
      <c r="B1794" s="1209"/>
      <c r="C1794" s="1210"/>
      <c r="D1794" s="1211"/>
      <c r="E1794" s="550"/>
      <c r="F1794" s="551"/>
      <c r="G1794" s="551"/>
      <c r="H1794" s="552"/>
      <c r="I1794" s="366"/>
      <c r="J1794" s="359" t="s">
        <v>72</v>
      </c>
      <c r="K1794" s="246">
        <f>+K1793</f>
        <v>384</v>
      </c>
      <c r="L1794" s="365" t="s">
        <v>205</v>
      </c>
      <c r="M1794" s="54"/>
      <c r="N1794" s="54"/>
      <c r="O1794" s="336"/>
      <c r="P1794" s="334"/>
      <c r="Q1794" s="335"/>
      <c r="R1794" s="336"/>
      <c r="S1794" s="337"/>
    </row>
    <row r="1795" spans="1:19" ht="30" customHeight="1" thickBot="1" x14ac:dyDescent="0.3">
      <c r="A1795" s="1180"/>
      <c r="B1795" s="1181"/>
      <c r="C1795" s="1181"/>
      <c r="D1795" s="1181"/>
      <c r="E1795" s="1181"/>
      <c r="F1795" s="1181"/>
      <c r="G1795" s="1181"/>
      <c r="H1795" s="1181"/>
      <c r="I1795" s="1181"/>
      <c r="J1795" s="1181"/>
      <c r="K1795" s="1181"/>
      <c r="L1795" s="1182"/>
      <c r="M1795" s="54"/>
      <c r="N1795" s="54"/>
      <c r="O1795" s="336"/>
      <c r="P1795" s="334"/>
      <c r="Q1795" s="335"/>
      <c r="R1795" s="336"/>
      <c r="S1795" s="337"/>
    </row>
    <row r="1796" spans="1:19" ht="30" customHeight="1" x14ac:dyDescent="0.25">
      <c r="A1796" s="327" t="s">
        <v>5</v>
      </c>
      <c r="B1796" s="328">
        <v>2142</v>
      </c>
      <c r="C1796" s="1270" t="s">
        <v>1229</v>
      </c>
      <c r="D1796" s="1271"/>
      <c r="E1796" s="331" t="s">
        <v>8</v>
      </c>
      <c r="F1796" s="332" t="s">
        <v>205</v>
      </c>
      <c r="G1796" s="342" t="s">
        <v>74</v>
      </c>
      <c r="H1796" s="248">
        <v>29687</v>
      </c>
      <c r="I1796" s="331" t="s">
        <v>10</v>
      </c>
      <c r="J1796" s="1220" t="s">
        <v>281</v>
      </c>
      <c r="K1796" s="1220"/>
      <c r="L1796" s="1221"/>
      <c r="M1796" s="54"/>
      <c r="N1796" s="54"/>
      <c r="O1796" s="336"/>
      <c r="P1796" s="334"/>
      <c r="Q1796" s="335"/>
      <c r="R1796" s="336"/>
      <c r="S1796" s="337"/>
    </row>
    <row r="1797" spans="1:19" ht="30" customHeight="1" x14ac:dyDescent="0.25">
      <c r="A1797" s="356" t="s">
        <v>282</v>
      </c>
      <c r="B1797" s="1322" t="s">
        <v>13</v>
      </c>
      <c r="C1797" s="1323"/>
      <c r="D1797" s="1324"/>
      <c r="E1797" s="357" t="s">
        <v>283</v>
      </c>
      <c r="F1797" s="546" t="s">
        <v>116</v>
      </c>
      <c r="G1797" s="356"/>
      <c r="H1797" s="356"/>
      <c r="I1797" s="1276" t="s">
        <v>284</v>
      </c>
      <c r="J1797" s="1277"/>
      <c r="K1797" s="1236" t="s">
        <v>285</v>
      </c>
      <c r="L1797" s="1237"/>
      <c r="M1797" s="54"/>
      <c r="N1797" s="54"/>
      <c r="O1797" s="336"/>
      <c r="P1797" s="334"/>
      <c r="Q1797" s="335"/>
      <c r="R1797" s="336"/>
      <c r="S1797" s="337"/>
    </row>
    <row r="1798" spans="1:19" ht="30" customHeight="1" x14ac:dyDescent="0.25">
      <c r="A1798" s="367" t="s">
        <v>286</v>
      </c>
      <c r="B1798" s="1268" t="s">
        <v>1230</v>
      </c>
      <c r="C1798" s="1167"/>
      <c r="D1798" s="1168"/>
      <c r="E1798" s="547">
        <v>44000</v>
      </c>
      <c r="F1798" s="240">
        <v>360</v>
      </c>
      <c r="G1798" s="548"/>
      <c r="H1798" s="549"/>
      <c r="I1798" s="1302" t="s">
        <v>288</v>
      </c>
      <c r="J1798" s="1303"/>
      <c r="K1798" s="240">
        <f>+F1798</f>
        <v>360</v>
      </c>
      <c r="L1798" s="367" t="s">
        <v>205</v>
      </c>
      <c r="M1798" s="54"/>
      <c r="N1798" s="54"/>
      <c r="O1798" s="336"/>
      <c r="P1798" s="334"/>
      <c r="Q1798" s="335"/>
      <c r="R1798" s="336"/>
      <c r="S1798" s="337"/>
    </row>
    <row r="1799" spans="1:19" ht="30" customHeight="1" thickBot="1" x14ac:dyDescent="0.3">
      <c r="A1799" s="365"/>
      <c r="B1799" s="1209"/>
      <c r="C1799" s="1210"/>
      <c r="D1799" s="1211"/>
      <c r="E1799" s="550"/>
      <c r="F1799" s="551"/>
      <c r="G1799" s="551"/>
      <c r="H1799" s="552"/>
      <c r="I1799" s="366"/>
      <c r="J1799" s="359" t="s">
        <v>72</v>
      </c>
      <c r="K1799" s="246">
        <f>+K1798</f>
        <v>360</v>
      </c>
      <c r="L1799" s="365" t="s">
        <v>205</v>
      </c>
      <c r="M1799" s="54"/>
      <c r="N1799" s="54"/>
      <c r="O1799" s="467"/>
      <c r="P1799" s="334"/>
      <c r="Q1799" s="335"/>
      <c r="R1799" s="336"/>
      <c r="S1799" s="337"/>
    </row>
    <row r="1800" spans="1:19" ht="30" customHeight="1" thickBot="1" x14ac:dyDescent="0.3">
      <c r="A1800" s="1180"/>
      <c r="B1800" s="1181"/>
      <c r="C1800" s="1181"/>
      <c r="D1800" s="1181"/>
      <c r="E1800" s="1181"/>
      <c r="F1800" s="1181"/>
      <c r="G1800" s="1181"/>
      <c r="H1800" s="1181"/>
      <c r="I1800" s="1181"/>
      <c r="J1800" s="1181"/>
      <c r="K1800" s="1181"/>
      <c r="L1800" s="1182"/>
      <c r="M1800" s="54"/>
      <c r="N1800" s="54"/>
      <c r="O1800" s="467"/>
      <c r="P1800" s="334"/>
      <c r="Q1800" s="335"/>
      <c r="R1800" s="336"/>
      <c r="S1800" s="337"/>
    </row>
    <row r="1801" spans="1:19" ht="30" customHeight="1" x14ac:dyDescent="0.25">
      <c r="A1801" s="327" t="s">
        <v>5</v>
      </c>
      <c r="B1801" s="328">
        <v>2143</v>
      </c>
      <c r="C1801" s="1218" t="s">
        <v>1231</v>
      </c>
      <c r="D1801" s="1219"/>
      <c r="E1801" s="331" t="s">
        <v>8</v>
      </c>
      <c r="F1801" s="332" t="s">
        <v>205</v>
      </c>
      <c r="G1801" s="342" t="s">
        <v>74</v>
      </c>
      <c r="H1801" s="248">
        <v>15743</v>
      </c>
      <c r="I1801" s="331" t="s">
        <v>10</v>
      </c>
      <c r="J1801" s="1220" t="s">
        <v>281</v>
      </c>
      <c r="K1801" s="1220"/>
      <c r="L1801" s="1221"/>
      <c r="M1801" s="54"/>
      <c r="N1801" s="54"/>
      <c r="O1801" s="336"/>
      <c r="P1801" s="334"/>
      <c r="Q1801" s="335"/>
      <c r="R1801" s="336"/>
      <c r="S1801" s="337"/>
    </row>
    <row r="1802" spans="1:19" ht="30" customHeight="1" x14ac:dyDescent="0.25">
      <c r="A1802" s="356" t="s">
        <v>282</v>
      </c>
      <c r="B1802" s="1322" t="s">
        <v>13</v>
      </c>
      <c r="C1802" s="1323"/>
      <c r="D1802" s="1324"/>
      <c r="E1802" s="357" t="s">
        <v>283</v>
      </c>
      <c r="F1802" s="546" t="s">
        <v>116</v>
      </c>
      <c r="G1802" s="356"/>
      <c r="H1802" s="356"/>
      <c r="I1802" s="1276" t="s">
        <v>284</v>
      </c>
      <c r="J1802" s="1277"/>
      <c r="K1802" s="1236" t="s">
        <v>285</v>
      </c>
      <c r="L1802" s="1237"/>
      <c r="M1802" s="111"/>
      <c r="N1802" s="54"/>
      <c r="O1802" s="336"/>
      <c r="P1802" s="334"/>
      <c r="Q1802" s="335"/>
      <c r="R1802" s="336"/>
      <c r="S1802" s="337"/>
    </row>
    <row r="1803" spans="1:19" ht="30" customHeight="1" x14ac:dyDescent="0.25">
      <c r="A1803" s="367" t="s">
        <v>286</v>
      </c>
      <c r="B1803" s="1268" t="s">
        <v>1228</v>
      </c>
      <c r="C1803" s="1167"/>
      <c r="D1803" s="1168"/>
      <c r="E1803" s="547">
        <v>7200</v>
      </c>
      <c r="F1803" s="240">
        <v>384</v>
      </c>
      <c r="G1803" s="548"/>
      <c r="H1803" s="549"/>
      <c r="I1803" s="1302" t="s">
        <v>288</v>
      </c>
      <c r="J1803" s="1303"/>
      <c r="K1803" s="240">
        <f>+F1803</f>
        <v>384</v>
      </c>
      <c r="L1803" s="367" t="s">
        <v>205</v>
      </c>
      <c r="M1803" s="54"/>
      <c r="N1803" s="54"/>
      <c r="O1803" s="336"/>
      <c r="P1803" s="334"/>
      <c r="Q1803" s="335"/>
      <c r="R1803" s="336"/>
      <c r="S1803" s="337"/>
    </row>
    <row r="1804" spans="1:19" ht="30" customHeight="1" thickBot="1" x14ac:dyDescent="0.3">
      <c r="A1804" s="365"/>
      <c r="B1804" s="1209"/>
      <c r="C1804" s="1210"/>
      <c r="D1804" s="1211"/>
      <c r="E1804" s="550"/>
      <c r="F1804" s="551"/>
      <c r="G1804" s="551"/>
      <c r="H1804" s="552"/>
      <c r="I1804" s="366"/>
      <c r="J1804" s="359" t="s">
        <v>72</v>
      </c>
      <c r="K1804" s="246">
        <f>+K1803</f>
        <v>384</v>
      </c>
      <c r="L1804" s="365" t="s">
        <v>205</v>
      </c>
      <c r="M1804" s="54"/>
      <c r="N1804" s="54"/>
      <c r="O1804" s="336"/>
      <c r="P1804" s="334"/>
      <c r="Q1804" s="335"/>
      <c r="R1804" s="336"/>
      <c r="S1804" s="337"/>
    </row>
    <row r="1805" spans="1:19" ht="30" customHeight="1" thickBot="1" x14ac:dyDescent="0.3">
      <c r="A1805" s="1180"/>
      <c r="B1805" s="1181"/>
      <c r="C1805" s="1181"/>
      <c r="D1805" s="1181"/>
      <c r="E1805" s="1181"/>
      <c r="F1805" s="1181"/>
      <c r="G1805" s="1181"/>
      <c r="H1805" s="1181"/>
      <c r="I1805" s="1181"/>
      <c r="J1805" s="1181"/>
      <c r="K1805" s="1181"/>
      <c r="L1805" s="1182"/>
      <c r="M1805" s="54"/>
      <c r="N1805" s="54"/>
      <c r="O1805" s="336"/>
      <c r="P1805" s="334"/>
      <c r="Q1805" s="335"/>
      <c r="R1805" s="336"/>
      <c r="S1805" s="337"/>
    </row>
    <row r="1806" spans="1:19" ht="30" customHeight="1" x14ac:dyDescent="0.25">
      <c r="A1806" s="327" t="s">
        <v>5</v>
      </c>
      <c r="B1806" s="328">
        <v>2144</v>
      </c>
      <c r="C1806" s="1218" t="s">
        <v>1232</v>
      </c>
      <c r="D1806" s="1219"/>
      <c r="E1806" s="331" t="s">
        <v>8</v>
      </c>
      <c r="F1806" s="332" t="s">
        <v>205</v>
      </c>
      <c r="G1806" s="342" t="s">
        <v>74</v>
      </c>
      <c r="H1806" s="248">
        <v>7601</v>
      </c>
      <c r="I1806" s="331" t="s">
        <v>10</v>
      </c>
      <c r="J1806" s="1220" t="s">
        <v>281</v>
      </c>
      <c r="K1806" s="1220"/>
      <c r="L1806" s="1221"/>
      <c r="M1806" s="54"/>
      <c r="N1806" s="54"/>
      <c r="O1806" s="336"/>
      <c r="P1806" s="334"/>
      <c r="Q1806" s="335"/>
      <c r="R1806" s="336"/>
      <c r="S1806" s="337"/>
    </row>
    <row r="1807" spans="1:19" ht="30" customHeight="1" x14ac:dyDescent="0.25">
      <c r="A1807" s="356" t="s">
        <v>282</v>
      </c>
      <c r="B1807" s="1322" t="s">
        <v>13</v>
      </c>
      <c r="C1807" s="1323"/>
      <c r="D1807" s="1324"/>
      <c r="E1807" s="357" t="s">
        <v>283</v>
      </c>
      <c r="F1807" s="546" t="s">
        <v>116</v>
      </c>
      <c r="G1807" s="356"/>
      <c r="H1807" s="356"/>
      <c r="I1807" s="1276" t="s">
        <v>284</v>
      </c>
      <c r="J1807" s="1277"/>
      <c r="K1807" s="1236" t="s">
        <v>285</v>
      </c>
      <c r="L1807" s="1237"/>
      <c r="M1807" s="54"/>
      <c r="N1807" s="54"/>
      <c r="O1807" s="336"/>
      <c r="P1807" s="334"/>
      <c r="Q1807" s="335"/>
      <c r="R1807" s="336"/>
      <c r="S1807" s="337"/>
    </row>
    <row r="1808" spans="1:19" ht="30" customHeight="1" x14ac:dyDescent="0.25">
      <c r="A1808" s="367" t="s">
        <v>286</v>
      </c>
      <c r="B1808" s="1268" t="s">
        <v>1228</v>
      </c>
      <c r="C1808" s="1167"/>
      <c r="D1808" s="1168"/>
      <c r="E1808" s="547">
        <v>7200</v>
      </c>
      <c r="F1808" s="240">
        <v>384</v>
      </c>
      <c r="G1808" s="548"/>
      <c r="H1808" s="549"/>
      <c r="I1808" s="1302" t="s">
        <v>288</v>
      </c>
      <c r="J1808" s="1303"/>
      <c r="K1808" s="240">
        <f>+F1808</f>
        <v>384</v>
      </c>
      <c r="L1808" s="367" t="s">
        <v>205</v>
      </c>
      <c r="M1808" s="54"/>
      <c r="N1808" s="54"/>
      <c r="O1808" s="336"/>
      <c r="P1808" s="334"/>
      <c r="Q1808" s="335"/>
      <c r="R1808" s="336"/>
      <c r="S1808" s="337"/>
    </row>
    <row r="1809" spans="1:19" ht="30" customHeight="1" thickBot="1" x14ac:dyDescent="0.3">
      <c r="A1809" s="365"/>
      <c r="B1809" s="1209"/>
      <c r="C1809" s="1210"/>
      <c r="D1809" s="1211"/>
      <c r="E1809" s="550"/>
      <c r="F1809" s="551"/>
      <c r="G1809" s="551"/>
      <c r="H1809" s="552"/>
      <c r="I1809" s="366"/>
      <c r="J1809" s="359" t="s">
        <v>72</v>
      </c>
      <c r="K1809" s="246">
        <f>+K1808</f>
        <v>384</v>
      </c>
      <c r="L1809" s="365" t="s">
        <v>205</v>
      </c>
      <c r="M1809" s="54"/>
      <c r="N1809" s="54"/>
      <c r="O1809" s="336"/>
      <c r="P1809" s="334"/>
      <c r="Q1809" s="335"/>
      <c r="R1809" s="336"/>
      <c r="S1809" s="337"/>
    </row>
    <row r="1810" spans="1:19" ht="30" customHeight="1" thickBot="1" x14ac:dyDescent="0.3">
      <c r="A1810" s="1180"/>
      <c r="B1810" s="1181"/>
      <c r="C1810" s="1181"/>
      <c r="D1810" s="1181"/>
      <c r="E1810" s="1181"/>
      <c r="F1810" s="1181"/>
      <c r="G1810" s="1181"/>
      <c r="H1810" s="1181"/>
      <c r="I1810" s="1181"/>
      <c r="J1810" s="1181"/>
      <c r="K1810" s="1181"/>
      <c r="L1810" s="1182"/>
      <c r="M1810" s="54"/>
      <c r="N1810" s="54"/>
      <c r="O1810" s="336"/>
      <c r="P1810" s="334"/>
      <c r="Q1810" s="335"/>
      <c r="R1810" s="336"/>
      <c r="S1810" s="337"/>
    </row>
    <row r="1811" spans="1:19" ht="30" customHeight="1" x14ac:dyDescent="0.25">
      <c r="A1811" s="327" t="s">
        <v>5</v>
      </c>
      <c r="B1811" s="328">
        <v>2145</v>
      </c>
      <c r="C1811" s="1218" t="s">
        <v>1233</v>
      </c>
      <c r="D1811" s="1219"/>
      <c r="E1811" s="331" t="s">
        <v>8</v>
      </c>
      <c r="F1811" s="332" t="s">
        <v>76</v>
      </c>
      <c r="G1811" s="342" t="s">
        <v>74</v>
      </c>
      <c r="H1811" s="160">
        <v>1</v>
      </c>
      <c r="I1811" s="331" t="s">
        <v>10</v>
      </c>
      <c r="J1811" s="1220" t="s">
        <v>1234</v>
      </c>
      <c r="K1811" s="1220"/>
      <c r="L1811" s="1221"/>
      <c r="M1811" s="111"/>
      <c r="N1811" s="54"/>
      <c r="O1811" s="336"/>
      <c r="P1811" s="334"/>
      <c r="Q1811" s="335"/>
      <c r="R1811" s="336"/>
      <c r="S1811" s="337"/>
    </row>
    <row r="1812" spans="1:19" ht="30" customHeight="1" x14ac:dyDescent="0.25">
      <c r="A1812" s="356" t="s">
        <v>282</v>
      </c>
      <c r="B1812" s="1322" t="s">
        <v>13</v>
      </c>
      <c r="C1812" s="1323"/>
      <c r="D1812" s="1324"/>
      <c r="E1812" s="546" t="s">
        <v>116</v>
      </c>
      <c r="F1812" s="356" t="s">
        <v>283</v>
      </c>
      <c r="G1812" s="828" t="s">
        <v>15</v>
      </c>
      <c r="H1812" s="356" t="s">
        <v>118</v>
      </c>
      <c r="I1812" s="1276" t="s">
        <v>284</v>
      </c>
      <c r="J1812" s="1277"/>
      <c r="K1812" s="1236" t="s">
        <v>285</v>
      </c>
      <c r="L1812" s="1237"/>
      <c r="M1812" s="111"/>
      <c r="N1812" s="54"/>
      <c r="O1812" s="336"/>
      <c r="P1812" s="334"/>
      <c r="Q1812" s="335"/>
      <c r="R1812" s="336"/>
      <c r="S1812" s="337"/>
    </row>
    <row r="1813" spans="1:19" ht="30" customHeight="1" x14ac:dyDescent="0.25">
      <c r="A1813" s="365">
        <v>14955</v>
      </c>
      <c r="B1813" s="1209" t="s">
        <v>1235</v>
      </c>
      <c r="C1813" s="1210"/>
      <c r="D1813" s="1211"/>
      <c r="E1813" s="244">
        <v>142</v>
      </c>
      <c r="F1813" s="267">
        <v>1428</v>
      </c>
      <c r="G1813" s="829" t="s">
        <v>205</v>
      </c>
      <c r="H1813" s="829">
        <v>1428</v>
      </c>
      <c r="I1813" s="1302">
        <v>0.9405</v>
      </c>
      <c r="J1813" s="1303"/>
      <c r="K1813" s="240">
        <f>E1813*H1813*I1813</f>
        <v>190710.82800000001</v>
      </c>
      <c r="L1813" s="367" t="s">
        <v>76</v>
      </c>
      <c r="M1813" s="54"/>
      <c r="N1813" s="54"/>
      <c r="O1813" s="336"/>
      <c r="P1813" s="334"/>
      <c r="Q1813" s="335"/>
      <c r="R1813" s="336"/>
      <c r="S1813" s="337"/>
    </row>
    <row r="1814" spans="1:19" ht="30" customHeight="1" x14ac:dyDescent="0.25">
      <c r="A1814" s="365">
        <v>14960</v>
      </c>
      <c r="B1814" s="1214" t="s">
        <v>1236</v>
      </c>
      <c r="C1814" s="1215"/>
      <c r="D1814" s="1216"/>
      <c r="E1814" s="244">
        <v>62680</v>
      </c>
      <c r="F1814" s="267">
        <v>1</v>
      </c>
      <c r="G1814" s="367" t="s">
        <v>76</v>
      </c>
      <c r="H1814" s="367"/>
      <c r="I1814" s="1302">
        <f>+'2022 MILCON Inflation Table'!F10</f>
        <v>1.4125755730404082</v>
      </c>
      <c r="J1814" s="1303"/>
      <c r="K1814" s="242">
        <f>+E1814*I1814</f>
        <v>88540.236918172784</v>
      </c>
      <c r="L1814" s="367" t="s">
        <v>76</v>
      </c>
      <c r="M1814" s="54"/>
      <c r="N1814" s="54"/>
      <c r="O1814" s="336"/>
      <c r="P1814" s="334"/>
      <c r="Q1814" s="335"/>
      <c r="R1814" s="336"/>
      <c r="S1814" s="337"/>
    </row>
    <row r="1815" spans="1:19" ht="30" customHeight="1" thickBot="1" x14ac:dyDescent="0.3">
      <c r="A1815" s="365"/>
      <c r="B1815" s="1209"/>
      <c r="C1815" s="1210"/>
      <c r="D1815" s="1211"/>
      <c r="E1815" s="333"/>
      <c r="F1815" s="744"/>
      <c r="G1815" s="333"/>
      <c r="H1815" s="729" t="s">
        <v>300</v>
      </c>
      <c r="I1815" s="366"/>
      <c r="J1815" s="359" t="s">
        <v>72</v>
      </c>
      <c r="K1815" s="243">
        <f>AVERAGE(K1813:K1814)</f>
        <v>139625.53245908639</v>
      </c>
      <c r="L1815" s="367" t="s">
        <v>76</v>
      </c>
      <c r="M1815" s="54"/>
      <c r="N1815" s="54"/>
      <c r="O1815" s="336"/>
      <c r="P1815" s="334"/>
      <c r="Q1815" s="335"/>
      <c r="R1815" s="336"/>
      <c r="S1815" s="337"/>
    </row>
    <row r="1816" spans="1:19" ht="30" customHeight="1" thickBot="1" x14ac:dyDescent="0.3">
      <c r="A1816" s="1180"/>
      <c r="B1816" s="1181"/>
      <c r="C1816" s="1181"/>
      <c r="D1816" s="1181"/>
      <c r="E1816" s="1181"/>
      <c r="F1816" s="1181"/>
      <c r="G1816" s="1181"/>
      <c r="H1816" s="1181"/>
      <c r="I1816" s="1181"/>
      <c r="J1816" s="1181"/>
      <c r="K1816" s="1181"/>
      <c r="L1816" s="1182"/>
      <c r="N1816" s="54"/>
      <c r="O1816" s="336"/>
      <c r="P1816" s="334"/>
      <c r="Q1816" s="335"/>
      <c r="R1816" s="336"/>
      <c r="S1816" s="337"/>
    </row>
    <row r="1817" spans="1:19" ht="30" customHeight="1" x14ac:dyDescent="0.25">
      <c r="A1817" s="327" t="s">
        <v>5</v>
      </c>
      <c r="B1817" s="328">
        <v>2146</v>
      </c>
      <c r="C1817" s="1218" t="s">
        <v>1237</v>
      </c>
      <c r="D1817" s="1219"/>
      <c r="E1817" s="331" t="s">
        <v>8</v>
      </c>
      <c r="F1817" s="332" t="s">
        <v>76</v>
      </c>
      <c r="G1817" s="342" t="s">
        <v>74</v>
      </c>
      <c r="H1817" s="160">
        <v>1</v>
      </c>
      <c r="I1817" s="331" t="s">
        <v>10</v>
      </c>
      <c r="J1817" s="1220" t="s">
        <v>1238</v>
      </c>
      <c r="K1817" s="1220"/>
      <c r="L1817" s="1221"/>
      <c r="M1817" s="112"/>
      <c r="N1817" s="54"/>
      <c r="O1817" s="336"/>
      <c r="P1817" s="334"/>
      <c r="Q1817" s="335"/>
      <c r="R1817" s="336"/>
      <c r="S1817" s="337"/>
    </row>
    <row r="1818" spans="1:19" ht="30" customHeight="1" x14ac:dyDescent="0.25">
      <c r="A1818" s="356"/>
      <c r="B1818" s="1249" t="s">
        <v>468</v>
      </c>
      <c r="C1818" s="1249"/>
      <c r="D1818" s="1249"/>
      <c r="E1818" s="356" t="s">
        <v>116</v>
      </c>
      <c r="F1818" s="356" t="s">
        <v>117</v>
      </c>
      <c r="G1818" s="1194" t="s">
        <v>118</v>
      </c>
      <c r="H1818" s="1195"/>
      <c r="I1818" s="356" t="s">
        <v>119</v>
      </c>
      <c r="J1818" s="356" t="s">
        <v>120</v>
      </c>
      <c r="K1818" s="1236" t="s">
        <v>72</v>
      </c>
      <c r="L1818" s="1237"/>
      <c r="M1818" s="54"/>
      <c r="N1818" s="54"/>
      <c r="O1818" s="336"/>
      <c r="P1818" s="334"/>
      <c r="Q1818" s="335"/>
      <c r="R1818" s="336"/>
      <c r="S1818" s="337"/>
    </row>
    <row r="1819" spans="1:19" ht="30" customHeight="1" thickBot="1" x14ac:dyDescent="0.3">
      <c r="A1819" s="360"/>
      <c r="B1819" s="1248">
        <v>21914369.399999999</v>
      </c>
      <c r="C1819" s="1248"/>
      <c r="D1819" s="1248"/>
      <c r="E1819" s="485"/>
      <c r="F1819" s="486"/>
      <c r="G1819" s="1183"/>
      <c r="H1819" s="1184"/>
      <c r="I1819" s="486"/>
      <c r="J1819" s="487">
        <v>1.0834299999999999</v>
      </c>
      <c r="K1819" s="488">
        <f>B1819*J1819</f>
        <v>23742685.239041995</v>
      </c>
      <c r="L1819" s="486" t="s">
        <v>76</v>
      </c>
      <c r="M1819" s="54"/>
      <c r="N1819" s="54"/>
      <c r="P1819" s="335"/>
      <c r="Q1819" s="336"/>
      <c r="R1819" s="337"/>
    </row>
    <row r="1820" spans="1:19" ht="30" customHeight="1" thickBot="1" x14ac:dyDescent="0.3">
      <c r="A1820" s="1180"/>
      <c r="B1820" s="1181"/>
      <c r="C1820" s="1181"/>
      <c r="D1820" s="1181"/>
      <c r="E1820" s="1181"/>
      <c r="F1820" s="1181"/>
      <c r="G1820" s="1181"/>
      <c r="H1820" s="1181"/>
      <c r="I1820" s="1181"/>
      <c r="J1820" s="1181"/>
      <c r="K1820" s="1181"/>
      <c r="L1820" s="1182"/>
      <c r="M1820" s="54"/>
      <c r="N1820" s="54"/>
      <c r="P1820" s="335"/>
      <c r="Q1820" s="336"/>
      <c r="R1820" s="337"/>
    </row>
    <row r="1821" spans="1:19" ht="30" customHeight="1" x14ac:dyDescent="0.25">
      <c r="A1821" s="327" t="s">
        <v>5</v>
      </c>
      <c r="B1821" s="328">
        <v>2147</v>
      </c>
      <c r="C1821" s="1218" t="s">
        <v>1239</v>
      </c>
      <c r="D1821" s="1219"/>
      <c r="E1821" s="331" t="s">
        <v>8</v>
      </c>
      <c r="F1821" s="332" t="s">
        <v>205</v>
      </c>
      <c r="G1821" s="342" t="s">
        <v>74</v>
      </c>
      <c r="H1821" s="160">
        <v>13588</v>
      </c>
      <c r="I1821" s="331" t="s">
        <v>10</v>
      </c>
      <c r="J1821" s="1220" t="s">
        <v>382</v>
      </c>
      <c r="K1821" s="1220"/>
      <c r="L1821" s="1221"/>
      <c r="M1821" s="111"/>
      <c r="N1821" s="54"/>
      <c r="P1821" s="335"/>
      <c r="Q1821" s="336"/>
      <c r="R1821" s="337"/>
    </row>
    <row r="1822" spans="1:19" ht="30" customHeight="1" x14ac:dyDescent="0.25">
      <c r="A1822" s="356" t="s">
        <v>282</v>
      </c>
      <c r="B1822" s="1322" t="s">
        <v>13</v>
      </c>
      <c r="C1822" s="1323"/>
      <c r="D1822" s="1324"/>
      <c r="E1822" s="546" t="s">
        <v>116</v>
      </c>
      <c r="F1822" s="356" t="s">
        <v>283</v>
      </c>
      <c r="G1822" s="1276" t="s">
        <v>15</v>
      </c>
      <c r="H1822" s="1277"/>
      <c r="I1822" s="1276" t="s">
        <v>284</v>
      </c>
      <c r="J1822" s="1277"/>
      <c r="K1822" s="1236" t="s">
        <v>285</v>
      </c>
      <c r="L1822" s="1237"/>
      <c r="M1822" s="54"/>
      <c r="N1822" s="54"/>
      <c r="O1822" s="336"/>
      <c r="P1822" s="334"/>
      <c r="Q1822" s="335"/>
      <c r="R1822" s="336"/>
      <c r="S1822" s="337"/>
    </row>
    <row r="1823" spans="1:19" ht="30" customHeight="1" x14ac:dyDescent="0.25">
      <c r="A1823" s="365">
        <v>21470</v>
      </c>
      <c r="B1823" s="1209" t="s">
        <v>1240</v>
      </c>
      <c r="C1823" s="1210"/>
      <c r="D1823" s="1211"/>
      <c r="E1823" s="247">
        <v>619</v>
      </c>
      <c r="F1823" s="257">
        <v>375</v>
      </c>
      <c r="G1823" s="367" t="s">
        <v>205</v>
      </c>
      <c r="H1823" s="367"/>
      <c r="I1823" s="1302">
        <v>0.9405</v>
      </c>
      <c r="J1823" s="1303"/>
      <c r="K1823" s="242">
        <f>+E1823*I1823</f>
        <v>582.16949999999997</v>
      </c>
      <c r="L1823" s="367" t="s">
        <v>205</v>
      </c>
      <c r="M1823" s="54"/>
      <c r="N1823" s="54"/>
      <c r="O1823" s="336"/>
      <c r="P1823" s="334"/>
      <c r="Q1823" s="335"/>
      <c r="R1823" s="336"/>
      <c r="S1823" s="337"/>
    </row>
    <row r="1824" spans="1:19" ht="30" customHeight="1" x14ac:dyDescent="0.25">
      <c r="A1824" s="365">
        <v>21470</v>
      </c>
      <c r="B1824" s="1209" t="s">
        <v>1241</v>
      </c>
      <c r="C1824" s="1210"/>
      <c r="D1824" s="1211"/>
      <c r="E1824" s="247">
        <v>619</v>
      </c>
      <c r="F1824" s="257">
        <v>375</v>
      </c>
      <c r="G1824" s="367" t="s">
        <v>205</v>
      </c>
      <c r="H1824" s="367"/>
      <c r="I1824" s="1302">
        <v>0.9405</v>
      </c>
      <c r="J1824" s="1303"/>
      <c r="K1824" s="242">
        <f>+E1824*I1824</f>
        <v>582.16949999999997</v>
      </c>
      <c r="L1824" s="367" t="s">
        <v>205</v>
      </c>
      <c r="M1824" s="54"/>
      <c r="N1824" s="54"/>
      <c r="O1824" s="336"/>
      <c r="P1824" s="334"/>
      <c r="Q1824" s="335"/>
      <c r="R1824" s="336"/>
      <c r="S1824" s="337"/>
    </row>
    <row r="1825" spans="1:19" ht="30" customHeight="1" thickBot="1" x14ac:dyDescent="0.3">
      <c r="A1825" s="365"/>
      <c r="B1825" s="1279"/>
      <c r="C1825" s="1280"/>
      <c r="D1825" s="1551"/>
      <c r="E1825" s="333"/>
      <c r="F1825" s="744"/>
      <c r="G1825" s="346"/>
      <c r="H1825" s="729" t="s">
        <v>300</v>
      </c>
      <c r="I1825" s="366"/>
      <c r="J1825" s="359" t="s">
        <v>72</v>
      </c>
      <c r="K1825" s="243">
        <f>AVERAGE(K1823:K1824)</f>
        <v>582.16949999999997</v>
      </c>
      <c r="L1825" s="367" t="s">
        <v>205</v>
      </c>
      <c r="M1825" s="54"/>
      <c r="N1825" s="54"/>
      <c r="O1825" s="336"/>
      <c r="P1825" s="334"/>
      <c r="Q1825" s="335"/>
      <c r="R1825" s="336"/>
      <c r="S1825" s="337"/>
    </row>
    <row r="1826" spans="1:19" ht="30" customHeight="1" thickBot="1" x14ac:dyDescent="0.3">
      <c r="A1826" s="1180"/>
      <c r="B1826" s="1181"/>
      <c r="C1826" s="1181"/>
      <c r="D1826" s="1181"/>
      <c r="E1826" s="1181"/>
      <c r="F1826" s="1181"/>
      <c r="G1826" s="1181"/>
      <c r="H1826" s="1181"/>
      <c r="I1826" s="1181"/>
      <c r="J1826" s="1181"/>
      <c r="K1826" s="1181"/>
      <c r="L1826" s="1182"/>
      <c r="M1826" s="54"/>
      <c r="N1826" s="54"/>
      <c r="O1826" s="336"/>
      <c r="P1826" s="334"/>
      <c r="Q1826" s="335"/>
      <c r="R1826" s="336"/>
      <c r="S1826" s="337"/>
    </row>
    <row r="1827" spans="1:19" ht="30" customHeight="1" x14ac:dyDescent="0.25">
      <c r="A1827" s="327" t="s">
        <v>5</v>
      </c>
      <c r="B1827" s="328">
        <v>2151</v>
      </c>
      <c r="C1827" s="1218" t="s">
        <v>1242</v>
      </c>
      <c r="D1827" s="1219"/>
      <c r="E1827" s="331" t="s">
        <v>8</v>
      </c>
      <c r="F1827" s="332" t="s">
        <v>205</v>
      </c>
      <c r="G1827" s="342" t="s">
        <v>74</v>
      </c>
      <c r="H1827" s="159">
        <v>10843</v>
      </c>
      <c r="I1827" s="331" t="s">
        <v>10</v>
      </c>
      <c r="J1827" s="1220" t="s">
        <v>1205</v>
      </c>
      <c r="K1827" s="1220"/>
      <c r="L1827" s="1221"/>
      <c r="M1827" s="54"/>
      <c r="N1827" s="54"/>
      <c r="O1827" s="336"/>
      <c r="P1827" s="334"/>
      <c r="Q1827" s="335"/>
      <c r="R1827" s="336"/>
      <c r="S1827" s="337"/>
    </row>
    <row r="1828" spans="1:19" ht="30" customHeight="1" x14ac:dyDescent="0.25">
      <c r="A1828" s="356" t="s">
        <v>282</v>
      </c>
      <c r="B1828" s="1163" t="s">
        <v>13</v>
      </c>
      <c r="C1828" s="1163"/>
      <c r="D1828" s="1163"/>
      <c r="E1828" s="357" t="s">
        <v>283</v>
      </c>
      <c r="F1828" s="546" t="s">
        <v>116</v>
      </c>
      <c r="G1828" s="356"/>
      <c r="H1828" s="356"/>
      <c r="I1828" s="1276" t="s">
        <v>284</v>
      </c>
      <c r="J1828" s="1277"/>
      <c r="K1828" s="1236" t="s">
        <v>285</v>
      </c>
      <c r="L1828" s="1237"/>
      <c r="M1828" s="54"/>
      <c r="N1828" s="54"/>
      <c r="O1828" s="336"/>
      <c r="P1828" s="334"/>
      <c r="Q1828" s="335"/>
      <c r="R1828" s="336"/>
      <c r="S1828" s="337"/>
    </row>
    <row r="1829" spans="1:19" ht="30" customHeight="1" x14ac:dyDescent="0.25">
      <c r="A1829" s="367" t="s">
        <v>286</v>
      </c>
      <c r="B1829" s="1164" t="s">
        <v>1206</v>
      </c>
      <c r="C1829" s="1164"/>
      <c r="D1829" s="1164"/>
      <c r="E1829" s="547">
        <v>25000</v>
      </c>
      <c r="F1829" s="240">
        <v>259</v>
      </c>
      <c r="G1829" s="548"/>
      <c r="H1829" s="549"/>
      <c r="I1829" s="1302">
        <f>'2022 MILCON Inflation Table'!F17</f>
        <v>1.0833841548808889</v>
      </c>
      <c r="J1829" s="1303"/>
      <c r="K1829" s="240">
        <f>F1829*I1829</f>
        <v>280.59649611415023</v>
      </c>
      <c r="L1829" s="367" t="s">
        <v>205</v>
      </c>
      <c r="M1829" s="54"/>
      <c r="N1829" s="54"/>
      <c r="O1829" s="336"/>
      <c r="P1829" s="334"/>
      <c r="Q1829" s="335"/>
      <c r="R1829" s="336"/>
      <c r="S1829" s="337"/>
    </row>
    <row r="1830" spans="1:19" ht="30" customHeight="1" thickBot="1" x14ac:dyDescent="0.3">
      <c r="A1830" s="365"/>
      <c r="B1830" s="1281"/>
      <c r="C1830" s="1281"/>
      <c r="D1830" s="1281"/>
      <c r="E1830" s="550"/>
      <c r="F1830" s="551"/>
      <c r="G1830" s="551"/>
      <c r="H1830" s="552"/>
      <c r="I1830" s="366"/>
      <c r="J1830" s="359" t="s">
        <v>72</v>
      </c>
      <c r="K1830" s="246">
        <f>+K1829</f>
        <v>280.59649611415023</v>
      </c>
      <c r="L1830" s="365" t="s">
        <v>205</v>
      </c>
      <c r="M1830" s="54"/>
      <c r="N1830" s="54"/>
      <c r="O1830" s="336"/>
      <c r="P1830" s="334"/>
      <c r="Q1830" s="335"/>
      <c r="R1830" s="336"/>
      <c r="S1830" s="337"/>
    </row>
    <row r="1831" spans="1:19" ht="30" customHeight="1" thickBot="1" x14ac:dyDescent="0.3">
      <c r="A1831" s="1180"/>
      <c r="B1831" s="1181"/>
      <c r="C1831" s="1181"/>
      <c r="D1831" s="1181"/>
      <c r="E1831" s="1181"/>
      <c r="F1831" s="1181"/>
      <c r="G1831" s="1181"/>
      <c r="H1831" s="1181"/>
      <c r="I1831" s="1181"/>
      <c r="J1831" s="1181"/>
      <c r="K1831" s="1181"/>
      <c r="L1831" s="1182"/>
      <c r="M1831" s="54"/>
      <c r="N1831" s="54"/>
      <c r="O1831" s="336"/>
      <c r="P1831" s="334"/>
      <c r="Q1831" s="335"/>
      <c r="R1831" s="336"/>
      <c r="S1831" s="337"/>
    </row>
    <row r="1832" spans="1:19" ht="30" customHeight="1" x14ac:dyDescent="0.25">
      <c r="A1832" s="327" t="s">
        <v>5</v>
      </c>
      <c r="B1832" s="328">
        <v>2152</v>
      </c>
      <c r="C1832" s="1218" t="s">
        <v>1243</v>
      </c>
      <c r="D1832" s="1219"/>
      <c r="E1832" s="331" t="s">
        <v>8</v>
      </c>
      <c r="F1832" s="332" t="s">
        <v>205</v>
      </c>
      <c r="G1832" s="342" t="s">
        <v>74</v>
      </c>
      <c r="H1832" s="830">
        <v>12260</v>
      </c>
      <c r="I1832" s="331" t="s">
        <v>10</v>
      </c>
      <c r="J1832" s="1220" t="s">
        <v>3388</v>
      </c>
      <c r="K1832" s="1220"/>
      <c r="L1832" s="1221"/>
      <c r="M1832" s="54"/>
      <c r="N1832" s="54"/>
      <c r="O1832" s="336"/>
      <c r="P1832" s="334"/>
      <c r="Q1832" s="335"/>
      <c r="R1832" s="336"/>
      <c r="S1832" s="337"/>
    </row>
    <row r="1833" spans="1:19" ht="30" customHeight="1" x14ac:dyDescent="0.25">
      <c r="A1833" s="356" t="s">
        <v>1244</v>
      </c>
      <c r="B1833" s="1322" t="s">
        <v>1245</v>
      </c>
      <c r="C1833" s="1323"/>
      <c r="D1833" s="1324"/>
      <c r="E1833" s="356" t="s">
        <v>1246</v>
      </c>
      <c r="F1833" s="356" t="s">
        <v>117</v>
      </c>
      <c r="G1833" s="356" t="s">
        <v>1247</v>
      </c>
      <c r="H1833" s="356" t="s">
        <v>1248</v>
      </c>
      <c r="I1833" s="356" t="s">
        <v>296</v>
      </c>
      <c r="J1833" s="356"/>
      <c r="K1833" s="1236" t="s">
        <v>285</v>
      </c>
      <c r="L1833" s="1237"/>
      <c r="M1833" s="54"/>
      <c r="O1833" s="336"/>
      <c r="P1833" s="334"/>
      <c r="Q1833" s="335"/>
      <c r="R1833" s="336"/>
      <c r="S1833" s="337"/>
    </row>
    <row r="1834" spans="1:19" ht="45" customHeight="1" x14ac:dyDescent="0.25">
      <c r="A1834" s="365" t="s">
        <v>1135</v>
      </c>
      <c r="B1834" s="1268" t="s">
        <v>1249</v>
      </c>
      <c r="C1834" s="1167"/>
      <c r="D1834" s="1168"/>
      <c r="E1834" s="246">
        <f>164-2.51</f>
        <v>161.49</v>
      </c>
      <c r="F1834" s="365" t="s">
        <v>205</v>
      </c>
      <c r="G1834" s="567"/>
      <c r="H1834" s="246">
        <f>+E1834</f>
        <v>161.49</v>
      </c>
      <c r="I1834" s="366">
        <v>1.01</v>
      </c>
      <c r="J1834" s="366"/>
      <c r="K1834" s="246">
        <f>+H1834*I1834</f>
        <v>163.10490000000001</v>
      </c>
      <c r="L1834" s="664" t="s">
        <v>205</v>
      </c>
      <c r="M1834" s="112"/>
      <c r="N1834" s="54"/>
      <c r="O1834" s="336"/>
      <c r="P1834" s="334"/>
      <c r="Q1834" s="335"/>
      <c r="R1834" s="336"/>
      <c r="S1834" s="337"/>
    </row>
    <row r="1835" spans="1:19" ht="30" customHeight="1" x14ac:dyDescent="0.25">
      <c r="A1835" s="365" t="s">
        <v>520</v>
      </c>
      <c r="B1835" s="1209" t="s">
        <v>1250</v>
      </c>
      <c r="C1835" s="1210"/>
      <c r="D1835" s="1211"/>
      <c r="E1835" s="246">
        <v>177000</v>
      </c>
      <c r="F1835" s="365" t="s">
        <v>76</v>
      </c>
      <c r="G1835" s="567"/>
      <c r="H1835" s="246">
        <f>+E1835/H1832</f>
        <v>14.437194127243067</v>
      </c>
      <c r="I1835" s="366">
        <v>1.02</v>
      </c>
      <c r="J1835" s="366"/>
      <c r="K1835" s="246">
        <f t="shared" ref="K1835:K1843" si="41">+H1835*I1835</f>
        <v>14.72593800978793</v>
      </c>
      <c r="L1835" s="664" t="s">
        <v>205</v>
      </c>
      <c r="M1835" s="54"/>
      <c r="N1835" s="54"/>
      <c r="O1835" s="336"/>
      <c r="P1835" s="334"/>
      <c r="Q1835" s="335"/>
      <c r="R1835" s="336"/>
      <c r="S1835" s="337"/>
    </row>
    <row r="1836" spans="1:19" ht="30" customHeight="1" x14ac:dyDescent="0.25">
      <c r="A1836" s="365" t="s">
        <v>426</v>
      </c>
      <c r="B1836" s="1209" t="s">
        <v>1251</v>
      </c>
      <c r="C1836" s="1210"/>
      <c r="D1836" s="1211"/>
      <c r="E1836" s="246">
        <f>(20.3+31.5)/2</f>
        <v>25.9</v>
      </c>
      <c r="F1836" s="365" t="s">
        <v>1157</v>
      </c>
      <c r="G1836" s="567">
        <v>162</v>
      </c>
      <c r="H1836" s="246">
        <f>+E1836*G1836/H1832</f>
        <v>0.34223491027732467</v>
      </c>
      <c r="I1836" s="366">
        <v>1.03</v>
      </c>
      <c r="J1836" s="366"/>
      <c r="K1836" s="246">
        <f t="shared" si="41"/>
        <v>0.3525019575856444</v>
      </c>
      <c r="L1836" s="664" t="s">
        <v>205</v>
      </c>
      <c r="M1836" s="54"/>
      <c r="N1836" s="54"/>
      <c r="O1836" s="336"/>
      <c r="P1836" s="334"/>
      <c r="Q1836" s="335"/>
      <c r="R1836" s="336"/>
      <c r="S1836" s="337"/>
    </row>
    <row r="1837" spans="1:19" ht="30" customHeight="1" x14ac:dyDescent="0.25">
      <c r="A1837" s="365" t="s">
        <v>426</v>
      </c>
      <c r="B1837" s="1209" t="s">
        <v>1252</v>
      </c>
      <c r="C1837" s="1210"/>
      <c r="D1837" s="1211"/>
      <c r="E1837" s="266">
        <f>(1710+2420)/2</f>
        <v>2065</v>
      </c>
      <c r="F1837" s="365" t="s">
        <v>76</v>
      </c>
      <c r="G1837" s="567">
        <v>2</v>
      </c>
      <c r="H1837" s="246">
        <f>+E1837*G1837/H1832</f>
        <v>0.33686786296900489</v>
      </c>
      <c r="I1837" s="366">
        <v>1.03</v>
      </c>
      <c r="J1837" s="366"/>
      <c r="K1837" s="246">
        <f t="shared" si="41"/>
        <v>0.34697389885807506</v>
      </c>
      <c r="L1837" s="664" t="s">
        <v>205</v>
      </c>
      <c r="M1837" s="54"/>
      <c r="N1837" s="54"/>
      <c r="O1837" s="336"/>
      <c r="P1837" s="334"/>
      <c r="Q1837" s="335"/>
      <c r="R1837" s="336"/>
      <c r="S1837" s="337"/>
    </row>
    <row r="1838" spans="1:19" ht="30" customHeight="1" x14ac:dyDescent="0.25">
      <c r="A1838" s="365" t="s">
        <v>430</v>
      </c>
      <c r="B1838" s="1209" t="s">
        <v>1253</v>
      </c>
      <c r="C1838" s="1210"/>
      <c r="D1838" s="1211"/>
      <c r="E1838" s="246">
        <f>+(34.5+82)/2</f>
        <v>58.25</v>
      </c>
      <c r="F1838" s="365" t="s">
        <v>40</v>
      </c>
      <c r="G1838" s="567">
        <v>20</v>
      </c>
      <c r="H1838" s="246">
        <f>+E1838*G1838/H1832</f>
        <v>9.5024469820554652E-2</v>
      </c>
      <c r="I1838" s="366">
        <v>1.03</v>
      </c>
      <c r="J1838" s="366"/>
      <c r="K1838" s="246">
        <f t="shared" si="41"/>
        <v>9.7875203915171294E-2</v>
      </c>
      <c r="L1838" s="664" t="s">
        <v>205</v>
      </c>
      <c r="M1838" s="54"/>
      <c r="N1838" s="54"/>
      <c r="O1838" s="336"/>
      <c r="P1838" s="334"/>
      <c r="Q1838" s="335"/>
      <c r="R1838" s="336"/>
      <c r="S1838" s="337"/>
    </row>
    <row r="1839" spans="1:19" ht="30" customHeight="1" x14ac:dyDescent="0.25">
      <c r="A1839" s="365" t="s">
        <v>430</v>
      </c>
      <c r="B1839" s="1209" t="s">
        <v>1160</v>
      </c>
      <c r="C1839" s="1210"/>
      <c r="D1839" s="1211"/>
      <c r="E1839" s="246">
        <f>(6450+12300)/2</f>
        <v>9375</v>
      </c>
      <c r="F1839" s="365" t="s">
        <v>76</v>
      </c>
      <c r="G1839" s="567">
        <v>2</v>
      </c>
      <c r="H1839" s="246">
        <f>+E1839*G1839/H1832</f>
        <v>1.5293637846655792</v>
      </c>
      <c r="I1839" s="366">
        <v>1.03</v>
      </c>
      <c r="J1839" s="366"/>
      <c r="K1839" s="246">
        <f t="shared" si="41"/>
        <v>1.5752446982055466</v>
      </c>
      <c r="L1839" s="664" t="s">
        <v>205</v>
      </c>
      <c r="M1839" s="54"/>
      <c r="N1839" s="54"/>
      <c r="O1839" s="336"/>
      <c r="P1839" s="334"/>
      <c r="Q1839" s="335"/>
      <c r="R1839" s="336"/>
      <c r="S1839" s="337"/>
    </row>
    <row r="1840" spans="1:19" ht="30" customHeight="1" x14ac:dyDescent="0.25">
      <c r="A1840" s="365" t="s">
        <v>430</v>
      </c>
      <c r="B1840" s="1209" t="s">
        <v>1254</v>
      </c>
      <c r="C1840" s="1210"/>
      <c r="D1840" s="1211"/>
      <c r="E1840" s="246">
        <f>(660+1010)/2</f>
        <v>835</v>
      </c>
      <c r="F1840" s="365" t="s">
        <v>76</v>
      </c>
      <c r="G1840" s="567">
        <v>2</v>
      </c>
      <c r="H1840" s="246">
        <f>+E1840*G1840/H1832</f>
        <v>0.13621533442088091</v>
      </c>
      <c r="I1840" s="366">
        <v>1.03</v>
      </c>
      <c r="J1840" s="366"/>
      <c r="K1840" s="246">
        <f t="shared" si="41"/>
        <v>0.14030179445350735</v>
      </c>
      <c r="L1840" s="664" t="s">
        <v>205</v>
      </c>
      <c r="M1840" s="54"/>
      <c r="N1840" s="54"/>
      <c r="O1840" s="336"/>
      <c r="P1840" s="334"/>
      <c r="Q1840" s="335"/>
      <c r="R1840" s="336"/>
      <c r="S1840" s="337"/>
    </row>
    <row r="1841" spans="1:21" ht="30" customHeight="1" x14ac:dyDescent="0.25">
      <c r="A1841" s="365" t="s">
        <v>430</v>
      </c>
      <c r="B1841" s="1209" t="s">
        <v>1162</v>
      </c>
      <c r="C1841" s="1210"/>
      <c r="D1841" s="1211"/>
      <c r="E1841" s="246">
        <f>(1160+3475)/2</f>
        <v>2317.5</v>
      </c>
      <c r="F1841" s="365" t="s">
        <v>76</v>
      </c>
      <c r="G1841" s="567">
        <v>2</v>
      </c>
      <c r="H1841" s="246">
        <f>+E1841*G1841/H1832</f>
        <v>0.37805872756933118</v>
      </c>
      <c r="I1841" s="366">
        <v>1.03</v>
      </c>
      <c r="J1841" s="366"/>
      <c r="K1841" s="246">
        <f t="shared" si="41"/>
        <v>0.38940048939641114</v>
      </c>
      <c r="L1841" s="664" t="s">
        <v>205</v>
      </c>
      <c r="M1841" s="54"/>
      <c r="N1841" s="54"/>
      <c r="O1841" s="336"/>
      <c r="P1841" s="334"/>
      <c r="Q1841" s="335"/>
      <c r="R1841" s="336"/>
      <c r="S1841" s="337"/>
    </row>
    <row r="1842" spans="1:21" ht="30" customHeight="1" x14ac:dyDescent="0.25">
      <c r="A1842" s="365" t="s">
        <v>406</v>
      </c>
      <c r="B1842" s="1209" t="s">
        <v>457</v>
      </c>
      <c r="C1842" s="1210"/>
      <c r="D1842" s="1211"/>
      <c r="E1842" s="246">
        <v>3.12</v>
      </c>
      <c r="F1842" s="365" t="s">
        <v>205</v>
      </c>
      <c r="G1842" s="567"/>
      <c r="H1842" s="246">
        <f>+E1842</f>
        <v>3.12</v>
      </c>
      <c r="I1842" s="366">
        <v>1.01</v>
      </c>
      <c r="J1842" s="366"/>
      <c r="K1842" s="246">
        <f t="shared" si="41"/>
        <v>3.1512000000000002</v>
      </c>
      <c r="L1842" s="664" t="s">
        <v>205</v>
      </c>
      <c r="M1842" s="54"/>
      <c r="N1842" s="54"/>
      <c r="O1842" s="336"/>
      <c r="P1842" s="334"/>
      <c r="Q1842" s="335"/>
      <c r="R1842" s="336"/>
      <c r="S1842" s="337"/>
    </row>
    <row r="1843" spans="1:21" ht="30" customHeight="1" x14ac:dyDescent="0.25">
      <c r="A1843" s="365" t="s">
        <v>406</v>
      </c>
      <c r="B1843" s="1209" t="s">
        <v>1255</v>
      </c>
      <c r="C1843" s="1210"/>
      <c r="D1843" s="1211"/>
      <c r="E1843" s="246">
        <f xml:space="preserve"> 0.58+((1.15+1.71)/2)</f>
        <v>2.0099999999999998</v>
      </c>
      <c r="F1843" s="365" t="s">
        <v>205</v>
      </c>
      <c r="G1843" s="567"/>
      <c r="H1843" s="246">
        <f>+E1843</f>
        <v>2.0099999999999998</v>
      </c>
      <c r="I1843" s="366">
        <v>1.01</v>
      </c>
      <c r="J1843" s="366"/>
      <c r="K1843" s="246">
        <f t="shared" si="41"/>
        <v>2.0301</v>
      </c>
      <c r="L1843" s="664" t="s">
        <v>205</v>
      </c>
      <c r="M1843" s="54"/>
      <c r="N1843" s="54"/>
      <c r="O1843" s="336"/>
      <c r="P1843" s="334"/>
      <c r="Q1843" s="335"/>
      <c r="R1843" s="336"/>
      <c r="S1843" s="337"/>
    </row>
    <row r="1844" spans="1:21" ht="30" customHeight="1" x14ac:dyDescent="0.25">
      <c r="A1844" s="365"/>
      <c r="B1844" s="831"/>
      <c r="C1844" s="832"/>
      <c r="D1844" s="833"/>
      <c r="E1844" s="246"/>
      <c r="F1844" s="365"/>
      <c r="G1844" s="567"/>
      <c r="H1844" s="168"/>
      <c r="I1844" s="587"/>
      <c r="J1844" s="698" t="s">
        <v>343</v>
      </c>
      <c r="K1844" s="246">
        <f>SUM(K1834:K1843)</f>
        <v>185.91443605220232</v>
      </c>
      <c r="L1844" s="664" t="s">
        <v>205</v>
      </c>
      <c r="M1844" s="54"/>
      <c r="N1844" s="54"/>
      <c r="O1844" s="336"/>
      <c r="P1844" s="334"/>
      <c r="Q1844" s="335"/>
      <c r="R1844" s="336"/>
      <c r="S1844" s="337"/>
    </row>
    <row r="1845" spans="1:21" ht="30" customHeight="1" x14ac:dyDescent="0.25">
      <c r="A1845" s="365"/>
      <c r="B1845" s="578"/>
      <c r="C1845" s="578"/>
      <c r="D1845" s="578"/>
      <c r="E1845" s="247"/>
      <c r="F1845" s="1272" t="s">
        <v>303</v>
      </c>
      <c r="G1845" s="1283" t="s">
        <v>304</v>
      </c>
      <c r="H1845" s="1283"/>
      <c r="I1845" s="1283"/>
      <c r="J1845" s="1283"/>
      <c r="K1845" s="250">
        <v>1.08</v>
      </c>
      <c r="L1845" s="365"/>
      <c r="M1845" s="54"/>
      <c r="N1845" s="54"/>
      <c r="O1845" s="336"/>
      <c r="P1845" s="334"/>
      <c r="Q1845" s="335"/>
      <c r="R1845" s="336"/>
      <c r="S1845" s="337"/>
    </row>
    <row r="1846" spans="1:21" ht="30" customHeight="1" x14ac:dyDescent="0.25">
      <c r="A1846" s="365"/>
      <c r="B1846" s="578"/>
      <c r="C1846" s="578"/>
      <c r="D1846" s="578"/>
      <c r="E1846" s="247"/>
      <c r="F1846" s="1273"/>
      <c r="G1846" s="1284" t="s">
        <v>438</v>
      </c>
      <c r="H1846" s="1284"/>
      <c r="I1846" s="1284"/>
      <c r="J1846" s="1284"/>
      <c r="K1846" s="250">
        <v>1.08</v>
      </c>
      <c r="L1846" s="365"/>
      <c r="M1846" s="54"/>
      <c r="N1846" s="54"/>
      <c r="O1846" s="336"/>
      <c r="P1846" s="334"/>
      <c r="Q1846" s="335"/>
      <c r="R1846" s="336"/>
      <c r="S1846" s="337"/>
    </row>
    <row r="1847" spans="1:21" ht="30" customHeight="1" x14ac:dyDescent="0.25">
      <c r="A1847" s="365"/>
      <c r="B1847" s="366"/>
      <c r="C1847" s="366"/>
      <c r="D1847" s="366"/>
      <c r="E1847" s="366"/>
      <c r="F1847" s="366"/>
      <c r="G1847" s="1212" t="s">
        <v>414</v>
      </c>
      <c r="H1847" s="1213"/>
      <c r="I1847" s="1552"/>
      <c r="J1847" s="521">
        <f>VLOOKUP(B1832,'Mil Cost Premiums for PUCs'!$A$4:$R$277,18,FALSE)</f>
        <v>1.1932356231980656</v>
      </c>
      <c r="K1847" s="247">
        <f>+K1844*K1845/K1846*J1847</f>
        <v>221.83972796426656</v>
      </c>
      <c r="L1847" s="664" t="s">
        <v>205</v>
      </c>
      <c r="M1847" s="54"/>
      <c r="N1847" s="54"/>
      <c r="O1847" s="336"/>
      <c r="P1847" s="334"/>
      <c r="Q1847" s="335"/>
      <c r="R1847" s="336"/>
      <c r="S1847" s="337"/>
    </row>
    <row r="1848" spans="1:21" ht="30" customHeight="1" x14ac:dyDescent="0.25">
      <c r="A1848" s="365"/>
      <c r="B1848" s="365"/>
      <c r="C1848" s="366"/>
      <c r="D1848" s="366"/>
      <c r="E1848" s="366"/>
      <c r="F1848" s="1212" t="s">
        <v>1148</v>
      </c>
      <c r="G1848" s="1213"/>
      <c r="H1848" s="1213"/>
      <c r="I1848" s="1213"/>
      <c r="J1848" s="521">
        <v>1.0833999999999999</v>
      </c>
      <c r="K1848" s="544">
        <f>K1847*J1848</f>
        <v>240.34116127648636</v>
      </c>
      <c r="L1848" s="365" t="s">
        <v>205</v>
      </c>
      <c r="N1848" s="54"/>
      <c r="O1848" s="336"/>
      <c r="P1848" s="334"/>
      <c r="Q1848" s="335"/>
      <c r="R1848" s="336"/>
      <c r="S1848" s="337"/>
    </row>
    <row r="1849" spans="1:21" ht="60" customHeight="1" x14ac:dyDescent="0.25">
      <c r="A1849" s="1230" t="s">
        <v>307</v>
      </c>
      <c r="B1849" s="1231"/>
      <c r="C1849" s="1231"/>
      <c r="D1849" s="1231"/>
      <c r="E1849" s="1231"/>
      <c r="F1849" s="1231"/>
      <c r="G1849" s="1231"/>
      <c r="H1849" s="1231"/>
      <c r="I1849" s="1231"/>
      <c r="J1849" s="1231"/>
      <c r="K1849" s="1231"/>
      <c r="L1849" s="1232"/>
      <c r="M1849" s="54"/>
      <c r="N1849" s="54"/>
      <c r="O1849" s="543"/>
      <c r="P1849" s="344"/>
      <c r="Q1849" s="345"/>
      <c r="R1849" s="345"/>
      <c r="S1849" s="345"/>
      <c r="T1849" s="345"/>
    </row>
    <row r="1850" spans="1:21" ht="30" customHeight="1" x14ac:dyDescent="0.25">
      <c r="A1850" s="1268" t="s">
        <v>308</v>
      </c>
      <c r="B1850" s="1167"/>
      <c r="C1850" s="1168"/>
      <c r="D1850" s="1230" t="s">
        <v>1256</v>
      </c>
      <c r="E1850" s="1231"/>
      <c r="F1850" s="1231"/>
      <c r="G1850" s="1231"/>
      <c r="H1850" s="1231"/>
      <c r="I1850" s="1231"/>
      <c r="J1850" s="1231"/>
      <c r="K1850" s="1231"/>
      <c r="L1850" s="1232"/>
      <c r="M1850" s="54"/>
      <c r="N1850" s="54"/>
      <c r="U1850" s="345"/>
    </row>
    <row r="1851" spans="1:21" ht="30" customHeight="1" x14ac:dyDescent="0.25">
      <c r="A1851" s="1268" t="s">
        <v>310</v>
      </c>
      <c r="B1851" s="1167"/>
      <c r="C1851" s="1168"/>
      <c r="D1851" s="1230" t="s">
        <v>1257</v>
      </c>
      <c r="E1851" s="1231"/>
      <c r="F1851" s="1231"/>
      <c r="G1851" s="1231"/>
      <c r="H1851" s="1231"/>
      <c r="I1851" s="1231"/>
      <c r="J1851" s="1231"/>
      <c r="K1851" s="1231"/>
      <c r="L1851" s="1232"/>
      <c r="M1851" s="54"/>
      <c r="N1851" s="54"/>
      <c r="O1851" s="336"/>
      <c r="P1851" s="334"/>
      <c r="Q1851" s="335"/>
      <c r="R1851" s="336"/>
      <c r="S1851" s="337"/>
    </row>
    <row r="1852" spans="1:21" ht="30" customHeight="1" x14ac:dyDescent="0.25">
      <c r="A1852" s="1268" t="s">
        <v>312</v>
      </c>
      <c r="B1852" s="1167"/>
      <c r="C1852" s="1168"/>
      <c r="D1852" s="1230" t="s">
        <v>1258</v>
      </c>
      <c r="E1852" s="1231"/>
      <c r="F1852" s="1231"/>
      <c r="G1852" s="1231"/>
      <c r="H1852" s="1231"/>
      <c r="I1852" s="1231"/>
      <c r="J1852" s="1231"/>
      <c r="K1852" s="1231"/>
      <c r="L1852" s="1232"/>
      <c r="M1852" s="54"/>
      <c r="N1852" s="54"/>
      <c r="O1852" s="467"/>
      <c r="P1852" s="334"/>
      <c r="Q1852" s="335"/>
      <c r="R1852" s="336"/>
      <c r="S1852" s="337"/>
    </row>
    <row r="1853" spans="1:21" ht="45" customHeight="1" x14ac:dyDescent="0.25">
      <c r="A1853" s="1268" t="s">
        <v>314</v>
      </c>
      <c r="B1853" s="1167"/>
      <c r="C1853" s="1168"/>
      <c r="D1853" s="1230" t="s">
        <v>1259</v>
      </c>
      <c r="E1853" s="1231"/>
      <c r="F1853" s="1231"/>
      <c r="G1853" s="1231"/>
      <c r="H1853" s="1231"/>
      <c r="I1853" s="1231"/>
      <c r="J1853" s="1231"/>
      <c r="K1853" s="1231"/>
      <c r="L1853" s="1232"/>
      <c r="M1853" s="54"/>
      <c r="N1853" s="54"/>
      <c r="O1853" s="467"/>
      <c r="P1853" s="334"/>
      <c r="Q1853" s="335"/>
      <c r="R1853" s="336"/>
      <c r="S1853" s="337"/>
    </row>
    <row r="1854" spans="1:21" ht="60" customHeight="1" x14ac:dyDescent="0.25">
      <c r="A1854" s="1268" t="s">
        <v>316</v>
      </c>
      <c r="B1854" s="1167"/>
      <c r="C1854" s="1168"/>
      <c r="D1854" s="1230" t="s">
        <v>1260</v>
      </c>
      <c r="E1854" s="1231"/>
      <c r="F1854" s="1231"/>
      <c r="G1854" s="1231"/>
      <c r="H1854" s="1231"/>
      <c r="I1854" s="1231"/>
      <c r="J1854" s="1231"/>
      <c r="K1854" s="1231"/>
      <c r="L1854" s="1232"/>
      <c r="M1854" s="54"/>
      <c r="N1854" s="54"/>
      <c r="O1854" s="336"/>
      <c r="P1854" s="334"/>
      <c r="Q1854" s="335"/>
      <c r="R1854" s="336"/>
      <c r="S1854" s="337"/>
    </row>
    <row r="1855" spans="1:21" ht="30" customHeight="1" x14ac:dyDescent="0.25">
      <c r="A1855" s="1268" t="s">
        <v>318</v>
      </c>
      <c r="B1855" s="1167"/>
      <c r="C1855" s="1168"/>
      <c r="D1855" s="1230" t="s">
        <v>1261</v>
      </c>
      <c r="E1855" s="1231"/>
      <c r="F1855" s="1231"/>
      <c r="G1855" s="1231"/>
      <c r="H1855" s="1231"/>
      <c r="I1855" s="1231"/>
      <c r="J1855" s="1231"/>
      <c r="K1855" s="1231"/>
      <c r="L1855" s="1232"/>
      <c r="M1855" s="54"/>
      <c r="N1855" s="54"/>
      <c r="O1855" s="336"/>
      <c r="P1855" s="334"/>
      <c r="Q1855" s="335"/>
      <c r="R1855" s="336"/>
      <c r="S1855" s="337"/>
    </row>
    <row r="1856" spans="1:21" ht="30" customHeight="1" x14ac:dyDescent="0.25">
      <c r="A1856" s="1268" t="s">
        <v>320</v>
      </c>
      <c r="B1856" s="1167"/>
      <c r="C1856" s="1168"/>
      <c r="D1856" s="1230" t="s">
        <v>826</v>
      </c>
      <c r="E1856" s="1231"/>
      <c r="F1856" s="1231"/>
      <c r="G1856" s="1231"/>
      <c r="H1856" s="1231"/>
      <c r="I1856" s="1231"/>
      <c r="J1856" s="1231"/>
      <c r="K1856" s="1231"/>
      <c r="L1856" s="1232"/>
      <c r="M1856" s="54"/>
      <c r="N1856" s="54"/>
      <c r="O1856" s="336"/>
      <c r="P1856" s="334"/>
      <c r="Q1856" s="335"/>
      <c r="R1856" s="336"/>
      <c r="S1856" s="337"/>
    </row>
    <row r="1857" spans="1:25" ht="30" customHeight="1" x14ac:dyDescent="0.25">
      <c r="A1857" s="1268" t="s">
        <v>322</v>
      </c>
      <c r="B1857" s="1167"/>
      <c r="C1857" s="1168"/>
      <c r="D1857" s="1206" t="s">
        <v>1262</v>
      </c>
      <c r="E1857" s="1207"/>
      <c r="F1857" s="1207"/>
      <c r="G1857" s="1207"/>
      <c r="H1857" s="1207"/>
      <c r="I1857" s="1207"/>
      <c r="J1857" s="1207"/>
      <c r="K1857" s="1207"/>
      <c r="L1857" s="1208"/>
      <c r="M1857" s="54"/>
      <c r="N1857" s="54"/>
      <c r="O1857" s="336"/>
      <c r="P1857" s="334"/>
      <c r="Q1857" s="335"/>
      <c r="R1857" s="336"/>
      <c r="S1857" s="337"/>
    </row>
    <row r="1858" spans="1:25" ht="90" customHeight="1" thickBot="1" x14ac:dyDescent="0.3">
      <c r="A1858" s="1268" t="s">
        <v>350</v>
      </c>
      <c r="B1858" s="1167"/>
      <c r="C1858" s="1168"/>
      <c r="D1858" s="1291" t="s">
        <v>3383</v>
      </c>
      <c r="E1858" s="1292"/>
      <c r="F1858" s="1292"/>
      <c r="G1858" s="1292"/>
      <c r="H1858" s="1292"/>
      <c r="I1858" s="1292"/>
      <c r="J1858" s="1292"/>
      <c r="K1858" s="1292"/>
      <c r="L1858" s="1293"/>
      <c r="M1858" s="54"/>
      <c r="N1858" s="54"/>
      <c r="O1858" s="336"/>
      <c r="P1858" s="334"/>
      <c r="Q1858" s="335"/>
      <c r="R1858" s="336"/>
      <c r="S1858" s="337"/>
    </row>
    <row r="1859" spans="1:25" ht="30" customHeight="1" thickBot="1" x14ac:dyDescent="0.3">
      <c r="A1859" s="1180"/>
      <c r="B1859" s="1181"/>
      <c r="C1859" s="1181"/>
      <c r="D1859" s="1181"/>
      <c r="E1859" s="1181"/>
      <c r="F1859" s="1181"/>
      <c r="G1859" s="1181"/>
      <c r="H1859" s="1181"/>
      <c r="I1859" s="1181"/>
      <c r="J1859" s="1181"/>
      <c r="K1859" s="1181"/>
      <c r="L1859" s="1182"/>
      <c r="M1859" s="54"/>
      <c r="O1859" s="336"/>
      <c r="P1859" s="334"/>
      <c r="Q1859" s="335"/>
      <c r="R1859" s="336"/>
      <c r="S1859" s="337"/>
    </row>
    <row r="1860" spans="1:25" ht="30" customHeight="1" x14ac:dyDescent="0.25">
      <c r="A1860" s="327" t="s">
        <v>5</v>
      </c>
      <c r="B1860" s="328">
        <v>2153</v>
      </c>
      <c r="C1860" s="1218" t="s">
        <v>1263</v>
      </c>
      <c r="D1860" s="1219"/>
      <c r="E1860" s="331" t="s">
        <v>8</v>
      </c>
      <c r="F1860" s="332" t="s">
        <v>205</v>
      </c>
      <c r="G1860" s="342" t="s">
        <v>74</v>
      </c>
      <c r="H1860" s="160">
        <v>7187</v>
      </c>
      <c r="I1860" s="331" t="s">
        <v>10</v>
      </c>
      <c r="J1860" s="1220" t="s">
        <v>1264</v>
      </c>
      <c r="K1860" s="1220"/>
      <c r="L1860" s="1221"/>
      <c r="M1860" s="112"/>
      <c r="N1860" s="111"/>
      <c r="O1860" s="336"/>
      <c r="P1860" s="334"/>
      <c r="Q1860" s="335"/>
      <c r="R1860" s="336"/>
      <c r="S1860" s="337"/>
    </row>
    <row r="1861" spans="1:25" ht="30" customHeight="1" x14ac:dyDescent="0.25">
      <c r="A1861" s="356"/>
      <c r="B1861" s="1163" t="s">
        <v>13</v>
      </c>
      <c r="C1861" s="1163"/>
      <c r="D1861" s="1163"/>
      <c r="E1861" s="356" t="s">
        <v>116</v>
      </c>
      <c r="F1861" s="356" t="s">
        <v>117</v>
      </c>
      <c r="G1861" s="1194" t="s">
        <v>118</v>
      </c>
      <c r="H1861" s="1195"/>
      <c r="I1861" s="356" t="s">
        <v>119</v>
      </c>
      <c r="J1861" s="356" t="s">
        <v>120</v>
      </c>
      <c r="K1861" s="1236" t="s">
        <v>72</v>
      </c>
      <c r="L1861" s="1237"/>
      <c r="M1861" s="54"/>
      <c r="N1861" s="54"/>
      <c r="O1861" s="336"/>
      <c r="P1861" s="334"/>
      <c r="Q1861" s="335"/>
      <c r="R1861" s="336"/>
      <c r="S1861" s="337"/>
    </row>
    <row r="1862" spans="1:25" ht="30" customHeight="1" thickBot="1" x14ac:dyDescent="0.3">
      <c r="A1862" s="360"/>
      <c r="B1862" s="1179" t="s">
        <v>1223</v>
      </c>
      <c r="C1862" s="1179"/>
      <c r="D1862" s="1179"/>
      <c r="E1862" s="694">
        <f>K1631</f>
        <v>244.59991439053928</v>
      </c>
      <c r="F1862" s="486" t="s">
        <v>1265</v>
      </c>
      <c r="G1862" s="1183"/>
      <c r="H1862" s="1184"/>
      <c r="I1862" s="486"/>
      <c r="J1862" s="487" t="s">
        <v>716</v>
      </c>
      <c r="K1862" s="488">
        <f>E1862</f>
        <v>244.59991439053928</v>
      </c>
      <c r="L1862" s="486" t="s">
        <v>205</v>
      </c>
      <c r="M1862" s="54"/>
      <c r="N1862" s="54"/>
      <c r="O1862" s="336"/>
      <c r="P1862" s="334"/>
      <c r="Q1862" s="335"/>
      <c r="R1862" s="336"/>
      <c r="S1862" s="337"/>
    </row>
    <row r="1863" spans="1:25" ht="30" customHeight="1" thickBot="1" x14ac:dyDescent="0.3">
      <c r="A1863" s="1180"/>
      <c r="B1863" s="1181"/>
      <c r="C1863" s="1181"/>
      <c r="D1863" s="1181"/>
      <c r="E1863" s="1181"/>
      <c r="F1863" s="1181"/>
      <c r="G1863" s="1181"/>
      <c r="H1863" s="1181"/>
      <c r="I1863" s="1181"/>
      <c r="J1863" s="1181"/>
      <c r="K1863" s="1181"/>
      <c r="L1863" s="1182"/>
      <c r="M1863" s="54"/>
      <c r="N1863" s="54"/>
      <c r="O1863" s="336"/>
      <c r="P1863" s="334"/>
      <c r="Q1863" s="335"/>
      <c r="R1863" s="336"/>
      <c r="S1863" s="337"/>
    </row>
    <row r="1864" spans="1:25" ht="30" customHeight="1" x14ac:dyDescent="0.25">
      <c r="A1864" s="327" t="s">
        <v>5</v>
      </c>
      <c r="B1864" s="328">
        <v>2154</v>
      </c>
      <c r="C1864" s="1553" t="s">
        <v>1266</v>
      </c>
      <c r="D1864" s="1553"/>
      <c r="E1864" s="331" t="s">
        <v>8</v>
      </c>
      <c r="F1864" s="332" t="s">
        <v>205</v>
      </c>
      <c r="G1864" s="342" t="s">
        <v>74</v>
      </c>
      <c r="H1864" s="820">
        <v>11273</v>
      </c>
      <c r="I1864" s="331" t="s">
        <v>10</v>
      </c>
      <c r="J1864" s="1220" t="s">
        <v>3388</v>
      </c>
      <c r="K1864" s="1220"/>
      <c r="L1864" s="1221"/>
      <c r="M1864" s="54"/>
      <c r="N1864" s="54"/>
      <c r="O1864" s="336"/>
      <c r="P1864" s="334"/>
      <c r="Q1864" s="335"/>
      <c r="R1864" s="336"/>
      <c r="S1864" s="337"/>
    </row>
    <row r="1865" spans="1:25" ht="30" customHeight="1" x14ac:dyDescent="0.25">
      <c r="A1865" s="359" t="s">
        <v>295</v>
      </c>
      <c r="B1865" s="1554" t="s">
        <v>326</v>
      </c>
      <c r="C1865" s="1554"/>
      <c r="D1865" s="1554"/>
      <c r="E1865" s="359" t="s">
        <v>116</v>
      </c>
      <c r="F1865" s="359" t="s">
        <v>117</v>
      </c>
      <c r="G1865" s="1250" t="s">
        <v>118</v>
      </c>
      <c r="H1865" s="1250"/>
      <c r="I1865" s="356" t="s">
        <v>296</v>
      </c>
      <c r="J1865" s="356"/>
      <c r="K1865" s="1236" t="s">
        <v>285</v>
      </c>
      <c r="L1865" s="1237"/>
      <c r="M1865" s="54"/>
      <c r="N1865" s="111"/>
    </row>
    <row r="1866" spans="1:25" ht="45" customHeight="1" x14ac:dyDescent="0.25">
      <c r="A1866" s="365" t="s">
        <v>1135</v>
      </c>
      <c r="B1866" s="1268" t="s">
        <v>1267</v>
      </c>
      <c r="C1866" s="1167"/>
      <c r="D1866" s="1168"/>
      <c r="E1866" s="247">
        <f>164-2.51</f>
        <v>161.49</v>
      </c>
      <c r="F1866" s="365" t="s">
        <v>205</v>
      </c>
      <c r="G1866" s="365"/>
      <c r="H1866" s="365"/>
      <c r="I1866" s="365">
        <v>1.01</v>
      </c>
      <c r="J1866" s="365"/>
      <c r="K1866" s="247">
        <f>+E1866*I1866</f>
        <v>163.10490000000001</v>
      </c>
      <c r="L1866" s="365" t="s">
        <v>205</v>
      </c>
      <c r="M1866" s="54"/>
      <c r="N1866" s="54"/>
      <c r="T1866" s="60"/>
      <c r="V1866" s="345"/>
      <c r="W1866" s="345"/>
      <c r="X1866" s="345"/>
      <c r="Y1866" s="345"/>
    </row>
    <row r="1867" spans="1:25" s="345" customFormat="1" ht="30" customHeight="1" x14ac:dyDescent="0.25">
      <c r="A1867" s="365" t="s">
        <v>520</v>
      </c>
      <c r="B1867" s="1281" t="s">
        <v>1268</v>
      </c>
      <c r="C1867" s="1281"/>
      <c r="D1867" s="1281"/>
      <c r="E1867" s="246">
        <v>141000</v>
      </c>
      <c r="F1867" s="365" t="s">
        <v>76</v>
      </c>
      <c r="G1867" s="805">
        <f>+H1864</f>
        <v>11273</v>
      </c>
      <c r="H1867" s="662" t="s">
        <v>1269</v>
      </c>
      <c r="I1867" s="365">
        <v>1.02</v>
      </c>
      <c r="J1867" s="365"/>
      <c r="K1867" s="247">
        <f>+(E1867/G1867)*I1867</f>
        <v>12.757917147165795</v>
      </c>
      <c r="L1867" s="365" t="s">
        <v>205</v>
      </c>
      <c r="M1867" s="54"/>
      <c r="N1867" s="54"/>
      <c r="O1867" s="334"/>
      <c r="P1867" s="340"/>
      <c r="Q1867" s="334"/>
      <c r="R1867" s="334"/>
      <c r="S1867" s="334"/>
      <c r="T1867" s="10"/>
      <c r="U1867" s="60"/>
      <c r="V1867" s="334"/>
      <c r="W1867" s="334"/>
      <c r="X1867" s="334"/>
      <c r="Y1867" s="334"/>
    </row>
    <row r="1868" spans="1:25" ht="30" customHeight="1" x14ac:dyDescent="0.25">
      <c r="A1868" s="365" t="s">
        <v>406</v>
      </c>
      <c r="B1868" s="1281" t="s">
        <v>1270</v>
      </c>
      <c r="C1868" s="1281"/>
      <c r="D1868" s="1281"/>
      <c r="E1868" s="247">
        <v>4</v>
      </c>
      <c r="F1868" s="365" t="s">
        <v>205</v>
      </c>
      <c r="G1868" s="366"/>
      <c r="H1868" s="662"/>
      <c r="I1868" s="365">
        <v>1.01</v>
      </c>
      <c r="J1868" s="365"/>
      <c r="K1868" s="247">
        <f>+E1868*I1868</f>
        <v>4.04</v>
      </c>
      <c r="L1868" s="365" t="s">
        <v>205</v>
      </c>
      <c r="M1868" s="54"/>
      <c r="N1868" s="54"/>
      <c r="O1868" s="543"/>
      <c r="P1868" s="344"/>
      <c r="Q1868" s="345"/>
      <c r="R1868" s="345"/>
      <c r="S1868" s="345"/>
      <c r="T1868" s="345"/>
      <c r="U1868" s="10"/>
    </row>
    <row r="1869" spans="1:25" ht="30" customHeight="1" x14ac:dyDescent="0.25">
      <c r="A1869" s="365"/>
      <c r="B1869" s="1281" t="s">
        <v>1271</v>
      </c>
      <c r="C1869" s="1281"/>
      <c r="D1869" s="1281"/>
      <c r="E1869" s="247"/>
      <c r="F1869" s="365"/>
      <c r="G1869" s="366"/>
      <c r="H1869" s="662"/>
      <c r="I1869" s="365"/>
      <c r="J1869" s="365" t="s">
        <v>343</v>
      </c>
      <c r="K1869" s="247">
        <f>SUM(K1866:K1868)</f>
        <v>179.90281714716579</v>
      </c>
      <c r="L1869" s="365" t="s">
        <v>205</v>
      </c>
      <c r="M1869" s="54"/>
      <c r="N1869" s="54"/>
      <c r="U1869" s="345"/>
    </row>
    <row r="1870" spans="1:25" ht="30" customHeight="1" x14ac:dyDescent="0.25">
      <c r="A1870" s="365"/>
      <c r="B1870" s="1214"/>
      <c r="C1870" s="1215"/>
      <c r="D1870" s="1216"/>
      <c r="E1870" s="247"/>
      <c r="F1870" s="1272" t="s">
        <v>303</v>
      </c>
      <c r="G1870" s="1283" t="s">
        <v>304</v>
      </c>
      <c r="H1870" s="1283"/>
      <c r="I1870" s="1283"/>
      <c r="J1870" s="1283"/>
      <c r="K1870" s="250">
        <v>1.08</v>
      </c>
      <c r="L1870" s="365"/>
      <c r="M1870" s="54"/>
      <c r="N1870" s="54"/>
    </row>
    <row r="1871" spans="1:25" ht="30" customHeight="1" x14ac:dyDescent="0.25">
      <c r="A1871" s="365"/>
      <c r="B1871" s="578"/>
      <c r="C1871" s="578"/>
      <c r="D1871" s="578"/>
      <c r="E1871" s="247"/>
      <c r="F1871" s="1273"/>
      <c r="G1871" s="1284" t="s">
        <v>438</v>
      </c>
      <c r="H1871" s="1284"/>
      <c r="I1871" s="1284"/>
      <c r="J1871" s="1284"/>
      <c r="K1871" s="250">
        <v>1.08</v>
      </c>
      <c r="L1871" s="365"/>
      <c r="M1871" s="54"/>
      <c r="N1871" s="54"/>
      <c r="T1871" s="60"/>
      <c r="V1871" s="345"/>
      <c r="W1871" s="345"/>
      <c r="X1871" s="345"/>
      <c r="Y1871" s="345"/>
    </row>
    <row r="1872" spans="1:25" s="345" customFormat="1" ht="30" customHeight="1" x14ac:dyDescent="0.25">
      <c r="A1872" s="365"/>
      <c r="B1872" s="365"/>
      <c r="C1872" s="366"/>
      <c r="D1872" s="366"/>
      <c r="E1872" s="366"/>
      <c r="F1872" s="366"/>
      <c r="G1872" s="366"/>
      <c r="H1872" s="366"/>
      <c r="I1872" s="366"/>
      <c r="J1872" s="366" t="s">
        <v>72</v>
      </c>
      <c r="K1872" s="246">
        <f>+K1869*K1870/K1871</f>
        <v>179.90281714716579</v>
      </c>
      <c r="L1872" s="365" t="s">
        <v>205</v>
      </c>
      <c r="M1872" s="54"/>
      <c r="N1872" s="54"/>
      <c r="O1872" s="334"/>
      <c r="P1872" s="340"/>
      <c r="Q1872" s="334"/>
      <c r="R1872" s="334"/>
      <c r="S1872" s="334"/>
      <c r="T1872" s="10"/>
      <c r="U1872" s="60"/>
      <c r="V1872" s="334"/>
      <c r="W1872" s="334"/>
      <c r="X1872" s="334"/>
      <c r="Y1872" s="334"/>
    </row>
    <row r="1873" spans="1:25" ht="30" customHeight="1" x14ac:dyDescent="0.25">
      <c r="A1873" s="365"/>
      <c r="B1873" s="365"/>
      <c r="C1873" s="366"/>
      <c r="D1873" s="366"/>
      <c r="E1873" s="366"/>
      <c r="F1873" s="366"/>
      <c r="G1873" s="580" t="s">
        <v>306</v>
      </c>
      <c r="H1873" s="366"/>
      <c r="I1873" s="366"/>
      <c r="J1873" s="521">
        <f>VLOOKUP(B1864,'Mil Cost Premiums for PUCs'!$A$4:$R$277,18,FALSE)</f>
        <v>1.1561386038173773</v>
      </c>
      <c r="K1873" s="246">
        <f>+K1872*J1873</f>
        <v>207.99259183933719</v>
      </c>
      <c r="L1873" s="365" t="s">
        <v>205</v>
      </c>
      <c r="M1873" s="54"/>
      <c r="N1873" s="54"/>
      <c r="O1873" s="336"/>
      <c r="P1873" s="334"/>
      <c r="Q1873" s="335"/>
      <c r="R1873" s="336"/>
      <c r="S1873" s="337"/>
      <c r="U1873" s="10"/>
    </row>
    <row r="1874" spans="1:25" ht="30" customHeight="1" thickBot="1" x14ac:dyDescent="0.3">
      <c r="A1874" s="365"/>
      <c r="B1874" s="365"/>
      <c r="C1874" s="366"/>
      <c r="D1874" s="366"/>
      <c r="E1874" s="366"/>
      <c r="F1874" s="1212" t="s">
        <v>1148</v>
      </c>
      <c r="G1874" s="1213"/>
      <c r="H1874" s="1213"/>
      <c r="I1874" s="1213"/>
      <c r="J1874" s="521">
        <v>1.0833999999999999</v>
      </c>
      <c r="K1874" s="544">
        <f>K1873*J1874</f>
        <v>225.33917399873789</v>
      </c>
      <c r="L1874" s="365" t="s">
        <v>205</v>
      </c>
      <c r="O1874" s="336"/>
      <c r="P1874" s="334"/>
      <c r="Q1874" s="335"/>
      <c r="R1874" s="336"/>
      <c r="S1874" s="337"/>
    </row>
    <row r="1875" spans="1:25" ht="30" customHeight="1" thickBot="1" x14ac:dyDescent="0.3">
      <c r="A1875" s="1180"/>
      <c r="B1875" s="1181"/>
      <c r="C1875" s="1181"/>
      <c r="D1875" s="1181"/>
      <c r="E1875" s="1181"/>
      <c r="F1875" s="1181"/>
      <c r="G1875" s="1181"/>
      <c r="H1875" s="1181"/>
      <c r="I1875" s="1181"/>
      <c r="J1875" s="1181"/>
      <c r="K1875" s="1181"/>
      <c r="L1875" s="1182"/>
      <c r="M1875" s="111"/>
      <c r="N1875" s="54"/>
      <c r="O1875" s="336"/>
      <c r="P1875" s="334"/>
      <c r="Q1875" s="335"/>
      <c r="R1875" s="336"/>
      <c r="S1875" s="337"/>
    </row>
    <row r="1876" spans="1:25" ht="30" customHeight="1" x14ac:dyDescent="0.25">
      <c r="A1876" s="327" t="s">
        <v>5</v>
      </c>
      <c r="B1876" s="328">
        <v>2161</v>
      </c>
      <c r="C1876" s="1294" t="s">
        <v>1272</v>
      </c>
      <c r="D1876" s="1295"/>
      <c r="E1876" s="331" t="s">
        <v>8</v>
      </c>
      <c r="F1876" s="332" t="s">
        <v>205</v>
      </c>
      <c r="G1876" s="342" t="s">
        <v>74</v>
      </c>
      <c r="H1876" s="653">
        <v>8169</v>
      </c>
      <c r="I1876" s="331" t="s">
        <v>10</v>
      </c>
      <c r="J1876" s="1220" t="s">
        <v>3388</v>
      </c>
      <c r="K1876" s="1220"/>
      <c r="L1876" s="1221"/>
      <c r="M1876" s="54"/>
      <c r="N1876" s="54"/>
      <c r="O1876" s="336"/>
      <c r="P1876" s="334"/>
      <c r="Q1876" s="335"/>
      <c r="R1876" s="336"/>
      <c r="S1876" s="337"/>
    </row>
    <row r="1877" spans="1:25" ht="30" customHeight="1" x14ac:dyDescent="0.25">
      <c r="A1877" s="359" t="s">
        <v>295</v>
      </c>
      <c r="B1877" s="1222" t="s">
        <v>326</v>
      </c>
      <c r="C1877" s="1235"/>
      <c r="D1877" s="1223"/>
      <c r="E1877" s="577" t="s">
        <v>116</v>
      </c>
      <c r="F1877" s="577" t="s">
        <v>117</v>
      </c>
      <c r="G1877" s="1194" t="s">
        <v>118</v>
      </c>
      <c r="H1877" s="1195"/>
      <c r="I1877" s="356" t="s">
        <v>296</v>
      </c>
      <c r="J1877" s="356"/>
      <c r="K1877" s="1236" t="s">
        <v>285</v>
      </c>
      <c r="L1877" s="1237"/>
      <c r="M1877" s="54"/>
      <c r="N1877" s="54"/>
      <c r="O1877" s="336"/>
      <c r="P1877" s="334"/>
      <c r="Q1877" s="335"/>
      <c r="R1877" s="336"/>
      <c r="S1877" s="337"/>
    </row>
    <row r="1878" spans="1:25" ht="45" customHeight="1" x14ac:dyDescent="0.25">
      <c r="A1878" s="365" t="s">
        <v>1135</v>
      </c>
      <c r="B1878" s="1268" t="s">
        <v>1267</v>
      </c>
      <c r="C1878" s="1167"/>
      <c r="D1878" s="1168"/>
      <c r="E1878" s="247">
        <f>164-2.51</f>
        <v>161.49</v>
      </c>
      <c r="F1878" s="365" t="s">
        <v>205</v>
      </c>
      <c r="G1878" s="365"/>
      <c r="H1878" s="365"/>
      <c r="I1878" s="365">
        <v>1.01</v>
      </c>
      <c r="J1878" s="365"/>
      <c r="K1878" s="247">
        <f>+E1878*I1878</f>
        <v>163.10490000000001</v>
      </c>
      <c r="L1878" s="365" t="s">
        <v>205</v>
      </c>
      <c r="M1878" s="54"/>
      <c r="N1878" s="54"/>
      <c r="O1878" s="336"/>
      <c r="P1878" s="334"/>
      <c r="Q1878" s="335"/>
      <c r="R1878" s="336"/>
      <c r="S1878" s="337"/>
    </row>
    <row r="1879" spans="1:25" ht="30" customHeight="1" x14ac:dyDescent="0.25">
      <c r="A1879" s="365" t="s">
        <v>520</v>
      </c>
      <c r="B1879" s="1209" t="s">
        <v>1273</v>
      </c>
      <c r="C1879" s="1210"/>
      <c r="D1879" s="1211"/>
      <c r="E1879" s="10">
        <v>126000</v>
      </c>
      <c r="F1879" s="369" t="s">
        <v>1274</v>
      </c>
      <c r="G1879" s="573">
        <f>+H1876</f>
        <v>8169</v>
      </c>
      <c r="H1879" s="662" t="s">
        <v>1269</v>
      </c>
      <c r="I1879" s="365">
        <v>1.02</v>
      </c>
      <c r="J1879" s="365"/>
      <c r="K1879" s="247">
        <f>+(E1879)/H1876*I1879</f>
        <v>15.732647814910026</v>
      </c>
      <c r="L1879" s="365" t="s">
        <v>205</v>
      </c>
      <c r="M1879" s="54"/>
      <c r="N1879" s="54"/>
      <c r="O1879" s="336"/>
      <c r="P1879" s="334"/>
      <c r="Q1879" s="335"/>
      <c r="R1879" s="336"/>
      <c r="S1879" s="337"/>
    </row>
    <row r="1880" spans="1:25" ht="30" customHeight="1" x14ac:dyDescent="0.25">
      <c r="A1880" s="365" t="s">
        <v>436</v>
      </c>
      <c r="B1880" s="1209" t="s">
        <v>1275</v>
      </c>
      <c r="C1880" s="1210"/>
      <c r="D1880" s="1211"/>
      <c r="E1880" s="246">
        <v>42.25</v>
      </c>
      <c r="F1880" s="365" t="s">
        <v>1276</v>
      </c>
      <c r="G1880" s="366">
        <f>144/H1876</f>
        <v>1.7627616599338966E-2</v>
      </c>
      <c r="H1880" s="662" t="s">
        <v>1277</v>
      </c>
      <c r="I1880" s="365">
        <v>1.01</v>
      </c>
      <c r="J1880" s="365"/>
      <c r="K1880" s="247">
        <f>+E1880*G1880*I1880</f>
        <v>0.75221446933529201</v>
      </c>
      <c r="L1880" s="365" t="s">
        <v>205</v>
      </c>
      <c r="M1880" s="111"/>
      <c r="N1880" s="54"/>
      <c r="O1880" s="336"/>
      <c r="P1880" s="334"/>
      <c r="Q1880" s="335"/>
      <c r="R1880" s="336"/>
      <c r="S1880" s="337"/>
    </row>
    <row r="1881" spans="1:25" ht="30" customHeight="1" x14ac:dyDescent="0.25">
      <c r="A1881" s="365" t="s">
        <v>406</v>
      </c>
      <c r="B1881" s="1209" t="s">
        <v>1278</v>
      </c>
      <c r="C1881" s="1210"/>
      <c r="D1881" s="1211"/>
      <c r="E1881" s="247">
        <v>3.34</v>
      </c>
      <c r="F1881" s="661" t="s">
        <v>205</v>
      </c>
      <c r="G1881" s="366"/>
      <c r="H1881" s="662"/>
      <c r="I1881" s="365">
        <v>1.01</v>
      </c>
      <c r="J1881" s="365"/>
      <c r="K1881" s="247">
        <f>+E1881*I1881</f>
        <v>3.3733999999999997</v>
      </c>
      <c r="L1881" s="365" t="s">
        <v>205</v>
      </c>
      <c r="M1881" s="54"/>
      <c r="N1881" s="54"/>
      <c r="O1881" s="336"/>
      <c r="P1881" s="334"/>
      <c r="Q1881" s="335"/>
      <c r="R1881" s="336"/>
      <c r="S1881" s="337"/>
    </row>
    <row r="1882" spans="1:25" ht="30" customHeight="1" x14ac:dyDescent="0.25">
      <c r="A1882" s="365" t="s">
        <v>406</v>
      </c>
      <c r="B1882" s="1209" t="s">
        <v>1279</v>
      </c>
      <c r="C1882" s="1210"/>
      <c r="D1882" s="1211"/>
      <c r="E1882" s="247">
        <f>+E1881*0.15</f>
        <v>0.501</v>
      </c>
      <c r="F1882" s="661" t="s">
        <v>205</v>
      </c>
      <c r="G1882" s="366"/>
      <c r="H1882" s="662"/>
      <c r="I1882" s="365">
        <v>1.01</v>
      </c>
      <c r="J1882" s="365"/>
      <c r="K1882" s="247">
        <f>+E1882*I1882</f>
        <v>0.50600999999999996</v>
      </c>
      <c r="L1882" s="365" t="s">
        <v>205</v>
      </c>
      <c r="M1882" s="54"/>
      <c r="N1882" s="54"/>
      <c r="T1882" s="10"/>
    </row>
    <row r="1883" spans="1:25" ht="30" customHeight="1" x14ac:dyDescent="0.25">
      <c r="A1883" s="365" t="s">
        <v>406</v>
      </c>
      <c r="B1883" s="1209" t="s">
        <v>1255</v>
      </c>
      <c r="C1883" s="1210"/>
      <c r="D1883" s="1211"/>
      <c r="E1883" s="246">
        <f xml:space="preserve"> 0.58+((1.15+1.71)/2)</f>
        <v>2.0099999999999998</v>
      </c>
      <c r="F1883" s="661" t="s">
        <v>205</v>
      </c>
      <c r="G1883" s="366"/>
      <c r="H1883" s="662"/>
      <c r="I1883" s="365">
        <v>1.01</v>
      </c>
      <c r="J1883" s="365"/>
      <c r="K1883" s="247">
        <f>+E1883*I1883</f>
        <v>2.0301</v>
      </c>
      <c r="L1883" s="365" t="s">
        <v>205</v>
      </c>
      <c r="M1883" s="54"/>
      <c r="N1883" s="54"/>
      <c r="T1883" s="10"/>
      <c r="U1883" s="10"/>
    </row>
    <row r="1884" spans="1:25" ht="30" customHeight="1" x14ac:dyDescent="0.25">
      <c r="A1884" s="365"/>
      <c r="B1884" s="1209"/>
      <c r="C1884" s="1210"/>
      <c r="D1884" s="1211"/>
      <c r="E1884" s="247"/>
      <c r="F1884" s="365"/>
      <c r="G1884" s="366"/>
      <c r="H1884" s="662"/>
      <c r="I1884" s="365"/>
      <c r="J1884" s="365" t="s">
        <v>343</v>
      </c>
      <c r="K1884" s="247">
        <f>SUM(K1878:K1883)</f>
        <v>185.49927228424534</v>
      </c>
      <c r="L1884" s="365" t="s">
        <v>205</v>
      </c>
      <c r="M1884" s="54"/>
      <c r="N1884" s="54"/>
      <c r="O1884" s="543"/>
      <c r="P1884" s="344"/>
      <c r="Q1884" s="345"/>
      <c r="R1884" s="345"/>
      <c r="S1884" s="345"/>
      <c r="T1884" s="345"/>
      <c r="U1884" s="10"/>
    </row>
    <row r="1885" spans="1:25" ht="30" customHeight="1" x14ac:dyDescent="0.25">
      <c r="A1885" s="365"/>
      <c r="B1885" s="578"/>
      <c r="C1885" s="578"/>
      <c r="D1885" s="578"/>
      <c r="E1885" s="247"/>
      <c r="F1885" s="1272" t="s">
        <v>303</v>
      </c>
      <c r="G1885" s="1283" t="s">
        <v>304</v>
      </c>
      <c r="H1885" s="1283"/>
      <c r="I1885" s="1283"/>
      <c r="J1885" s="1283"/>
      <c r="K1885" s="250">
        <v>1.08</v>
      </c>
      <c r="L1885" s="365"/>
      <c r="M1885" s="54"/>
      <c r="N1885" s="54"/>
      <c r="U1885" s="345"/>
      <c r="V1885" s="345"/>
      <c r="W1885" s="345"/>
      <c r="X1885" s="345"/>
      <c r="Y1885" s="345"/>
    </row>
    <row r="1886" spans="1:25" s="345" customFormat="1" ht="30" customHeight="1" x14ac:dyDescent="0.25">
      <c r="A1886" s="365"/>
      <c r="B1886" s="578"/>
      <c r="C1886" s="578"/>
      <c r="D1886" s="578"/>
      <c r="E1886" s="247"/>
      <c r="F1886" s="1273"/>
      <c r="G1886" s="1284" t="s">
        <v>438</v>
      </c>
      <c r="H1886" s="1284"/>
      <c r="I1886" s="1284"/>
      <c r="J1886" s="1284"/>
      <c r="K1886" s="250">
        <v>1.08</v>
      </c>
      <c r="L1886" s="365"/>
      <c r="M1886" s="54"/>
      <c r="N1886" s="54"/>
      <c r="O1886" s="340"/>
      <c r="P1886" s="340"/>
      <c r="Q1886" s="334"/>
      <c r="R1886" s="334"/>
      <c r="S1886" s="334"/>
      <c r="T1886" s="334"/>
      <c r="U1886" s="334"/>
      <c r="V1886" s="334"/>
      <c r="W1886" s="334"/>
      <c r="X1886" s="334"/>
      <c r="Y1886" s="334"/>
    </row>
    <row r="1887" spans="1:25" ht="30" customHeight="1" x14ac:dyDescent="0.25">
      <c r="A1887" s="365"/>
      <c r="B1887" s="365"/>
      <c r="C1887" s="366"/>
      <c r="D1887" s="366"/>
      <c r="E1887" s="366"/>
      <c r="F1887" s="366"/>
      <c r="G1887" s="366"/>
      <c r="H1887" s="366"/>
      <c r="I1887" s="366"/>
      <c r="J1887" s="579" t="s">
        <v>72</v>
      </c>
      <c r="K1887" s="246">
        <f>+K1884*K1885/K1886</f>
        <v>185.49927228424534</v>
      </c>
      <c r="L1887" s="365" t="s">
        <v>205</v>
      </c>
      <c r="M1887" s="54"/>
      <c r="O1887" s="336"/>
      <c r="T1887" s="10"/>
    </row>
    <row r="1888" spans="1:25" ht="30" customHeight="1" x14ac:dyDescent="0.25">
      <c r="A1888" s="365"/>
      <c r="B1888" s="365"/>
      <c r="C1888" s="366"/>
      <c r="D1888" s="366"/>
      <c r="E1888" s="366"/>
      <c r="F1888" s="366"/>
      <c r="H1888" s="366"/>
      <c r="I1888" s="553" t="s">
        <v>414</v>
      </c>
      <c r="J1888" s="521">
        <f>VLOOKUP(B1876,'Mil Cost Premiums for PUCs'!$A$4:$R$277,18,FALSE)</f>
        <v>1.1561386038173773</v>
      </c>
      <c r="K1888" s="246">
        <f>+K1887*J1888</f>
        <v>214.46286966784692</v>
      </c>
      <c r="L1888" s="365" t="s">
        <v>205</v>
      </c>
      <c r="M1888" s="54"/>
      <c r="N1888" s="111"/>
      <c r="T1888" s="10"/>
      <c r="U1888" s="10"/>
    </row>
    <row r="1889" spans="1:25" ht="30" customHeight="1" thickBot="1" x14ac:dyDescent="0.3">
      <c r="A1889" s="365"/>
      <c r="B1889" s="365"/>
      <c r="C1889" s="366"/>
      <c r="D1889" s="366"/>
      <c r="E1889" s="366"/>
      <c r="F1889" s="1212" t="s">
        <v>1148</v>
      </c>
      <c r="G1889" s="1213"/>
      <c r="H1889" s="1213"/>
      <c r="I1889" s="1213"/>
      <c r="J1889" s="521">
        <v>1.0833999999999999</v>
      </c>
      <c r="K1889" s="544">
        <f>K1888*J1889</f>
        <v>232.34907299814535</v>
      </c>
      <c r="L1889" s="365" t="s">
        <v>205</v>
      </c>
      <c r="O1889" s="336"/>
      <c r="P1889" s="334"/>
      <c r="Q1889" s="335"/>
      <c r="R1889" s="336"/>
      <c r="S1889" s="337"/>
    </row>
    <row r="1890" spans="1:25" ht="30" customHeight="1" thickBot="1" x14ac:dyDescent="0.3">
      <c r="A1890" s="1180"/>
      <c r="B1890" s="1181"/>
      <c r="C1890" s="1181"/>
      <c r="D1890" s="1181"/>
      <c r="E1890" s="1181"/>
      <c r="F1890" s="1181"/>
      <c r="G1890" s="1181"/>
      <c r="H1890" s="1181"/>
      <c r="I1890" s="1181"/>
      <c r="J1890" s="1181"/>
      <c r="K1890" s="1181"/>
      <c r="L1890" s="1182"/>
      <c r="M1890" s="54"/>
      <c r="N1890" s="54"/>
      <c r="O1890" s="543"/>
      <c r="P1890" s="344"/>
      <c r="Q1890" s="345"/>
      <c r="R1890" s="345"/>
      <c r="S1890" s="345"/>
      <c r="T1890" s="345"/>
      <c r="U1890" s="10"/>
    </row>
    <row r="1891" spans="1:25" ht="30" customHeight="1" x14ac:dyDescent="0.25">
      <c r="A1891" s="327" t="s">
        <v>5</v>
      </c>
      <c r="B1891" s="328">
        <v>2162</v>
      </c>
      <c r="C1891" s="1294" t="s">
        <v>1280</v>
      </c>
      <c r="D1891" s="1295"/>
      <c r="E1891" s="331" t="s">
        <v>8</v>
      </c>
      <c r="F1891" s="332" t="s">
        <v>205</v>
      </c>
      <c r="G1891" s="342" t="s">
        <v>74</v>
      </c>
      <c r="H1891" s="653">
        <v>5411</v>
      </c>
      <c r="I1891" s="331" t="s">
        <v>10</v>
      </c>
      <c r="J1891" s="1220" t="s">
        <v>3388</v>
      </c>
      <c r="K1891" s="1220"/>
      <c r="L1891" s="1221"/>
      <c r="M1891" s="54"/>
      <c r="N1891" s="54"/>
      <c r="U1891" s="345"/>
      <c r="V1891" s="345"/>
      <c r="W1891" s="345"/>
      <c r="X1891" s="345"/>
      <c r="Y1891" s="345"/>
    </row>
    <row r="1892" spans="1:25" s="345" customFormat="1" ht="30" customHeight="1" x14ac:dyDescent="0.25">
      <c r="A1892" s="359" t="s">
        <v>295</v>
      </c>
      <c r="B1892" s="1222" t="s">
        <v>326</v>
      </c>
      <c r="C1892" s="1235"/>
      <c r="D1892" s="1223"/>
      <c r="E1892" s="577" t="s">
        <v>116</v>
      </c>
      <c r="F1892" s="577" t="s">
        <v>117</v>
      </c>
      <c r="G1892" s="1194" t="s">
        <v>118</v>
      </c>
      <c r="H1892" s="1195"/>
      <c r="I1892" s="356" t="s">
        <v>296</v>
      </c>
      <c r="J1892" s="356"/>
      <c r="K1892" s="1236" t="s">
        <v>285</v>
      </c>
      <c r="L1892" s="1237"/>
      <c r="M1892" s="54"/>
      <c r="N1892" s="54"/>
      <c r="O1892" s="340"/>
      <c r="P1892" s="340"/>
      <c r="Q1892" s="334"/>
      <c r="R1892" s="334"/>
      <c r="S1892" s="334"/>
      <c r="T1892" s="334"/>
      <c r="U1892" s="334"/>
      <c r="V1892" s="334"/>
      <c r="W1892" s="334"/>
      <c r="X1892" s="334"/>
      <c r="Y1892" s="334"/>
    </row>
    <row r="1893" spans="1:25" ht="45" customHeight="1" x14ac:dyDescent="0.25">
      <c r="A1893" s="365" t="s">
        <v>1135</v>
      </c>
      <c r="B1893" s="1268" t="s">
        <v>1267</v>
      </c>
      <c r="C1893" s="1167"/>
      <c r="D1893" s="1168"/>
      <c r="E1893" s="247">
        <f>164-2.51</f>
        <v>161.49</v>
      </c>
      <c r="F1893" s="365" t="s">
        <v>205</v>
      </c>
      <c r="G1893" s="365"/>
      <c r="H1893" s="365"/>
      <c r="I1893" s="365">
        <v>1.01</v>
      </c>
      <c r="J1893" s="365"/>
      <c r="K1893" s="247">
        <f>+E1893*I1893</f>
        <v>163.10490000000001</v>
      </c>
      <c r="L1893" s="365" t="s">
        <v>205</v>
      </c>
      <c r="M1893" s="54"/>
      <c r="N1893" s="54"/>
      <c r="O1893" s="336"/>
      <c r="T1893" s="10"/>
    </row>
    <row r="1894" spans="1:25" ht="30" customHeight="1" x14ac:dyDescent="0.25">
      <c r="A1894" s="365" t="s">
        <v>436</v>
      </c>
      <c r="B1894" s="1209" t="s">
        <v>3483</v>
      </c>
      <c r="C1894" s="1210"/>
      <c r="D1894" s="1211"/>
      <c r="E1894" s="246">
        <v>42.25</v>
      </c>
      <c r="F1894" s="365" t="s">
        <v>1276</v>
      </c>
      <c r="G1894" s="521">
        <f>144/H1891</f>
        <v>2.6612456107928294E-2</v>
      </c>
      <c r="H1894" s="662" t="s">
        <v>1277</v>
      </c>
      <c r="I1894" s="365">
        <v>1.01</v>
      </c>
      <c r="J1894" s="365"/>
      <c r="K1894" s="247">
        <f>+E1894*G1894*I1894</f>
        <v>1.1356200332655702</v>
      </c>
      <c r="L1894" s="365" t="s">
        <v>205</v>
      </c>
      <c r="M1894" s="54"/>
      <c r="N1894" s="111"/>
      <c r="T1894" s="10"/>
      <c r="U1894" s="10"/>
    </row>
    <row r="1895" spans="1:25" ht="30" customHeight="1" x14ac:dyDescent="0.25">
      <c r="A1895" s="365" t="s">
        <v>406</v>
      </c>
      <c r="B1895" s="1209" t="s">
        <v>1281</v>
      </c>
      <c r="C1895" s="1210"/>
      <c r="D1895" s="1211"/>
      <c r="E1895" s="247">
        <v>3.71</v>
      </c>
      <c r="F1895" s="661" t="s">
        <v>205</v>
      </c>
      <c r="G1895" s="366"/>
      <c r="H1895" s="662"/>
      <c r="I1895" s="365">
        <v>1.01</v>
      </c>
      <c r="J1895" s="365"/>
      <c r="K1895" s="247">
        <f>+E1895*I1895</f>
        <v>3.7471000000000001</v>
      </c>
      <c r="L1895" s="365" t="s">
        <v>205</v>
      </c>
      <c r="M1895" s="54"/>
      <c r="N1895" s="54"/>
      <c r="U1895" s="10"/>
    </row>
    <row r="1896" spans="1:25" ht="30" customHeight="1" x14ac:dyDescent="0.25">
      <c r="A1896" s="365" t="s">
        <v>406</v>
      </c>
      <c r="B1896" s="1209" t="s">
        <v>1279</v>
      </c>
      <c r="C1896" s="1210"/>
      <c r="D1896" s="1211"/>
      <c r="E1896" s="247">
        <f>+E1895*0.15</f>
        <v>0.55649999999999999</v>
      </c>
      <c r="F1896" s="661" t="s">
        <v>205</v>
      </c>
      <c r="G1896" s="366"/>
      <c r="H1896" s="662"/>
      <c r="I1896" s="365">
        <v>1.01</v>
      </c>
      <c r="J1896" s="365"/>
      <c r="K1896" s="247">
        <f>+E1896*I1896</f>
        <v>0.56206500000000004</v>
      </c>
      <c r="L1896" s="365" t="s">
        <v>205</v>
      </c>
      <c r="M1896" s="54"/>
      <c r="N1896" s="54"/>
      <c r="O1896" s="340"/>
      <c r="U1896" s="345"/>
      <c r="V1896" s="345"/>
      <c r="W1896" s="345"/>
      <c r="X1896" s="345"/>
      <c r="Y1896" s="345"/>
    </row>
    <row r="1897" spans="1:25" ht="30" customHeight="1" x14ac:dyDescent="0.25">
      <c r="A1897" s="365" t="s">
        <v>406</v>
      </c>
      <c r="B1897" s="1209" t="s">
        <v>1255</v>
      </c>
      <c r="C1897" s="1210"/>
      <c r="D1897" s="1211"/>
      <c r="E1897" s="246">
        <f xml:space="preserve"> 0.58+((1.15+1.71)/2)</f>
        <v>2.0099999999999998</v>
      </c>
      <c r="F1897" s="661" t="s">
        <v>205</v>
      </c>
      <c r="G1897" s="366"/>
      <c r="H1897" s="662"/>
      <c r="I1897" s="365">
        <v>1.01</v>
      </c>
      <c r="J1897" s="365"/>
      <c r="K1897" s="247">
        <f>+E1897*I1897</f>
        <v>2.0301</v>
      </c>
      <c r="L1897" s="365" t="s">
        <v>205</v>
      </c>
      <c r="M1897" s="54"/>
      <c r="N1897" s="54"/>
      <c r="O1897" s="336"/>
      <c r="T1897" s="10"/>
    </row>
    <row r="1898" spans="1:25" ht="30" customHeight="1" x14ac:dyDescent="0.25">
      <c r="A1898" s="365" t="s">
        <v>520</v>
      </c>
      <c r="B1898" s="1209" t="s">
        <v>1268</v>
      </c>
      <c r="C1898" s="1210"/>
      <c r="D1898" s="1211"/>
      <c r="E1898" s="10">
        <v>141000</v>
      </c>
      <c r="F1898" s="369" t="s">
        <v>562</v>
      </c>
      <c r="G1898" s="834">
        <f>+H1891</f>
        <v>5411</v>
      </c>
      <c r="H1898" s="662" t="s">
        <v>1269</v>
      </c>
      <c r="I1898" s="365">
        <v>1.02</v>
      </c>
      <c r="J1898" s="365"/>
      <c r="K1898" s="247">
        <f>+(E1898)/H1891*I1898</f>
        <v>26.579190537793384</v>
      </c>
      <c r="L1898" s="365" t="s">
        <v>205</v>
      </c>
      <c r="M1898" s="54"/>
      <c r="N1898" s="54"/>
      <c r="T1898" s="10"/>
      <c r="U1898" s="10"/>
    </row>
    <row r="1899" spans="1:25" ht="30" customHeight="1" x14ac:dyDescent="0.25">
      <c r="A1899" s="365"/>
      <c r="B1899" s="1209"/>
      <c r="C1899" s="1210"/>
      <c r="D1899" s="1211"/>
      <c r="E1899" s="247"/>
      <c r="F1899" s="365"/>
      <c r="G1899" s="366"/>
      <c r="H1899" s="662"/>
      <c r="I1899" s="365"/>
      <c r="J1899" s="365" t="s">
        <v>343</v>
      </c>
      <c r="K1899" s="247">
        <f>SUM(K1893:K1897)</f>
        <v>170.57978503326558</v>
      </c>
      <c r="L1899" s="365" t="s">
        <v>205</v>
      </c>
      <c r="M1899" s="54"/>
      <c r="N1899" s="54"/>
      <c r="U1899" s="10"/>
    </row>
    <row r="1900" spans="1:25" ht="30" customHeight="1" x14ac:dyDescent="0.25">
      <c r="A1900" s="365"/>
      <c r="B1900" s="578"/>
      <c r="C1900" s="578"/>
      <c r="D1900" s="578"/>
      <c r="E1900" s="247"/>
      <c r="F1900" s="1272" t="s">
        <v>303</v>
      </c>
      <c r="G1900" s="1283" t="s">
        <v>304</v>
      </c>
      <c r="H1900" s="1283"/>
      <c r="I1900" s="1283"/>
      <c r="J1900" s="1283"/>
      <c r="K1900" s="250">
        <v>1.08</v>
      </c>
      <c r="L1900" s="365"/>
      <c r="M1900" s="54"/>
      <c r="N1900" s="54"/>
      <c r="T1900" s="60"/>
    </row>
    <row r="1901" spans="1:25" ht="30" customHeight="1" x14ac:dyDescent="0.25">
      <c r="A1901" s="365"/>
      <c r="B1901" s="578"/>
      <c r="C1901" s="578"/>
      <c r="D1901" s="578"/>
      <c r="E1901" s="247"/>
      <c r="F1901" s="1273"/>
      <c r="G1901" s="1284" t="s">
        <v>438</v>
      </c>
      <c r="H1901" s="1284"/>
      <c r="I1901" s="1284"/>
      <c r="J1901" s="1284"/>
      <c r="K1901" s="250">
        <v>1.08</v>
      </c>
      <c r="L1901" s="365"/>
      <c r="M1901" s="54"/>
      <c r="N1901" s="54"/>
      <c r="T1901" s="10"/>
      <c r="U1901" s="60"/>
    </row>
    <row r="1902" spans="1:25" ht="30" customHeight="1" x14ac:dyDescent="0.25">
      <c r="A1902" s="365"/>
      <c r="B1902" s="365"/>
      <c r="C1902" s="366"/>
      <c r="D1902" s="366"/>
      <c r="E1902" s="366"/>
      <c r="F1902" s="366"/>
      <c r="G1902" s="366"/>
      <c r="H1902" s="366"/>
      <c r="I1902" s="366"/>
      <c r="J1902" s="579" t="s">
        <v>72</v>
      </c>
      <c r="K1902" s="246">
        <f>+K1899*K1900/K1901</f>
        <v>170.57978503326558</v>
      </c>
      <c r="L1902" s="365" t="s">
        <v>205</v>
      </c>
      <c r="N1902" s="54"/>
      <c r="O1902" s="543"/>
      <c r="P1902" s="344"/>
      <c r="Q1902" s="345"/>
      <c r="R1902" s="345"/>
      <c r="S1902" s="345"/>
      <c r="T1902" s="345"/>
      <c r="U1902" s="10"/>
    </row>
    <row r="1903" spans="1:25" ht="30" customHeight="1" x14ac:dyDescent="0.25">
      <c r="A1903" s="365"/>
      <c r="B1903" s="365"/>
      <c r="C1903" s="366"/>
      <c r="D1903" s="366"/>
      <c r="E1903" s="366"/>
      <c r="F1903" s="366"/>
      <c r="H1903" s="366"/>
      <c r="I1903" s="553" t="s">
        <v>414</v>
      </c>
      <c r="J1903" s="521">
        <f>VLOOKUP(B1891,'Mil Cost Premiums for PUCs'!$A$4:$R$277,18,FALSE)</f>
        <v>1.1561386038173773</v>
      </c>
      <c r="K1903" s="246">
        <f>+K1902*J1903</f>
        <v>197.21387450782802</v>
      </c>
      <c r="L1903" s="365" t="s">
        <v>205</v>
      </c>
      <c r="M1903" s="111"/>
      <c r="N1903" s="54"/>
      <c r="U1903" s="345"/>
    </row>
    <row r="1904" spans="1:25" ht="30" customHeight="1" x14ac:dyDescent="0.25">
      <c r="A1904" s="365"/>
      <c r="B1904" s="365"/>
      <c r="C1904" s="366"/>
      <c r="D1904" s="366"/>
      <c r="E1904" s="366"/>
      <c r="F1904" s="1212" t="s">
        <v>1148</v>
      </c>
      <c r="G1904" s="1213"/>
      <c r="H1904" s="1213"/>
      <c r="I1904" s="1213"/>
      <c r="J1904" s="521">
        <v>1.0833999999999999</v>
      </c>
      <c r="K1904" s="544">
        <f>K1903*J1904</f>
        <v>213.66151164178086</v>
      </c>
      <c r="L1904" s="365" t="s">
        <v>205</v>
      </c>
      <c r="N1904" s="54"/>
    </row>
    <row r="1905" spans="1:25" ht="60" customHeight="1" x14ac:dyDescent="0.25">
      <c r="A1905" s="1494" t="s">
        <v>307</v>
      </c>
      <c r="B1905" s="1495"/>
      <c r="C1905" s="1495"/>
      <c r="D1905" s="1495"/>
      <c r="E1905" s="1495"/>
      <c r="F1905" s="1495"/>
      <c r="G1905" s="1495"/>
      <c r="H1905" s="1495"/>
      <c r="I1905" s="1495"/>
      <c r="J1905" s="1495"/>
      <c r="K1905" s="1495"/>
      <c r="L1905" s="1496"/>
      <c r="M1905" s="54"/>
      <c r="N1905" s="54"/>
      <c r="T1905" s="60"/>
      <c r="V1905" s="345"/>
      <c r="W1905" s="345"/>
      <c r="X1905" s="345"/>
      <c r="Y1905" s="345"/>
    </row>
    <row r="1906" spans="1:25" s="345" customFormat="1" ht="30" customHeight="1" x14ac:dyDescent="0.25">
      <c r="A1906" s="1268" t="s">
        <v>308</v>
      </c>
      <c r="B1906" s="1167"/>
      <c r="C1906" s="1168"/>
      <c r="D1906" s="1230" t="s">
        <v>1282</v>
      </c>
      <c r="E1906" s="1231"/>
      <c r="F1906" s="1231"/>
      <c r="G1906" s="1231"/>
      <c r="H1906" s="1231"/>
      <c r="I1906" s="1231"/>
      <c r="J1906" s="1231"/>
      <c r="K1906" s="1231"/>
      <c r="L1906" s="1232"/>
      <c r="M1906" s="54"/>
      <c r="N1906" s="54"/>
      <c r="O1906" s="334"/>
      <c r="P1906" s="340"/>
      <c r="Q1906" s="334"/>
      <c r="R1906" s="334"/>
      <c r="S1906" s="334"/>
      <c r="T1906" s="10"/>
      <c r="U1906" s="60"/>
      <c r="V1906" s="334"/>
      <c r="W1906" s="334"/>
      <c r="X1906" s="334"/>
      <c r="Y1906" s="334"/>
    </row>
    <row r="1907" spans="1:25" ht="30" customHeight="1" x14ac:dyDescent="0.25">
      <c r="A1907" s="1268" t="s">
        <v>310</v>
      </c>
      <c r="B1907" s="1167"/>
      <c r="C1907" s="1168"/>
      <c r="D1907" s="1230" t="s">
        <v>1164</v>
      </c>
      <c r="E1907" s="1231"/>
      <c r="F1907" s="1231"/>
      <c r="G1907" s="1231"/>
      <c r="H1907" s="1231"/>
      <c r="I1907" s="1231"/>
      <c r="J1907" s="1231"/>
      <c r="K1907" s="1231"/>
      <c r="L1907" s="1232"/>
      <c r="M1907" s="54"/>
      <c r="N1907" s="54"/>
      <c r="O1907" s="336"/>
      <c r="P1907" s="334"/>
      <c r="Q1907" s="335"/>
      <c r="R1907" s="336"/>
      <c r="S1907" s="337"/>
      <c r="U1907" s="10"/>
    </row>
    <row r="1908" spans="1:25" ht="30" customHeight="1" x14ac:dyDescent="0.25">
      <c r="A1908" s="1268" t="s">
        <v>312</v>
      </c>
      <c r="B1908" s="1167"/>
      <c r="C1908" s="1168"/>
      <c r="D1908" s="1230" t="s">
        <v>1283</v>
      </c>
      <c r="E1908" s="1231"/>
      <c r="F1908" s="1231"/>
      <c r="G1908" s="1231"/>
      <c r="H1908" s="1231"/>
      <c r="I1908" s="1231"/>
      <c r="J1908" s="1231"/>
      <c r="K1908" s="1231"/>
      <c r="L1908" s="1232"/>
      <c r="M1908" s="54"/>
      <c r="N1908" s="54"/>
      <c r="O1908" s="336"/>
      <c r="P1908" s="334"/>
      <c r="Q1908" s="335"/>
      <c r="R1908" s="336"/>
      <c r="S1908" s="337"/>
    </row>
    <row r="1909" spans="1:25" ht="30" customHeight="1" x14ac:dyDescent="0.25">
      <c r="A1909" s="1268" t="s">
        <v>314</v>
      </c>
      <c r="B1909" s="1167"/>
      <c r="C1909" s="1168"/>
      <c r="D1909" s="1230" t="s">
        <v>1166</v>
      </c>
      <c r="E1909" s="1231"/>
      <c r="F1909" s="1231"/>
      <c r="G1909" s="1231"/>
      <c r="H1909" s="1231"/>
      <c r="I1909" s="1231"/>
      <c r="J1909" s="1231"/>
      <c r="K1909" s="1231"/>
      <c r="L1909" s="1232"/>
      <c r="M1909" s="111"/>
      <c r="N1909" s="54"/>
      <c r="O1909" s="336"/>
      <c r="P1909" s="334"/>
      <c r="Q1909" s="335"/>
      <c r="R1909" s="336"/>
      <c r="S1909" s="337"/>
    </row>
    <row r="1910" spans="1:25" ht="30" customHeight="1" x14ac:dyDescent="0.25">
      <c r="A1910" s="1268" t="s">
        <v>316</v>
      </c>
      <c r="B1910" s="1167"/>
      <c r="C1910" s="1168"/>
      <c r="D1910" s="1230" t="s">
        <v>1284</v>
      </c>
      <c r="E1910" s="1231"/>
      <c r="F1910" s="1231"/>
      <c r="G1910" s="1231"/>
      <c r="H1910" s="1231"/>
      <c r="I1910" s="1231"/>
      <c r="J1910" s="1231"/>
      <c r="K1910" s="1231"/>
      <c r="L1910" s="1232"/>
      <c r="M1910" s="54"/>
      <c r="N1910" s="54"/>
      <c r="O1910" s="336"/>
      <c r="P1910" s="334"/>
      <c r="Q1910" s="335"/>
      <c r="R1910" s="336"/>
      <c r="S1910" s="337"/>
    </row>
    <row r="1911" spans="1:25" ht="30" customHeight="1" x14ac:dyDescent="0.25">
      <c r="A1911" s="1268" t="s">
        <v>318</v>
      </c>
      <c r="B1911" s="1167"/>
      <c r="C1911" s="1168"/>
      <c r="D1911" s="1256" t="s">
        <v>1154</v>
      </c>
      <c r="E1911" s="1257"/>
      <c r="F1911" s="1257"/>
      <c r="G1911" s="1257"/>
      <c r="H1911" s="1257"/>
      <c r="I1911" s="1257"/>
      <c r="J1911" s="1257"/>
      <c r="K1911" s="1257"/>
      <c r="L1911" s="1258"/>
      <c r="M1911" s="54"/>
      <c r="N1911" s="54"/>
      <c r="O1911" s="336"/>
      <c r="P1911" s="334"/>
      <c r="Q1911" s="335"/>
      <c r="R1911" s="336"/>
      <c r="S1911" s="337"/>
    </row>
    <row r="1912" spans="1:25" ht="30" customHeight="1" x14ac:dyDescent="0.25">
      <c r="A1912" s="1268" t="s">
        <v>320</v>
      </c>
      <c r="B1912" s="1167"/>
      <c r="C1912" s="1168"/>
      <c r="D1912" s="1256" t="s">
        <v>1048</v>
      </c>
      <c r="E1912" s="1257"/>
      <c r="F1912" s="1257"/>
      <c r="G1912" s="1257"/>
      <c r="H1912" s="1257"/>
      <c r="I1912" s="1257"/>
      <c r="J1912" s="1257"/>
      <c r="K1912" s="1257"/>
      <c r="L1912" s="1258"/>
      <c r="M1912" s="54"/>
      <c r="N1912" s="54"/>
      <c r="O1912" s="336"/>
      <c r="P1912" s="334"/>
      <c r="Q1912" s="335"/>
      <c r="R1912" s="336"/>
      <c r="S1912" s="337"/>
    </row>
    <row r="1913" spans="1:25" ht="75" customHeight="1" x14ac:dyDescent="0.25">
      <c r="A1913" s="1268" t="s">
        <v>322</v>
      </c>
      <c r="B1913" s="1167"/>
      <c r="C1913" s="1168"/>
      <c r="D1913" s="1206" t="s">
        <v>1285</v>
      </c>
      <c r="E1913" s="1207"/>
      <c r="F1913" s="1207"/>
      <c r="G1913" s="1207"/>
      <c r="H1913" s="1207"/>
      <c r="I1913" s="1207"/>
      <c r="J1913" s="1207"/>
      <c r="K1913" s="1207"/>
      <c r="L1913" s="1208"/>
      <c r="M1913" s="54"/>
      <c r="O1913" s="336"/>
      <c r="P1913" s="334"/>
      <c r="Q1913" s="335"/>
      <c r="R1913" s="336"/>
      <c r="S1913" s="337"/>
    </row>
    <row r="1914" spans="1:25" ht="30" customHeight="1" thickBot="1" x14ac:dyDescent="0.3">
      <c r="A1914" s="1268" t="s">
        <v>350</v>
      </c>
      <c r="B1914" s="1167"/>
      <c r="C1914" s="1168"/>
      <c r="D1914" s="1291" t="s">
        <v>3403</v>
      </c>
      <c r="E1914" s="1292"/>
      <c r="F1914" s="1292"/>
      <c r="G1914" s="1292"/>
      <c r="H1914" s="1292"/>
      <c r="I1914" s="1292"/>
      <c r="J1914" s="1292"/>
      <c r="K1914" s="1292"/>
      <c r="L1914" s="1293"/>
      <c r="M1914" s="54"/>
      <c r="N1914" s="54"/>
      <c r="O1914" s="336"/>
      <c r="P1914" s="334"/>
      <c r="Q1914" s="335"/>
      <c r="R1914" s="336"/>
      <c r="S1914" s="337"/>
    </row>
    <row r="1915" spans="1:25" ht="30" customHeight="1" thickBot="1" x14ac:dyDescent="0.3">
      <c r="A1915" s="1180"/>
      <c r="B1915" s="1181"/>
      <c r="C1915" s="1181"/>
      <c r="D1915" s="1181"/>
      <c r="E1915" s="1181"/>
      <c r="F1915" s="1181"/>
      <c r="G1915" s="1181"/>
      <c r="H1915" s="1181"/>
      <c r="I1915" s="1181"/>
      <c r="J1915" s="1181"/>
      <c r="K1915" s="1181"/>
      <c r="L1915" s="1182"/>
      <c r="M1915" s="54"/>
      <c r="N1915" s="54"/>
      <c r="O1915" s="336"/>
      <c r="P1915" s="334"/>
      <c r="Q1915" s="335"/>
      <c r="R1915" s="336"/>
      <c r="S1915" s="337"/>
    </row>
    <row r="1916" spans="1:25" ht="30" customHeight="1" x14ac:dyDescent="0.25">
      <c r="A1916" s="327" t="s">
        <v>5</v>
      </c>
      <c r="B1916" s="328">
        <v>2163</v>
      </c>
      <c r="C1916" s="1233" t="s">
        <v>1286</v>
      </c>
      <c r="D1916" s="1234"/>
      <c r="E1916" s="331" t="s">
        <v>8</v>
      </c>
      <c r="F1916" s="332" t="s">
        <v>205</v>
      </c>
      <c r="G1916" s="342" t="s">
        <v>74</v>
      </c>
      <c r="H1916" s="820">
        <v>45756</v>
      </c>
      <c r="I1916" s="331" t="s">
        <v>10</v>
      </c>
      <c r="J1916" s="1220" t="s">
        <v>3388</v>
      </c>
      <c r="K1916" s="1220"/>
      <c r="L1916" s="1221"/>
      <c r="M1916" s="54"/>
      <c r="N1916" s="54"/>
      <c r="O1916" s="336"/>
      <c r="P1916" s="334"/>
      <c r="Q1916" s="335"/>
      <c r="R1916" s="336"/>
      <c r="S1916" s="337"/>
    </row>
    <row r="1917" spans="1:25" ht="30" customHeight="1" x14ac:dyDescent="0.25">
      <c r="A1917" s="359" t="s">
        <v>295</v>
      </c>
      <c r="B1917" s="1222" t="s">
        <v>326</v>
      </c>
      <c r="C1917" s="1235"/>
      <c r="D1917" s="1223"/>
      <c r="E1917" s="359" t="s">
        <v>116</v>
      </c>
      <c r="F1917" s="359" t="s">
        <v>117</v>
      </c>
      <c r="G1917" s="1236" t="s">
        <v>118</v>
      </c>
      <c r="H1917" s="1237"/>
      <c r="I1917" s="356" t="s">
        <v>296</v>
      </c>
      <c r="J1917" s="356"/>
      <c r="K1917" s="1236" t="s">
        <v>285</v>
      </c>
      <c r="L1917" s="1237"/>
      <c r="M1917" s="54"/>
      <c r="N1917" s="54"/>
      <c r="O1917" s="336"/>
      <c r="P1917" s="334"/>
      <c r="Q1917" s="335"/>
      <c r="R1917" s="336"/>
      <c r="S1917" s="337"/>
    </row>
    <row r="1918" spans="1:25" ht="45" customHeight="1" x14ac:dyDescent="0.25">
      <c r="A1918" s="365" t="s">
        <v>1135</v>
      </c>
      <c r="B1918" s="1268" t="s">
        <v>1267</v>
      </c>
      <c r="C1918" s="1167"/>
      <c r="D1918" s="1168"/>
      <c r="E1918" s="247">
        <f>164-2.51</f>
        <v>161.49</v>
      </c>
      <c r="F1918" s="365" t="s">
        <v>205</v>
      </c>
      <c r="G1918" s="365"/>
      <c r="H1918" s="365"/>
      <c r="I1918" s="365">
        <v>1.01</v>
      </c>
      <c r="J1918" s="365"/>
      <c r="K1918" s="247">
        <f>+E1918*I1918</f>
        <v>163.10490000000001</v>
      </c>
      <c r="L1918" s="365" t="s">
        <v>205</v>
      </c>
      <c r="M1918" s="54"/>
      <c r="O1918" s="336"/>
      <c r="P1918" s="334"/>
      <c r="Q1918" s="335"/>
      <c r="R1918" s="336"/>
      <c r="S1918" s="337"/>
    </row>
    <row r="1919" spans="1:25" ht="30" customHeight="1" x14ac:dyDescent="0.25">
      <c r="A1919" s="365" t="s">
        <v>520</v>
      </c>
      <c r="B1919" s="1209" t="s">
        <v>1287</v>
      </c>
      <c r="C1919" s="1210"/>
      <c r="D1919" s="1211"/>
      <c r="E1919" s="246">
        <v>177000</v>
      </c>
      <c r="F1919" s="365" t="s">
        <v>1274</v>
      </c>
      <c r="G1919" s="805">
        <f>+H1916</f>
        <v>45756</v>
      </c>
      <c r="H1919" s="662" t="s">
        <v>1269</v>
      </c>
      <c r="I1919" s="365">
        <v>1.02</v>
      </c>
      <c r="J1919" s="365"/>
      <c r="K1919" s="247">
        <f>+(E1919/G1919)*2*I1919</f>
        <v>7.8914240755310781</v>
      </c>
      <c r="L1919" s="365" t="s">
        <v>205</v>
      </c>
      <c r="M1919" s="54"/>
      <c r="N1919" s="54"/>
      <c r="O1919" s="336"/>
      <c r="P1919" s="334"/>
      <c r="Q1919" s="335"/>
      <c r="R1919" s="336"/>
      <c r="S1919" s="337"/>
    </row>
    <row r="1920" spans="1:25" ht="30" customHeight="1" x14ac:dyDescent="0.25">
      <c r="A1920" s="365" t="s">
        <v>406</v>
      </c>
      <c r="B1920" s="1209" t="s">
        <v>1288</v>
      </c>
      <c r="C1920" s="1210"/>
      <c r="D1920" s="1211"/>
      <c r="E1920" s="247">
        <v>3.06</v>
      </c>
      <c r="F1920" s="365" t="s">
        <v>205</v>
      </c>
      <c r="G1920" s="366"/>
      <c r="H1920" s="662"/>
      <c r="I1920" s="365">
        <v>1.01</v>
      </c>
      <c r="J1920" s="365"/>
      <c r="K1920" s="247">
        <f>+E1920*I1920</f>
        <v>3.0906000000000002</v>
      </c>
      <c r="L1920" s="365" t="s">
        <v>205</v>
      </c>
      <c r="M1920" s="54"/>
      <c r="N1920" s="54"/>
      <c r="O1920" s="336"/>
      <c r="P1920" s="334"/>
      <c r="Q1920" s="335"/>
      <c r="R1920" s="336"/>
      <c r="S1920" s="337"/>
    </row>
    <row r="1921" spans="1:19" ht="30" customHeight="1" x14ac:dyDescent="0.25">
      <c r="A1921" s="365" t="s">
        <v>406</v>
      </c>
      <c r="B1921" s="1209" t="s">
        <v>1279</v>
      </c>
      <c r="C1921" s="1210"/>
      <c r="D1921" s="1211"/>
      <c r="E1921" s="247">
        <f>+E1920*0.15</f>
        <v>0.45899999999999996</v>
      </c>
      <c r="F1921" s="365"/>
      <c r="G1921" s="366"/>
      <c r="H1921" s="662"/>
      <c r="I1921" s="365">
        <v>1.01</v>
      </c>
      <c r="J1921" s="365"/>
      <c r="K1921" s="247">
        <f>+E1921*I1921</f>
        <v>0.46358999999999995</v>
      </c>
      <c r="L1921" s="365"/>
      <c r="M1921" s="111"/>
      <c r="N1921" s="54"/>
      <c r="O1921" s="336"/>
      <c r="P1921" s="334"/>
      <c r="Q1921" s="335"/>
      <c r="R1921" s="336"/>
      <c r="S1921" s="337"/>
    </row>
    <row r="1922" spans="1:19" ht="30" customHeight="1" x14ac:dyDescent="0.25">
      <c r="A1922" s="365" t="s">
        <v>406</v>
      </c>
      <c r="B1922" s="1209" t="s">
        <v>1255</v>
      </c>
      <c r="C1922" s="1210"/>
      <c r="D1922" s="1211"/>
      <c r="E1922" s="246">
        <f xml:space="preserve"> 0.58+((1.15+1.71)/2)</f>
        <v>2.0099999999999998</v>
      </c>
      <c r="F1922" s="365"/>
      <c r="G1922" s="366"/>
      <c r="H1922" s="662"/>
      <c r="I1922" s="365">
        <v>1.01</v>
      </c>
      <c r="J1922" s="365"/>
      <c r="K1922" s="247">
        <f>+E1922*I1922</f>
        <v>2.0301</v>
      </c>
      <c r="L1922" s="365"/>
      <c r="M1922" s="54"/>
      <c r="N1922" s="54"/>
      <c r="O1922" s="336"/>
      <c r="P1922" s="334"/>
      <c r="Q1922" s="335"/>
      <c r="R1922" s="336"/>
      <c r="S1922" s="337"/>
    </row>
    <row r="1923" spans="1:19" ht="30" customHeight="1" x14ac:dyDescent="0.25">
      <c r="A1923" s="365"/>
      <c r="B1923" s="1209"/>
      <c r="C1923" s="1210"/>
      <c r="D1923" s="1211"/>
      <c r="E1923" s="247"/>
      <c r="F1923" s="365"/>
      <c r="G1923" s="366"/>
      <c r="H1923" s="662"/>
      <c r="I1923" s="365"/>
      <c r="J1923" s="365" t="s">
        <v>343</v>
      </c>
      <c r="K1923" s="247">
        <f>SUM(K1918:K1922)</f>
        <v>176.58061407553112</v>
      </c>
      <c r="L1923" s="365" t="s">
        <v>205</v>
      </c>
      <c r="M1923" s="54"/>
      <c r="N1923" s="111"/>
      <c r="O1923" s="336"/>
      <c r="P1923" s="334"/>
      <c r="Q1923" s="335"/>
      <c r="R1923" s="336"/>
      <c r="S1923" s="337"/>
    </row>
    <row r="1924" spans="1:19" ht="30" customHeight="1" x14ac:dyDescent="0.25">
      <c r="A1924" s="365"/>
      <c r="B1924" s="578"/>
      <c r="C1924" s="578"/>
      <c r="D1924" s="578"/>
      <c r="E1924" s="247"/>
      <c r="F1924" s="1272" t="s">
        <v>303</v>
      </c>
      <c r="G1924" s="1555" t="s">
        <v>304</v>
      </c>
      <c r="H1924" s="1556"/>
      <c r="I1924" s="1556"/>
      <c r="J1924" s="1557"/>
      <c r="K1924" s="250">
        <v>1.08</v>
      </c>
      <c r="L1924" s="365"/>
      <c r="M1924" s="54"/>
      <c r="N1924" s="54"/>
      <c r="O1924" s="336"/>
      <c r="P1924" s="334"/>
      <c r="Q1924" s="335"/>
      <c r="R1924" s="336"/>
      <c r="S1924" s="337"/>
    </row>
    <row r="1925" spans="1:19" ht="30" customHeight="1" x14ac:dyDescent="0.25">
      <c r="A1925" s="365"/>
      <c r="B1925" s="578"/>
      <c r="C1925" s="578"/>
      <c r="D1925" s="578"/>
      <c r="E1925" s="247"/>
      <c r="F1925" s="1273"/>
      <c r="G1925" s="1284" t="s">
        <v>438</v>
      </c>
      <c r="H1925" s="1284"/>
      <c r="I1925" s="1284"/>
      <c r="J1925" s="1284"/>
      <c r="K1925" s="250">
        <v>1.08</v>
      </c>
      <c r="L1925" s="365"/>
      <c r="M1925" s="54"/>
      <c r="N1925" s="54"/>
      <c r="O1925" s="336"/>
      <c r="P1925" s="334"/>
      <c r="Q1925" s="335"/>
      <c r="R1925" s="336"/>
      <c r="S1925" s="337"/>
    </row>
    <row r="1926" spans="1:19" ht="30" customHeight="1" x14ac:dyDescent="0.25">
      <c r="A1926" s="365"/>
      <c r="B1926" s="365"/>
      <c r="C1926" s="366"/>
      <c r="D1926" s="366"/>
      <c r="E1926" s="366"/>
      <c r="F1926" s="366"/>
      <c r="G1926" s="366"/>
      <c r="H1926" s="366"/>
      <c r="I1926" s="366"/>
      <c r="J1926" s="366" t="s">
        <v>72</v>
      </c>
      <c r="K1926" s="246">
        <f>+K1923*K1924/K1925</f>
        <v>176.58061407553112</v>
      </c>
      <c r="L1926" s="365" t="s">
        <v>205</v>
      </c>
      <c r="M1926" s="111"/>
      <c r="N1926" s="54"/>
      <c r="O1926" s="336"/>
      <c r="P1926" s="334"/>
      <c r="Q1926" s="335"/>
      <c r="R1926" s="336"/>
      <c r="S1926" s="337"/>
    </row>
    <row r="1927" spans="1:19" ht="30" customHeight="1" x14ac:dyDescent="0.25">
      <c r="A1927" s="365"/>
      <c r="B1927" s="365"/>
      <c r="C1927" s="366"/>
      <c r="D1927" s="366"/>
      <c r="E1927" s="366"/>
      <c r="F1927" s="366"/>
      <c r="G1927" s="580" t="s">
        <v>306</v>
      </c>
      <c r="H1927" s="366"/>
      <c r="I1927" s="366"/>
      <c r="J1927" s="521">
        <f>VLOOKUP(B1916,'Mil Cost Premiums for PUCs'!$A$4:$R$277,18,FALSE)</f>
        <v>1.1561386038173773</v>
      </c>
      <c r="K1927" s="246">
        <f>+K1926*J1927</f>
        <v>204.15166461849967</v>
      </c>
      <c r="L1927" s="365" t="s">
        <v>205</v>
      </c>
      <c r="M1927" s="54"/>
      <c r="N1927" s="54"/>
      <c r="O1927" s="336"/>
      <c r="P1927" s="334"/>
      <c r="Q1927" s="335"/>
      <c r="R1927" s="336"/>
      <c r="S1927" s="337"/>
    </row>
    <row r="1928" spans="1:19" ht="30" customHeight="1" thickBot="1" x14ac:dyDescent="0.3">
      <c r="A1928" s="365"/>
      <c r="B1928" s="365"/>
      <c r="C1928" s="366"/>
      <c r="D1928" s="366"/>
      <c r="E1928" s="366"/>
      <c r="F1928" s="1212" t="s">
        <v>1148</v>
      </c>
      <c r="G1928" s="1213"/>
      <c r="H1928" s="1213"/>
      <c r="I1928" s="1213"/>
      <c r="J1928" s="521">
        <v>1.0833999999999999</v>
      </c>
      <c r="K1928" s="544">
        <f>K1927*J1928</f>
        <v>221.17791344768253</v>
      </c>
      <c r="L1928" s="365" t="s">
        <v>205</v>
      </c>
      <c r="N1928" s="54"/>
      <c r="O1928" s="336"/>
      <c r="P1928" s="334"/>
      <c r="Q1928" s="335"/>
      <c r="R1928" s="336"/>
      <c r="S1928" s="337"/>
    </row>
    <row r="1929" spans="1:19" ht="30" customHeight="1" thickBot="1" x14ac:dyDescent="0.3">
      <c r="A1929" s="1180"/>
      <c r="B1929" s="1181"/>
      <c r="C1929" s="1181"/>
      <c r="D1929" s="1181"/>
      <c r="E1929" s="1181"/>
      <c r="F1929" s="1181"/>
      <c r="G1929" s="1181"/>
      <c r="H1929" s="1181"/>
      <c r="I1929" s="1181"/>
      <c r="J1929" s="1181"/>
      <c r="K1929" s="1181"/>
      <c r="L1929" s="1182"/>
      <c r="M1929" s="54"/>
      <c r="N1929" s="54"/>
      <c r="O1929" s="336"/>
      <c r="P1929" s="334"/>
      <c r="Q1929" s="335"/>
      <c r="R1929" s="336"/>
      <c r="S1929" s="337"/>
    </row>
    <row r="1930" spans="1:19" ht="30" customHeight="1" x14ac:dyDescent="0.25">
      <c r="A1930" s="327" t="s">
        <v>5</v>
      </c>
      <c r="B1930" s="328">
        <v>2171</v>
      </c>
      <c r="C1930" s="1218" t="s">
        <v>1289</v>
      </c>
      <c r="D1930" s="1219"/>
      <c r="E1930" s="331" t="s">
        <v>8</v>
      </c>
      <c r="F1930" s="332" t="s">
        <v>205</v>
      </c>
      <c r="G1930" s="342" t="s">
        <v>74</v>
      </c>
      <c r="H1930" s="160">
        <v>7518</v>
      </c>
      <c r="I1930" s="331" t="s">
        <v>10</v>
      </c>
      <c r="J1930" s="1220" t="s">
        <v>1130</v>
      </c>
      <c r="K1930" s="1220"/>
      <c r="L1930" s="1221"/>
      <c r="M1930" s="111"/>
      <c r="N1930" s="54"/>
      <c r="O1930" s="336"/>
      <c r="P1930" s="334"/>
      <c r="Q1930" s="335"/>
      <c r="R1930" s="336"/>
      <c r="S1930" s="337"/>
    </row>
    <row r="1931" spans="1:19" ht="30" customHeight="1" x14ac:dyDescent="0.25">
      <c r="A1931" s="356" t="s">
        <v>282</v>
      </c>
      <c r="B1931" s="1163" t="s">
        <v>13</v>
      </c>
      <c r="C1931" s="1163"/>
      <c r="D1931" s="1163"/>
      <c r="E1931" s="546" t="s">
        <v>116</v>
      </c>
      <c r="F1931" s="356" t="s">
        <v>283</v>
      </c>
      <c r="G1931" s="1314" t="s">
        <v>15</v>
      </c>
      <c r="H1931" s="1315"/>
      <c r="I1931" s="1276" t="s">
        <v>1290</v>
      </c>
      <c r="J1931" s="1277"/>
      <c r="K1931" s="1236" t="s">
        <v>285</v>
      </c>
      <c r="L1931" s="1237"/>
      <c r="M1931" s="54"/>
      <c r="N1931" s="54"/>
      <c r="O1931" s="336"/>
      <c r="P1931" s="334"/>
      <c r="Q1931" s="335"/>
      <c r="R1931" s="336"/>
      <c r="S1931" s="337"/>
    </row>
    <row r="1932" spans="1:19" ht="30" customHeight="1" x14ac:dyDescent="0.25">
      <c r="A1932" s="365">
        <v>21710</v>
      </c>
      <c r="B1932" s="1214" t="s">
        <v>1291</v>
      </c>
      <c r="C1932" s="1215"/>
      <c r="D1932" s="1216"/>
      <c r="E1932" s="247">
        <v>152.35</v>
      </c>
      <c r="F1932" s="257">
        <v>17000</v>
      </c>
      <c r="G1932" s="365" t="s">
        <v>205</v>
      </c>
      <c r="H1932" s="365"/>
      <c r="I1932" s="1183">
        <f>+'2022 MILCON Inflation Table'!$F$13</f>
        <v>1.2561273320332946</v>
      </c>
      <c r="J1932" s="1184"/>
      <c r="K1932" s="253">
        <f>+E1932*I1932</f>
        <v>191.37099903527243</v>
      </c>
      <c r="L1932" s="367" t="s">
        <v>205</v>
      </c>
      <c r="M1932" s="54"/>
      <c r="O1932" s="336"/>
      <c r="P1932" s="334"/>
      <c r="Q1932" s="335"/>
      <c r="R1932" s="336"/>
      <c r="S1932" s="337"/>
    </row>
    <row r="1933" spans="1:19" ht="30" customHeight="1" thickBot="1" x14ac:dyDescent="0.3">
      <c r="A1933" s="365"/>
      <c r="B1933" s="1214"/>
      <c r="C1933" s="1215"/>
      <c r="D1933" s="1216"/>
      <c r="E1933" s="333"/>
      <c r="F1933" s="744"/>
      <c r="G1933" s="333"/>
      <c r="H1933" s="729"/>
      <c r="I1933" s="366"/>
      <c r="J1933" s="359" t="s">
        <v>72</v>
      </c>
      <c r="K1933" s="243">
        <f>AVERAGE(K1932:K1932)</f>
        <v>191.37099903527243</v>
      </c>
      <c r="L1933" s="367" t="s">
        <v>205</v>
      </c>
      <c r="N1933" s="54"/>
      <c r="O1933" s="336"/>
      <c r="P1933" s="334"/>
      <c r="Q1933" s="335"/>
      <c r="R1933" s="336"/>
      <c r="S1933" s="337"/>
    </row>
    <row r="1934" spans="1:19" ht="30" customHeight="1" thickBot="1" x14ac:dyDescent="0.3">
      <c r="A1934" s="1180"/>
      <c r="B1934" s="1181"/>
      <c r="C1934" s="1181"/>
      <c r="D1934" s="1181"/>
      <c r="E1934" s="1181"/>
      <c r="F1934" s="1181"/>
      <c r="G1934" s="1181"/>
      <c r="H1934" s="1181"/>
      <c r="I1934" s="1181"/>
      <c r="J1934" s="1181"/>
      <c r="K1934" s="1181"/>
      <c r="L1934" s="1182"/>
      <c r="M1934" s="54"/>
      <c r="N1934" s="54"/>
      <c r="O1934" s="336"/>
      <c r="P1934" s="334"/>
      <c r="Q1934" s="335"/>
      <c r="R1934" s="336"/>
      <c r="S1934" s="337"/>
    </row>
    <row r="1935" spans="1:19" ht="30" customHeight="1" x14ac:dyDescent="0.25">
      <c r="A1935" s="327" t="s">
        <v>5</v>
      </c>
      <c r="B1935" s="328">
        <v>2172</v>
      </c>
      <c r="C1935" s="1218" t="s">
        <v>1292</v>
      </c>
      <c r="D1935" s="1219"/>
      <c r="E1935" s="331" t="s">
        <v>8</v>
      </c>
      <c r="F1935" s="332" t="s">
        <v>205</v>
      </c>
      <c r="G1935" s="342" t="s">
        <v>74</v>
      </c>
      <c r="H1935" s="160">
        <v>17757</v>
      </c>
      <c r="I1935" s="331" t="s">
        <v>10</v>
      </c>
      <c r="J1935" s="1220" t="s">
        <v>1130</v>
      </c>
      <c r="K1935" s="1220"/>
      <c r="L1935" s="1221"/>
      <c r="M1935" s="111"/>
      <c r="N1935" s="54"/>
      <c r="O1935" s="336"/>
      <c r="P1935" s="334"/>
      <c r="Q1935" s="335"/>
      <c r="R1935" s="336"/>
      <c r="S1935" s="337"/>
    </row>
    <row r="1936" spans="1:19" ht="30" customHeight="1" x14ac:dyDescent="0.25">
      <c r="A1936" s="356" t="s">
        <v>282</v>
      </c>
      <c r="B1936" s="1163" t="s">
        <v>13</v>
      </c>
      <c r="C1936" s="1163"/>
      <c r="D1936" s="1163"/>
      <c r="E1936" s="546" t="s">
        <v>116</v>
      </c>
      <c r="F1936" s="356" t="s">
        <v>283</v>
      </c>
      <c r="G1936" s="1314" t="s">
        <v>15</v>
      </c>
      <c r="H1936" s="1315"/>
      <c r="I1936" s="1276" t="s">
        <v>1290</v>
      </c>
      <c r="J1936" s="1277"/>
      <c r="K1936" s="1236" t="s">
        <v>285</v>
      </c>
      <c r="L1936" s="1237"/>
      <c r="M1936" s="54"/>
      <c r="N1936" s="54"/>
      <c r="O1936" s="336"/>
      <c r="P1936" s="334"/>
      <c r="Q1936" s="335"/>
      <c r="R1936" s="336"/>
      <c r="S1936" s="337"/>
    </row>
    <row r="1937" spans="1:19" ht="30" customHeight="1" x14ac:dyDescent="0.25">
      <c r="A1937" s="365">
        <v>21710</v>
      </c>
      <c r="B1937" s="1214" t="s">
        <v>1291</v>
      </c>
      <c r="C1937" s="1215"/>
      <c r="D1937" s="1216"/>
      <c r="E1937" s="247">
        <v>152.35</v>
      </c>
      <c r="F1937" s="257">
        <v>17000</v>
      </c>
      <c r="G1937" s="365" t="s">
        <v>205</v>
      </c>
      <c r="H1937" s="365"/>
      <c r="I1937" s="1183">
        <f>+'2022 MILCON Inflation Table'!$F$13</f>
        <v>1.2561273320332946</v>
      </c>
      <c r="J1937" s="1184"/>
      <c r="K1937" s="253">
        <f>+E1937*I1937</f>
        <v>191.37099903527243</v>
      </c>
      <c r="L1937" s="365" t="s">
        <v>205</v>
      </c>
      <c r="M1937" s="54"/>
      <c r="N1937" s="54"/>
      <c r="O1937" s="336"/>
      <c r="P1937" s="334"/>
      <c r="Q1937" s="335"/>
      <c r="R1937" s="336"/>
      <c r="S1937" s="337"/>
    </row>
    <row r="1938" spans="1:19" ht="30" customHeight="1" thickBot="1" x14ac:dyDescent="0.3">
      <c r="A1938" s="365"/>
      <c r="B1938" s="1214"/>
      <c r="C1938" s="1215"/>
      <c r="D1938" s="1216"/>
      <c r="E1938" s="333"/>
      <c r="F1938" s="744"/>
      <c r="G1938" s="333"/>
      <c r="H1938" s="729"/>
      <c r="I1938" s="366"/>
      <c r="J1938" s="359" t="s">
        <v>72</v>
      </c>
      <c r="K1938" s="243">
        <f>AVERAGE(K1937:K1937)</f>
        <v>191.37099903527243</v>
      </c>
      <c r="L1938" s="367" t="s">
        <v>205</v>
      </c>
      <c r="M1938" s="111"/>
      <c r="N1938" s="54"/>
      <c r="O1938" s="336"/>
      <c r="P1938" s="334"/>
      <c r="Q1938" s="335"/>
      <c r="R1938" s="336"/>
      <c r="S1938" s="337"/>
    </row>
    <row r="1939" spans="1:19" ht="30" customHeight="1" thickBot="1" x14ac:dyDescent="0.3">
      <c r="A1939" s="1180"/>
      <c r="B1939" s="1181"/>
      <c r="C1939" s="1181"/>
      <c r="D1939" s="1181"/>
      <c r="E1939" s="1181"/>
      <c r="F1939" s="1181"/>
      <c r="G1939" s="1181"/>
      <c r="H1939" s="1181"/>
      <c r="I1939" s="1181"/>
      <c r="J1939" s="1181"/>
      <c r="K1939" s="1181"/>
      <c r="L1939" s="1182"/>
      <c r="M1939" s="54"/>
      <c r="N1939" s="54"/>
      <c r="O1939" s="336"/>
      <c r="P1939" s="334"/>
      <c r="Q1939" s="335"/>
      <c r="R1939" s="336"/>
      <c r="S1939" s="337"/>
    </row>
    <row r="1940" spans="1:19" ht="30" customHeight="1" x14ac:dyDescent="0.25">
      <c r="A1940" s="456" t="s">
        <v>5</v>
      </c>
      <c r="B1940" s="456">
        <v>2173</v>
      </c>
      <c r="C1940" s="1218" t="s">
        <v>1293</v>
      </c>
      <c r="D1940" s="1219"/>
      <c r="E1940" s="367" t="s">
        <v>8</v>
      </c>
      <c r="F1940" s="378" t="s">
        <v>76</v>
      </c>
      <c r="G1940" s="338" t="s">
        <v>7</v>
      </c>
      <c r="H1940" s="332">
        <v>1</v>
      </c>
      <c r="I1940" s="331" t="s">
        <v>10</v>
      </c>
      <c r="J1940" s="1220" t="s">
        <v>3388</v>
      </c>
      <c r="K1940" s="1220"/>
      <c r="L1940" s="1221"/>
      <c r="M1940" s="54"/>
      <c r="N1940" s="54"/>
      <c r="O1940" s="64"/>
      <c r="P1940" s="334"/>
      <c r="Q1940" s="335"/>
      <c r="R1940" s="336"/>
      <c r="S1940" s="337"/>
    </row>
    <row r="1941" spans="1:19" ht="30" customHeight="1" x14ac:dyDescent="0.25">
      <c r="A1941" s="359" t="s">
        <v>295</v>
      </c>
      <c r="B1941" s="1554" t="s">
        <v>326</v>
      </c>
      <c r="C1941" s="1554"/>
      <c r="D1941" s="1554"/>
      <c r="E1941" s="359" t="s">
        <v>116</v>
      </c>
      <c r="F1941" s="359" t="s">
        <v>117</v>
      </c>
      <c r="G1941" s="1250" t="s">
        <v>118</v>
      </c>
      <c r="H1941" s="1250"/>
      <c r="I1941" s="356" t="s">
        <v>296</v>
      </c>
      <c r="J1941" s="356"/>
      <c r="K1941" s="1236" t="s">
        <v>285</v>
      </c>
      <c r="L1941" s="1237"/>
      <c r="M1941" s="54"/>
      <c r="N1941" s="54"/>
      <c r="O1941" s="336"/>
      <c r="P1941" s="334"/>
      <c r="Q1941" s="335"/>
      <c r="R1941" s="336"/>
      <c r="S1941" s="337"/>
    </row>
    <row r="1942" spans="1:19" ht="30" customHeight="1" x14ac:dyDescent="0.25">
      <c r="A1942" s="365" t="s">
        <v>297</v>
      </c>
      <c r="B1942" s="1281" t="s">
        <v>1294</v>
      </c>
      <c r="C1942" s="1281"/>
      <c r="D1942" s="1281"/>
      <c r="E1942" s="247">
        <v>1030</v>
      </c>
      <c r="F1942" s="365" t="s">
        <v>341</v>
      </c>
      <c r="G1942" s="365">
        <v>100</v>
      </c>
      <c r="H1942" s="365" t="s">
        <v>1295</v>
      </c>
      <c r="I1942" s="706">
        <v>1.02</v>
      </c>
      <c r="J1942" s="706"/>
      <c r="K1942" s="247">
        <f>+E1942*G1942*I1942</f>
        <v>105060</v>
      </c>
      <c r="L1942" s="365" t="s">
        <v>76</v>
      </c>
      <c r="M1942" s="54"/>
      <c r="N1942" s="54"/>
      <c r="O1942" s="336"/>
      <c r="P1942" s="334"/>
      <c r="Q1942" s="335"/>
      <c r="R1942" s="336"/>
      <c r="S1942" s="337"/>
    </row>
    <row r="1943" spans="1:19" ht="30" customHeight="1" x14ac:dyDescent="0.25">
      <c r="A1943" s="365"/>
      <c r="E1943" s="247"/>
      <c r="F1943" s="1272" t="s">
        <v>303</v>
      </c>
      <c r="G1943" s="1283" t="s">
        <v>304</v>
      </c>
      <c r="H1943" s="1283"/>
      <c r="I1943" s="1283"/>
      <c r="J1943" s="1283"/>
      <c r="K1943" s="250">
        <v>1.07</v>
      </c>
      <c r="L1943" s="365"/>
      <c r="M1943" s="54"/>
      <c r="N1943" s="54"/>
      <c r="O1943" s="336"/>
      <c r="P1943" s="334"/>
      <c r="Q1943" s="335"/>
      <c r="R1943" s="336"/>
      <c r="S1943" s="337"/>
    </row>
    <row r="1944" spans="1:19" ht="30" customHeight="1" x14ac:dyDescent="0.25">
      <c r="A1944" s="365"/>
      <c r="B1944" s="578"/>
      <c r="C1944" s="578"/>
      <c r="D1944" s="578"/>
      <c r="E1944" s="247"/>
      <c r="F1944" s="1273"/>
      <c r="G1944" s="1284" t="s">
        <v>438</v>
      </c>
      <c r="H1944" s="1284"/>
      <c r="I1944" s="1284"/>
      <c r="J1944" s="1284"/>
      <c r="K1944" s="250">
        <v>1.08</v>
      </c>
      <c r="L1944" s="369"/>
      <c r="M1944" s="54"/>
      <c r="N1944" s="54"/>
      <c r="P1944" s="335"/>
      <c r="Q1944" s="336"/>
      <c r="R1944" s="337"/>
    </row>
    <row r="1945" spans="1:19" ht="30" customHeight="1" x14ac:dyDescent="0.25">
      <c r="A1945" s="365"/>
      <c r="B1945" s="365"/>
      <c r="C1945" s="366"/>
      <c r="D1945" s="366"/>
      <c r="E1945" s="366"/>
      <c r="F1945" s="366"/>
      <c r="G1945" s="366"/>
      <c r="H1945" s="366"/>
      <c r="I1945" s="366"/>
      <c r="J1945" s="365" t="s">
        <v>72</v>
      </c>
      <c r="K1945" s="168">
        <f>+K1942*K1943/K1944</f>
        <v>104087.22222222222</v>
      </c>
      <c r="L1945" s="835" t="s">
        <v>76</v>
      </c>
      <c r="M1945" s="10"/>
      <c r="N1945" s="54"/>
      <c r="P1945" s="335"/>
      <c r="Q1945" s="336"/>
      <c r="R1945" s="337"/>
    </row>
    <row r="1946" spans="1:19" ht="30" customHeight="1" x14ac:dyDescent="0.25">
      <c r="A1946" s="365"/>
      <c r="B1946" s="1281" t="s">
        <v>1296</v>
      </c>
      <c r="C1946" s="1281"/>
      <c r="D1946" s="1281"/>
      <c r="E1946" s="366"/>
      <c r="F1946" s="366"/>
      <c r="G1946" s="580" t="s">
        <v>306</v>
      </c>
      <c r="H1946" s="366"/>
      <c r="I1946" s="366"/>
      <c r="J1946" s="521">
        <f>VLOOKUP(B1940,'Mil Cost Premiums for PUCs'!$A$4:$R$277,18,FALSE)</f>
        <v>1.0485669999999998</v>
      </c>
      <c r="K1946" s="246">
        <f>+K1945*J1946</f>
        <v>109142.42634388886</v>
      </c>
      <c r="L1946" s="396" t="s">
        <v>76</v>
      </c>
      <c r="M1946" s="54"/>
      <c r="N1946" s="54"/>
      <c r="P1946" s="335"/>
      <c r="Q1946" s="336"/>
      <c r="R1946" s="337"/>
    </row>
    <row r="1947" spans="1:19" ht="30" customHeight="1" thickBot="1" x14ac:dyDescent="0.3">
      <c r="A1947" s="365"/>
      <c r="B1947" s="365"/>
      <c r="C1947" s="366"/>
      <c r="D1947" s="366"/>
      <c r="E1947" s="366"/>
      <c r="F1947" s="1212" t="s">
        <v>1148</v>
      </c>
      <c r="G1947" s="1213"/>
      <c r="H1947" s="1213"/>
      <c r="I1947" s="1213"/>
      <c r="J1947" s="521">
        <v>1.0833999999999999</v>
      </c>
      <c r="K1947" s="544">
        <f>K1946*J1947</f>
        <v>118244.90470096919</v>
      </c>
      <c r="L1947" s="365" t="s">
        <v>76</v>
      </c>
      <c r="N1947" s="54"/>
      <c r="P1947" s="335"/>
      <c r="Q1947" s="336"/>
      <c r="R1947" s="337"/>
    </row>
    <row r="1948" spans="1:19" ht="30" customHeight="1" thickBot="1" x14ac:dyDescent="0.3">
      <c r="A1948" s="1180"/>
      <c r="B1948" s="1181"/>
      <c r="C1948" s="1181"/>
      <c r="D1948" s="1181"/>
      <c r="E1948" s="1181"/>
      <c r="F1948" s="1181"/>
      <c r="G1948" s="1181"/>
      <c r="H1948" s="1181"/>
      <c r="I1948" s="1181"/>
      <c r="J1948" s="1181"/>
      <c r="K1948" s="1181"/>
      <c r="L1948" s="1182"/>
      <c r="M1948" s="54"/>
      <c r="N1948" s="54"/>
      <c r="P1948" s="335"/>
      <c r="Q1948" s="336"/>
      <c r="R1948" s="337"/>
    </row>
    <row r="1949" spans="1:19" ht="30" customHeight="1" x14ac:dyDescent="0.25">
      <c r="A1949" s="327" t="s">
        <v>5</v>
      </c>
      <c r="B1949" s="328">
        <v>2181</v>
      </c>
      <c r="C1949" s="1218" t="s">
        <v>1297</v>
      </c>
      <c r="D1949" s="1219"/>
      <c r="E1949" s="331" t="s">
        <v>8</v>
      </c>
      <c r="F1949" s="332" t="s">
        <v>205</v>
      </c>
      <c r="G1949" s="342" t="s">
        <v>74</v>
      </c>
      <c r="H1949" s="159">
        <v>8982</v>
      </c>
      <c r="I1949" s="331" t="s">
        <v>10</v>
      </c>
      <c r="J1949" s="1220" t="s">
        <v>1205</v>
      </c>
      <c r="K1949" s="1220"/>
      <c r="L1949" s="1221"/>
      <c r="M1949" s="54"/>
      <c r="N1949" s="54"/>
      <c r="P1949" s="335"/>
      <c r="Q1949" s="336"/>
      <c r="R1949" s="337"/>
    </row>
    <row r="1950" spans="1:19" ht="30" customHeight="1" x14ac:dyDescent="0.25">
      <c r="A1950" s="356" t="s">
        <v>282</v>
      </c>
      <c r="B1950" s="1163" t="s">
        <v>13</v>
      </c>
      <c r="C1950" s="1163"/>
      <c r="D1950" s="1163"/>
      <c r="E1950" s="357" t="s">
        <v>283</v>
      </c>
      <c r="F1950" s="546" t="s">
        <v>116</v>
      </c>
      <c r="G1950" s="356"/>
      <c r="H1950" s="356"/>
      <c r="I1950" s="1276" t="s">
        <v>284</v>
      </c>
      <c r="J1950" s="1277"/>
      <c r="K1950" s="1236" t="s">
        <v>285</v>
      </c>
      <c r="L1950" s="1237"/>
      <c r="M1950" s="54"/>
      <c r="N1950" s="54"/>
      <c r="P1950" s="335"/>
      <c r="Q1950" s="336"/>
      <c r="R1950" s="337"/>
    </row>
    <row r="1951" spans="1:19" ht="30" customHeight="1" x14ac:dyDescent="0.25">
      <c r="A1951" s="367" t="s">
        <v>286</v>
      </c>
      <c r="B1951" s="1268" t="s">
        <v>1206</v>
      </c>
      <c r="C1951" s="1167"/>
      <c r="D1951" s="1168"/>
      <c r="E1951" s="547">
        <v>25000</v>
      </c>
      <c r="F1951" s="240">
        <v>259</v>
      </c>
      <c r="G1951" s="548"/>
      <c r="H1951" s="549"/>
      <c r="I1951" s="1302">
        <f>'2022 MILCON Inflation Table'!F17</f>
        <v>1.0833841548808889</v>
      </c>
      <c r="J1951" s="1303"/>
      <c r="K1951" s="240">
        <f>F1951*I1951</f>
        <v>280.59649611415023</v>
      </c>
      <c r="L1951" s="367" t="s">
        <v>205</v>
      </c>
      <c r="M1951" s="54"/>
      <c r="N1951" s="54"/>
      <c r="P1951" s="335"/>
      <c r="Q1951" s="336"/>
      <c r="R1951" s="337"/>
    </row>
    <row r="1952" spans="1:19" ht="30" customHeight="1" thickBot="1" x14ac:dyDescent="0.3">
      <c r="A1952" s="365"/>
      <c r="B1952" s="1403"/>
      <c r="C1952" s="1404"/>
      <c r="D1952" s="1405"/>
      <c r="E1952" s="550"/>
      <c r="F1952" s="551"/>
      <c r="G1952" s="551"/>
      <c r="H1952" s="552"/>
      <c r="I1952" s="366"/>
      <c r="J1952" s="359" t="s">
        <v>72</v>
      </c>
      <c r="K1952" s="246">
        <f>+K1951</f>
        <v>280.59649611415023</v>
      </c>
      <c r="L1952" s="365" t="s">
        <v>205</v>
      </c>
      <c r="M1952" s="54"/>
      <c r="N1952" s="54"/>
      <c r="P1952" s="335"/>
      <c r="Q1952" s="336"/>
      <c r="R1952" s="337"/>
    </row>
    <row r="1953" spans="1:19" ht="30" customHeight="1" thickBot="1" x14ac:dyDescent="0.3">
      <c r="A1953" s="1180"/>
      <c r="B1953" s="1181"/>
      <c r="C1953" s="1181"/>
      <c r="D1953" s="1181"/>
      <c r="E1953" s="1181"/>
      <c r="F1953" s="1181"/>
      <c r="G1953" s="1181"/>
      <c r="H1953" s="1181"/>
      <c r="I1953" s="1181"/>
      <c r="J1953" s="1181"/>
      <c r="K1953" s="1181"/>
      <c r="L1953" s="1182"/>
      <c r="M1953" s="54"/>
      <c r="N1953" s="54"/>
      <c r="P1953" s="335"/>
      <c r="Q1953" s="336"/>
      <c r="R1953" s="337"/>
    </row>
    <row r="1954" spans="1:19" ht="30" customHeight="1" x14ac:dyDescent="0.25">
      <c r="A1954" s="327" t="s">
        <v>5</v>
      </c>
      <c r="B1954" s="328">
        <v>2182</v>
      </c>
      <c r="C1954" s="1218" t="s">
        <v>1298</v>
      </c>
      <c r="D1954" s="1219"/>
      <c r="E1954" s="331" t="s">
        <v>8</v>
      </c>
      <c r="F1954" s="332" t="s">
        <v>205</v>
      </c>
      <c r="G1954" s="342" t="s">
        <v>74</v>
      </c>
      <c r="H1954" s="159">
        <v>6778</v>
      </c>
      <c r="I1954" s="331" t="s">
        <v>10</v>
      </c>
      <c r="J1954" s="1220" t="s">
        <v>1205</v>
      </c>
      <c r="K1954" s="1220"/>
      <c r="L1954" s="1221"/>
      <c r="M1954" s="54"/>
      <c r="N1954" s="54"/>
      <c r="P1954" s="335"/>
      <c r="Q1954" s="336"/>
      <c r="R1954" s="337"/>
    </row>
    <row r="1955" spans="1:19" ht="30" customHeight="1" x14ac:dyDescent="0.25">
      <c r="A1955" s="356" t="s">
        <v>282</v>
      </c>
      <c r="B1955" s="1163" t="s">
        <v>13</v>
      </c>
      <c r="C1955" s="1163"/>
      <c r="D1955" s="1163"/>
      <c r="E1955" s="357" t="s">
        <v>283</v>
      </c>
      <c r="F1955" s="546" t="s">
        <v>116</v>
      </c>
      <c r="G1955" s="356"/>
      <c r="H1955" s="356"/>
      <c r="I1955" s="1276" t="s">
        <v>284</v>
      </c>
      <c r="J1955" s="1277"/>
      <c r="K1955" s="1236" t="s">
        <v>285</v>
      </c>
      <c r="L1955" s="1237"/>
      <c r="M1955" s="54"/>
      <c r="N1955" s="54"/>
      <c r="O1955" s="336"/>
      <c r="P1955" s="334"/>
      <c r="Q1955" s="335"/>
      <c r="R1955" s="336"/>
      <c r="S1955" s="337"/>
    </row>
    <row r="1956" spans="1:19" ht="30" customHeight="1" x14ac:dyDescent="0.25">
      <c r="A1956" s="367" t="s">
        <v>286</v>
      </c>
      <c r="B1956" s="1164" t="s">
        <v>1206</v>
      </c>
      <c r="C1956" s="1164"/>
      <c r="D1956" s="1164"/>
      <c r="E1956" s="547">
        <v>25000</v>
      </c>
      <c r="F1956" s="240">
        <v>259</v>
      </c>
      <c r="G1956" s="548"/>
      <c r="H1956" s="549"/>
      <c r="I1956" s="1302">
        <f>'2022 MILCON Inflation Table'!F17</f>
        <v>1.0833841548808889</v>
      </c>
      <c r="J1956" s="1303"/>
      <c r="K1956" s="240">
        <f>F1956*I1956</f>
        <v>280.59649611415023</v>
      </c>
      <c r="L1956" s="367" t="s">
        <v>205</v>
      </c>
      <c r="M1956" s="111"/>
      <c r="N1956" s="54"/>
      <c r="O1956" s="336"/>
      <c r="P1956" s="334"/>
      <c r="Q1956" s="335"/>
      <c r="R1956" s="336"/>
      <c r="S1956" s="337"/>
    </row>
    <row r="1957" spans="1:19" ht="30" customHeight="1" thickBot="1" x14ac:dyDescent="0.3">
      <c r="A1957" s="365"/>
      <c r="B1957" s="1281"/>
      <c r="C1957" s="1281"/>
      <c r="D1957" s="1281"/>
      <c r="E1957" s="550"/>
      <c r="F1957" s="551"/>
      <c r="G1957" s="551"/>
      <c r="H1957" s="552"/>
      <c r="I1957" s="366"/>
      <c r="J1957" s="359" t="s">
        <v>72</v>
      </c>
      <c r="K1957" s="246">
        <f>+K1956</f>
        <v>280.59649611415023</v>
      </c>
      <c r="L1957" s="365" t="s">
        <v>205</v>
      </c>
      <c r="M1957" s="54"/>
      <c r="N1957" s="54"/>
      <c r="P1957" s="335"/>
      <c r="Q1957" s="336"/>
      <c r="R1957" s="337"/>
    </row>
    <row r="1958" spans="1:19" ht="30" customHeight="1" thickBot="1" x14ac:dyDescent="0.3">
      <c r="A1958" s="1180"/>
      <c r="B1958" s="1181"/>
      <c r="C1958" s="1181"/>
      <c r="D1958" s="1181"/>
      <c r="E1958" s="1181"/>
      <c r="F1958" s="1181"/>
      <c r="G1958" s="1181"/>
      <c r="H1958" s="1181"/>
      <c r="I1958" s="1181"/>
      <c r="J1958" s="1181"/>
      <c r="K1958" s="1181"/>
      <c r="L1958" s="1182"/>
      <c r="M1958" s="54"/>
      <c r="N1958" s="54"/>
      <c r="P1958" s="335"/>
      <c r="Q1958" s="336"/>
      <c r="R1958" s="337"/>
    </row>
    <row r="1959" spans="1:19" ht="30" customHeight="1" x14ac:dyDescent="0.25">
      <c r="A1959" s="327" t="s">
        <v>5</v>
      </c>
      <c r="B1959" s="328">
        <v>2183</v>
      </c>
      <c r="C1959" s="1218" t="s">
        <v>1299</v>
      </c>
      <c r="D1959" s="1219"/>
      <c r="E1959" s="331" t="s">
        <v>8</v>
      </c>
      <c r="F1959" s="332" t="s">
        <v>205</v>
      </c>
      <c r="G1959" s="342" t="s">
        <v>74</v>
      </c>
      <c r="H1959" s="159">
        <v>8012</v>
      </c>
      <c r="I1959" s="331" t="s">
        <v>10</v>
      </c>
      <c r="J1959" s="1220" t="s">
        <v>1205</v>
      </c>
      <c r="K1959" s="1220"/>
      <c r="L1959" s="1221"/>
      <c r="M1959" s="54"/>
      <c r="N1959" s="54"/>
      <c r="O1959" s="336"/>
      <c r="P1959" s="334"/>
      <c r="Q1959" s="335"/>
      <c r="R1959" s="336"/>
      <c r="S1959" s="337"/>
    </row>
    <row r="1960" spans="1:19" ht="30" customHeight="1" x14ac:dyDescent="0.25">
      <c r="A1960" s="356" t="s">
        <v>282</v>
      </c>
      <c r="B1960" s="1163" t="s">
        <v>13</v>
      </c>
      <c r="C1960" s="1163"/>
      <c r="D1960" s="1163"/>
      <c r="E1960" s="357" t="s">
        <v>283</v>
      </c>
      <c r="F1960" s="546" t="s">
        <v>116</v>
      </c>
      <c r="G1960" s="356"/>
      <c r="H1960" s="356"/>
      <c r="I1960" s="1276" t="s">
        <v>284</v>
      </c>
      <c r="J1960" s="1277"/>
      <c r="K1960" s="1236" t="s">
        <v>285</v>
      </c>
      <c r="L1960" s="1237"/>
      <c r="M1960" s="54"/>
      <c r="N1960" s="54"/>
      <c r="O1960" s="336"/>
      <c r="P1960" s="334"/>
      <c r="Q1960" s="335"/>
      <c r="R1960" s="336"/>
      <c r="S1960" s="337"/>
    </row>
    <row r="1961" spans="1:19" ht="30" customHeight="1" x14ac:dyDescent="0.25">
      <c r="A1961" s="367" t="s">
        <v>286</v>
      </c>
      <c r="B1961" s="1164" t="s">
        <v>1206</v>
      </c>
      <c r="C1961" s="1164"/>
      <c r="D1961" s="1164"/>
      <c r="E1961" s="547">
        <v>25000</v>
      </c>
      <c r="F1961" s="240">
        <v>259</v>
      </c>
      <c r="G1961" s="548"/>
      <c r="H1961" s="549"/>
      <c r="I1961" s="1302">
        <f>'2022 MILCON Inflation Table'!F17</f>
        <v>1.0833841548808889</v>
      </c>
      <c r="J1961" s="1303"/>
      <c r="K1961" s="240">
        <f>F1961*I1961</f>
        <v>280.59649611415023</v>
      </c>
      <c r="L1961" s="367" t="s">
        <v>205</v>
      </c>
      <c r="M1961" s="54"/>
      <c r="N1961" s="54"/>
      <c r="O1961" s="336"/>
      <c r="P1961" s="334"/>
      <c r="Q1961" s="335"/>
      <c r="R1961" s="336"/>
      <c r="S1961" s="337"/>
    </row>
    <row r="1962" spans="1:19" ht="30" customHeight="1" thickBot="1" x14ac:dyDescent="0.3">
      <c r="A1962" s="365"/>
      <c r="B1962" s="1281"/>
      <c r="C1962" s="1281"/>
      <c r="D1962" s="1281"/>
      <c r="E1962" s="550"/>
      <c r="F1962" s="551"/>
      <c r="G1962" s="551"/>
      <c r="H1962" s="552"/>
      <c r="I1962" s="366"/>
      <c r="J1962" s="359" t="s">
        <v>72</v>
      </c>
      <c r="K1962" s="246">
        <f>+K1961</f>
        <v>280.59649611415023</v>
      </c>
      <c r="L1962" s="365" t="s">
        <v>205</v>
      </c>
      <c r="M1962" s="54"/>
      <c r="N1962" s="54"/>
      <c r="O1962" s="336"/>
      <c r="P1962" s="334"/>
      <c r="Q1962" s="335"/>
      <c r="R1962" s="336"/>
      <c r="S1962" s="337"/>
    </row>
    <row r="1963" spans="1:19" ht="30" customHeight="1" thickBot="1" x14ac:dyDescent="0.3">
      <c r="A1963" s="1180"/>
      <c r="B1963" s="1181"/>
      <c r="C1963" s="1181"/>
      <c r="D1963" s="1181"/>
      <c r="E1963" s="1181"/>
      <c r="F1963" s="1181"/>
      <c r="G1963" s="1181"/>
      <c r="H1963" s="1181"/>
      <c r="I1963" s="1181"/>
      <c r="J1963" s="1181"/>
      <c r="K1963" s="1181"/>
      <c r="L1963" s="1182"/>
      <c r="M1963" s="54"/>
      <c r="N1963" s="54"/>
      <c r="O1963" s="336"/>
      <c r="P1963" s="334"/>
      <c r="Q1963" s="335"/>
      <c r="R1963" s="336"/>
      <c r="S1963" s="337"/>
    </row>
    <row r="1964" spans="1:19" ht="30" customHeight="1" x14ac:dyDescent="0.25">
      <c r="A1964" s="327" t="s">
        <v>5</v>
      </c>
      <c r="B1964" s="328">
        <v>2184</v>
      </c>
      <c r="C1964" s="1251" t="s">
        <v>1300</v>
      </c>
      <c r="D1964" s="1252"/>
      <c r="E1964" s="331" t="s">
        <v>8</v>
      </c>
      <c r="F1964" s="332" t="s">
        <v>205</v>
      </c>
      <c r="G1964" s="342" t="s">
        <v>74</v>
      </c>
      <c r="H1964" s="159">
        <v>10600</v>
      </c>
      <c r="I1964" s="331" t="s">
        <v>10</v>
      </c>
      <c r="J1964" s="1220" t="s">
        <v>1301</v>
      </c>
      <c r="K1964" s="1220"/>
      <c r="L1964" s="1221"/>
      <c r="M1964" s="111"/>
      <c r="N1964" s="54"/>
      <c r="O1964" s="336"/>
      <c r="P1964" s="334"/>
      <c r="Q1964" s="335"/>
      <c r="R1964" s="336"/>
      <c r="S1964" s="337"/>
    </row>
    <row r="1965" spans="1:19" ht="30" customHeight="1" x14ac:dyDescent="0.25">
      <c r="A1965" s="356"/>
      <c r="B1965" s="1163" t="s">
        <v>13</v>
      </c>
      <c r="C1965" s="1163"/>
      <c r="D1965" s="1163"/>
      <c r="E1965" s="356" t="s">
        <v>283</v>
      </c>
      <c r="F1965" s="546" t="s">
        <v>116</v>
      </c>
      <c r="G1965" s="1276"/>
      <c r="H1965" s="1277"/>
      <c r="I1965" s="1276" t="s">
        <v>284</v>
      </c>
      <c r="J1965" s="1277"/>
      <c r="K1965" s="1236" t="s">
        <v>285</v>
      </c>
      <c r="L1965" s="1237"/>
      <c r="M1965" s="54"/>
      <c r="N1965" s="54"/>
      <c r="O1965" s="336"/>
      <c r="P1965" s="334"/>
      <c r="Q1965" s="335"/>
      <c r="R1965" s="336"/>
      <c r="S1965" s="337"/>
    </row>
    <row r="1966" spans="1:19" ht="30" customHeight="1" x14ac:dyDescent="0.25">
      <c r="A1966" s="360" t="s">
        <v>286</v>
      </c>
      <c r="B1966" s="1164" t="s">
        <v>1302</v>
      </c>
      <c r="C1966" s="1164"/>
      <c r="D1966" s="1164"/>
      <c r="E1966" s="361">
        <v>6600</v>
      </c>
      <c r="F1966" s="240">
        <v>198</v>
      </c>
      <c r="G1966" s="1575"/>
      <c r="H1966" s="1576"/>
      <c r="I1966" s="1302">
        <f>'2022 MILCON Inflation Table'!F9</f>
        <v>1.4642601582796022</v>
      </c>
      <c r="J1966" s="1303"/>
      <c r="K1966" s="836">
        <f>+F1966*I1966</f>
        <v>289.92351133936126</v>
      </c>
      <c r="L1966" s="360" t="s">
        <v>205</v>
      </c>
      <c r="M1966" s="54"/>
      <c r="N1966" s="54"/>
      <c r="O1966" s="336"/>
      <c r="P1966" s="334"/>
      <c r="Q1966" s="335"/>
      <c r="R1966" s="336"/>
      <c r="S1966" s="337"/>
    </row>
    <row r="1967" spans="1:19" ht="30" customHeight="1" thickBot="1" x14ac:dyDescent="0.3">
      <c r="A1967" s="365"/>
      <c r="B1967" s="1281"/>
      <c r="C1967" s="1281"/>
      <c r="D1967" s="1281"/>
      <c r="E1967" s="550"/>
      <c r="F1967" s="551"/>
      <c r="G1967" s="551"/>
      <c r="H1967" s="552"/>
      <c r="I1967" s="366"/>
      <c r="J1967" s="359" t="s">
        <v>72</v>
      </c>
      <c r="K1967" s="278">
        <f>+K1966</f>
        <v>289.92351133936126</v>
      </c>
      <c r="L1967" s="365" t="s">
        <v>205</v>
      </c>
      <c r="M1967" s="54"/>
      <c r="N1967" s="54"/>
      <c r="O1967" s="336"/>
      <c r="P1967" s="334"/>
      <c r="Q1967" s="335"/>
      <c r="R1967" s="336"/>
      <c r="S1967" s="337"/>
    </row>
    <row r="1968" spans="1:19" ht="30" customHeight="1" thickBot="1" x14ac:dyDescent="0.3">
      <c r="A1968" s="1180"/>
      <c r="B1968" s="1181"/>
      <c r="C1968" s="1181"/>
      <c r="D1968" s="1181"/>
      <c r="E1968" s="1181"/>
      <c r="F1968" s="1181"/>
      <c r="G1968" s="1181"/>
      <c r="H1968" s="1181"/>
      <c r="I1968" s="1181"/>
      <c r="J1968" s="1181"/>
      <c r="K1968" s="1181"/>
      <c r="L1968" s="1182"/>
      <c r="M1968" s="54"/>
      <c r="N1968" s="54"/>
      <c r="O1968" s="336"/>
      <c r="P1968" s="334"/>
      <c r="Q1968" s="335"/>
      <c r="R1968" s="336"/>
      <c r="S1968" s="337"/>
    </row>
    <row r="1969" spans="1:19" ht="30" customHeight="1" x14ac:dyDescent="0.25">
      <c r="A1969" s="327" t="s">
        <v>5</v>
      </c>
      <c r="B1969" s="328">
        <v>2185</v>
      </c>
      <c r="C1969" s="1218" t="s">
        <v>1303</v>
      </c>
      <c r="D1969" s="1219"/>
      <c r="E1969" s="331" t="s">
        <v>8</v>
      </c>
      <c r="F1969" s="332" t="s">
        <v>205</v>
      </c>
      <c r="G1969" s="342" t="s">
        <v>74</v>
      </c>
      <c r="H1969" s="160">
        <v>6252</v>
      </c>
      <c r="I1969" s="331" t="s">
        <v>10</v>
      </c>
      <c r="J1969" s="1220" t="s">
        <v>1304</v>
      </c>
      <c r="K1969" s="1220"/>
      <c r="L1969" s="1221"/>
      <c r="M1969" s="54"/>
      <c r="N1969" s="54"/>
      <c r="O1969" s="336"/>
      <c r="P1969" s="544"/>
      <c r="Q1969" s="335"/>
      <c r="R1969" s="336"/>
      <c r="S1969" s="337"/>
    </row>
    <row r="1970" spans="1:19" ht="30" customHeight="1" x14ac:dyDescent="0.25">
      <c r="A1970" s="356" t="s">
        <v>282</v>
      </c>
      <c r="B1970" s="1163" t="s">
        <v>13</v>
      </c>
      <c r="C1970" s="1163"/>
      <c r="D1970" s="1163"/>
      <c r="E1970" s="546" t="s">
        <v>116</v>
      </c>
      <c r="F1970" s="356" t="s">
        <v>283</v>
      </c>
      <c r="G1970" s="1314" t="s">
        <v>15</v>
      </c>
      <c r="H1970" s="1315"/>
      <c r="I1970" s="1276"/>
      <c r="J1970" s="1277"/>
      <c r="K1970" s="1236" t="s">
        <v>285</v>
      </c>
      <c r="L1970" s="1237"/>
      <c r="M1970" s="54"/>
      <c r="O1970" s="336"/>
      <c r="P1970" s="334"/>
      <c r="Q1970" s="335"/>
      <c r="R1970" s="336"/>
      <c r="S1970" s="337"/>
    </row>
    <row r="1971" spans="1:19" ht="30" customHeight="1" x14ac:dyDescent="0.25">
      <c r="A1971" s="365">
        <v>44224</v>
      </c>
      <c r="B1971" s="1214" t="s">
        <v>1305</v>
      </c>
      <c r="C1971" s="1215"/>
      <c r="D1971" s="1216"/>
      <c r="E1971" s="247">
        <v>179</v>
      </c>
      <c r="F1971" s="257">
        <v>5000</v>
      </c>
      <c r="G1971" s="367" t="s">
        <v>205</v>
      </c>
      <c r="H1971" s="367"/>
      <c r="I1971" s="1302">
        <v>0.9405</v>
      </c>
      <c r="J1971" s="1303"/>
      <c r="K1971" s="240">
        <f>+E1971*I1971</f>
        <v>168.34950000000001</v>
      </c>
      <c r="L1971" s="367" t="s">
        <v>205</v>
      </c>
      <c r="M1971" s="54"/>
      <c r="N1971" s="54"/>
      <c r="O1971" s="336"/>
      <c r="P1971" s="334"/>
      <c r="Q1971" s="335"/>
      <c r="R1971" s="336"/>
      <c r="S1971" s="337"/>
    </row>
    <row r="1972" spans="1:19" ht="30" customHeight="1" thickBot="1" x14ac:dyDescent="0.3">
      <c r="A1972" s="365"/>
      <c r="B1972" s="1214"/>
      <c r="C1972" s="1215"/>
      <c r="D1972" s="1216"/>
      <c r="E1972" s="333"/>
      <c r="F1972" s="744"/>
      <c r="G1972" s="333"/>
      <c r="H1972" s="729"/>
      <c r="I1972" s="366"/>
      <c r="J1972" s="359" t="s">
        <v>72</v>
      </c>
      <c r="K1972" s="246">
        <f>AVERAGE(K1971:K1971)</f>
        <v>168.34950000000001</v>
      </c>
      <c r="L1972" s="367" t="s">
        <v>205</v>
      </c>
      <c r="M1972" s="54"/>
      <c r="N1972" s="54"/>
      <c r="O1972" s="336"/>
      <c r="P1972" s="334"/>
      <c r="Q1972" s="335"/>
      <c r="R1972" s="336"/>
      <c r="S1972" s="337"/>
    </row>
    <row r="1973" spans="1:19" ht="30" customHeight="1" thickBot="1" x14ac:dyDescent="0.3">
      <c r="A1973" s="1180"/>
      <c r="B1973" s="1181"/>
      <c r="C1973" s="1181"/>
      <c r="D1973" s="1181"/>
      <c r="E1973" s="1181"/>
      <c r="F1973" s="1181"/>
      <c r="G1973" s="1181"/>
      <c r="H1973" s="1181"/>
      <c r="I1973" s="1181"/>
      <c r="J1973" s="1181"/>
      <c r="K1973" s="1181"/>
      <c r="L1973" s="1182"/>
      <c r="M1973" s="54"/>
      <c r="N1973" s="54"/>
      <c r="O1973" s="336"/>
      <c r="P1973" s="334"/>
      <c r="Q1973" s="335"/>
      <c r="R1973" s="336"/>
      <c r="S1973" s="337"/>
    </row>
    <row r="1974" spans="1:19" ht="30" customHeight="1" x14ac:dyDescent="0.25">
      <c r="A1974" s="837" t="s">
        <v>5</v>
      </c>
      <c r="B1974" s="745">
        <v>2191</v>
      </c>
      <c r="C1974" s="1294" t="s">
        <v>1306</v>
      </c>
      <c r="D1974" s="1295"/>
      <c r="E1974" s="342" t="s">
        <v>8</v>
      </c>
      <c r="F1974" s="729" t="s">
        <v>205</v>
      </c>
      <c r="G1974" s="342" t="s">
        <v>74</v>
      </c>
      <c r="H1974" s="838">
        <v>5698</v>
      </c>
      <c r="I1974" s="342" t="s">
        <v>10</v>
      </c>
      <c r="J1974" s="1220" t="s">
        <v>3388</v>
      </c>
      <c r="K1974" s="1220"/>
      <c r="L1974" s="1221"/>
      <c r="M1974" s="54"/>
      <c r="N1974" s="54"/>
      <c r="O1974" s="336"/>
      <c r="P1974" s="334"/>
      <c r="Q1974" s="335"/>
      <c r="R1974" s="336"/>
      <c r="S1974" s="337"/>
    </row>
    <row r="1975" spans="1:19" ht="30" customHeight="1" x14ac:dyDescent="0.25">
      <c r="A1975" s="359" t="s">
        <v>295</v>
      </c>
      <c r="B1975" s="657" t="s">
        <v>326</v>
      </c>
      <c r="C1975" s="658"/>
      <c r="D1975" s="659"/>
      <c r="E1975" s="577" t="s">
        <v>116</v>
      </c>
      <c r="F1975" s="577" t="s">
        <v>117</v>
      </c>
      <c r="G1975" s="750" t="s">
        <v>118</v>
      </c>
      <c r="H1975" s="751"/>
      <c r="I1975" s="356" t="s">
        <v>296</v>
      </c>
      <c r="J1975" s="356"/>
      <c r="K1975" s="1236" t="s">
        <v>285</v>
      </c>
      <c r="L1975" s="1237"/>
      <c r="M1975" s="54"/>
      <c r="N1975" s="54"/>
      <c r="O1975" s="336"/>
      <c r="P1975" s="334"/>
      <c r="Q1975" s="335"/>
      <c r="R1975" s="336"/>
      <c r="S1975" s="337"/>
    </row>
    <row r="1976" spans="1:19" ht="30" customHeight="1" x14ac:dyDescent="0.25">
      <c r="A1976" s="365" t="s">
        <v>1102</v>
      </c>
      <c r="B1976" s="1209" t="s">
        <v>1307</v>
      </c>
      <c r="C1976" s="1210"/>
      <c r="D1976" s="1211"/>
      <c r="E1976" s="247">
        <f>80-2.4</f>
        <v>77.599999999999994</v>
      </c>
      <c r="F1976" s="365" t="s">
        <v>205</v>
      </c>
      <c r="G1976" s="365"/>
      <c r="H1976" s="365"/>
      <c r="I1976" s="365">
        <v>1.05</v>
      </c>
      <c r="J1976" s="365"/>
      <c r="K1976" s="247">
        <f>+E1976*I1976</f>
        <v>81.48</v>
      </c>
      <c r="L1976" s="365" t="s">
        <v>205</v>
      </c>
      <c r="M1976" s="54"/>
      <c r="N1976" s="54"/>
      <c r="O1976" s="336"/>
      <c r="P1976" s="334"/>
      <c r="Q1976" s="335"/>
      <c r="R1976" s="336"/>
      <c r="S1976" s="337"/>
    </row>
    <row r="1977" spans="1:19" ht="30" customHeight="1" x14ac:dyDescent="0.25">
      <c r="A1977" s="365" t="s">
        <v>520</v>
      </c>
      <c r="B1977" s="1214" t="s">
        <v>1308</v>
      </c>
      <c r="C1977" s="1215"/>
      <c r="D1977" s="1216"/>
      <c r="E1977" s="247">
        <v>141000</v>
      </c>
      <c r="F1977" s="365" t="s">
        <v>76</v>
      </c>
      <c r="G1977" s="247">
        <f>+E1977/H1974</f>
        <v>24.745524745524744</v>
      </c>
      <c r="H1977" s="365" t="s">
        <v>1140</v>
      </c>
      <c r="I1977" s="365">
        <v>1.02</v>
      </c>
      <c r="J1977" s="365"/>
      <c r="K1977" s="247">
        <f>+G1977*I1977</f>
        <v>25.240435240435239</v>
      </c>
      <c r="L1977" s="365" t="s">
        <v>205</v>
      </c>
      <c r="M1977" s="54"/>
      <c r="N1977" s="54"/>
      <c r="O1977" s="336"/>
      <c r="P1977" s="334"/>
      <c r="Q1977" s="335"/>
      <c r="R1977" s="336"/>
      <c r="S1977" s="337"/>
    </row>
    <row r="1978" spans="1:19" ht="30" customHeight="1" x14ac:dyDescent="0.25">
      <c r="A1978" s="365" t="s">
        <v>520</v>
      </c>
      <c r="B1978" s="1214" t="s">
        <v>1309</v>
      </c>
      <c r="C1978" s="1215"/>
      <c r="D1978" s="1216"/>
      <c r="E1978" s="247">
        <f>+(244+267)/2</f>
        <v>255.5</v>
      </c>
      <c r="F1978" s="365" t="s">
        <v>40</v>
      </c>
      <c r="G1978" s="651">
        <f>100*E1978/H1974</f>
        <v>4.4840294840294836</v>
      </c>
      <c r="H1978" s="365" t="s">
        <v>1140</v>
      </c>
      <c r="I1978" s="365">
        <v>1.02</v>
      </c>
      <c r="J1978" s="365"/>
      <c r="K1978" s="247">
        <f>+G1978*I1978</f>
        <v>4.5737100737100738</v>
      </c>
      <c r="L1978" s="365" t="s">
        <v>205</v>
      </c>
      <c r="M1978" s="54"/>
      <c r="N1978" s="54"/>
      <c r="O1978" s="336"/>
      <c r="P1978" s="334"/>
      <c r="Q1978" s="335"/>
      <c r="R1978" s="336"/>
      <c r="S1978" s="337"/>
    </row>
    <row r="1979" spans="1:19" ht="30" customHeight="1" x14ac:dyDescent="0.25">
      <c r="A1979" s="365" t="s">
        <v>520</v>
      </c>
      <c r="B1979" s="1214" t="s">
        <v>1310</v>
      </c>
      <c r="C1979" s="1215"/>
      <c r="D1979" s="1216"/>
      <c r="E1979" s="247">
        <f>+(23.75+47.75)/2</f>
        <v>35.75</v>
      </c>
      <c r="F1979" s="365" t="s">
        <v>40</v>
      </c>
      <c r="G1979" s="651">
        <f>100*E1979/H1974</f>
        <v>0.62741312741312738</v>
      </c>
      <c r="H1979" s="365" t="s">
        <v>1140</v>
      </c>
      <c r="I1979" s="365">
        <v>1.02</v>
      </c>
      <c r="J1979" s="365"/>
      <c r="K1979" s="247">
        <f>+G1979*I1979</f>
        <v>0.63996138996138996</v>
      </c>
      <c r="L1979" s="365" t="s">
        <v>205</v>
      </c>
      <c r="M1979" s="54"/>
      <c r="N1979" s="54"/>
      <c r="O1979" s="336"/>
      <c r="P1979" s="334"/>
      <c r="Q1979" s="335"/>
      <c r="R1979" s="336"/>
      <c r="S1979" s="337"/>
    </row>
    <row r="1980" spans="1:19" ht="30" customHeight="1" x14ac:dyDescent="0.25">
      <c r="A1980" s="365"/>
      <c r="B1980" s="662"/>
      <c r="C1980" s="662"/>
      <c r="D1980" s="662"/>
      <c r="E1980" s="247"/>
      <c r="F1980" s="365"/>
      <c r="G1980" s="366"/>
      <c r="H1980" s="662"/>
      <c r="I1980" s="365"/>
      <c r="J1980" s="365" t="s">
        <v>343</v>
      </c>
      <c r="K1980" s="247">
        <f>SUM(K1976:K1979)</f>
        <v>111.93410670410671</v>
      </c>
      <c r="L1980" s="365" t="s">
        <v>205</v>
      </c>
      <c r="M1980" s="54"/>
      <c r="N1980" s="54"/>
      <c r="O1980" s="336"/>
      <c r="P1980" s="334"/>
      <c r="Q1980" s="335"/>
      <c r="R1980" s="336"/>
      <c r="S1980" s="337"/>
    </row>
    <row r="1981" spans="1:19" ht="30" customHeight="1" x14ac:dyDescent="0.25">
      <c r="A1981" s="365"/>
      <c r="B1981" s="578"/>
      <c r="C1981" s="578"/>
      <c r="D1981" s="578"/>
      <c r="E1981" s="247"/>
      <c r="F1981" s="1272" t="s">
        <v>303</v>
      </c>
      <c r="G1981" s="1283" t="s">
        <v>304</v>
      </c>
      <c r="H1981" s="1283"/>
      <c r="I1981" s="1283"/>
      <c r="J1981" s="1283"/>
      <c r="K1981" s="250">
        <v>1.1000000000000001</v>
      </c>
      <c r="L1981" s="365"/>
      <c r="M1981" s="54"/>
      <c r="N1981" s="54"/>
      <c r="O1981" s="336"/>
      <c r="P1981" s="334"/>
      <c r="Q1981" s="335"/>
      <c r="R1981" s="336"/>
      <c r="S1981" s="337"/>
    </row>
    <row r="1982" spans="1:19" ht="30" customHeight="1" x14ac:dyDescent="0.25">
      <c r="A1982" s="365"/>
      <c r="B1982" s="578"/>
      <c r="C1982" s="578"/>
      <c r="D1982" s="578"/>
      <c r="E1982" s="247"/>
      <c r="F1982" s="1273"/>
      <c r="G1982" s="1284" t="s">
        <v>438</v>
      </c>
      <c r="H1982" s="1284"/>
      <c r="I1982" s="1284"/>
      <c r="J1982" s="1284"/>
      <c r="K1982" s="250">
        <v>1.08</v>
      </c>
      <c r="L1982" s="365"/>
      <c r="M1982" s="54"/>
      <c r="N1982" s="54"/>
      <c r="O1982" s="336"/>
      <c r="P1982" s="334"/>
      <c r="Q1982" s="335"/>
      <c r="R1982" s="336"/>
      <c r="S1982" s="337"/>
    </row>
    <row r="1983" spans="1:19" ht="30" customHeight="1" x14ac:dyDescent="0.25">
      <c r="A1983" s="365"/>
      <c r="B1983" s="365"/>
      <c r="C1983" s="366"/>
      <c r="D1983" s="366"/>
      <c r="E1983" s="366"/>
      <c r="F1983" s="366"/>
      <c r="G1983" s="366"/>
      <c r="H1983" s="366"/>
      <c r="I1983" s="366"/>
      <c r="J1983" s="365" t="s">
        <v>72</v>
      </c>
      <c r="K1983" s="246">
        <f>+K1980*K1981/K1982</f>
        <v>114.00696053196054</v>
      </c>
      <c r="L1983" s="365" t="s">
        <v>205</v>
      </c>
      <c r="M1983" s="54"/>
      <c r="N1983" s="54"/>
      <c r="O1983" s="336"/>
      <c r="P1983" s="334"/>
      <c r="Q1983" s="335"/>
      <c r="R1983" s="336"/>
      <c r="S1983" s="337"/>
    </row>
    <row r="1984" spans="1:19" ht="30" customHeight="1" x14ac:dyDescent="0.25">
      <c r="A1984" s="365"/>
      <c r="B1984" s="365"/>
      <c r="C1984" s="366"/>
      <c r="D1984" s="366"/>
      <c r="E1984" s="366"/>
      <c r="F1984" s="366"/>
      <c r="G1984" s="398" t="s">
        <v>414</v>
      </c>
      <c r="H1984" s="366"/>
      <c r="I1984" s="366"/>
      <c r="J1984" s="521">
        <f>VLOOKUP(B1974,'Mil Cost Premiums for PUCs'!$A$4:$R$277,18,FALSE)</f>
        <v>1.2416928604998634</v>
      </c>
      <c r="K1984" s="246">
        <f>+K1983*J1984</f>
        <v>141.56162893982511</v>
      </c>
      <c r="L1984" s="365" t="s">
        <v>205</v>
      </c>
      <c r="M1984" s="54"/>
      <c r="N1984" s="54"/>
      <c r="O1984" s="336"/>
      <c r="P1984" s="334"/>
      <c r="Q1984" s="335"/>
      <c r="R1984" s="336"/>
      <c r="S1984" s="337"/>
    </row>
    <row r="1985" spans="1:19" ht="30" customHeight="1" x14ac:dyDescent="0.25">
      <c r="A1985" s="365"/>
      <c r="B1985" s="365"/>
      <c r="C1985" s="366"/>
      <c r="D1985" s="366"/>
      <c r="E1985" s="366"/>
      <c r="F1985" s="1212" t="s">
        <v>1148</v>
      </c>
      <c r="G1985" s="1213"/>
      <c r="H1985" s="1213"/>
      <c r="I1985" s="1213"/>
      <c r="J1985" s="521">
        <v>1.0833999999999999</v>
      </c>
      <c r="K1985" s="544">
        <f>K1984*J1985</f>
        <v>153.36786879340653</v>
      </c>
      <c r="L1985" s="365" t="s">
        <v>205</v>
      </c>
      <c r="N1985" s="54"/>
      <c r="O1985" s="336"/>
      <c r="P1985" s="334"/>
      <c r="Q1985" s="335"/>
      <c r="R1985" s="336"/>
      <c r="S1985" s="337"/>
    </row>
    <row r="1986" spans="1:19" ht="60" customHeight="1" x14ac:dyDescent="0.25">
      <c r="A1986" s="1229" t="s">
        <v>307</v>
      </c>
      <c r="B1986" s="1288"/>
      <c r="C1986" s="1288"/>
      <c r="D1986" s="1288"/>
      <c r="E1986" s="1288"/>
      <c r="F1986" s="1288"/>
      <c r="G1986" s="1288"/>
      <c r="H1986" s="1288"/>
      <c r="I1986" s="1288"/>
      <c r="J1986" s="1288"/>
      <c r="K1986" s="1288"/>
      <c r="L1986" s="1289"/>
      <c r="M1986" s="54"/>
      <c r="N1986" s="54"/>
      <c r="O1986" s="336"/>
      <c r="P1986" s="334"/>
      <c r="Q1986" s="335"/>
      <c r="R1986" s="336"/>
      <c r="S1986" s="337"/>
    </row>
    <row r="1987" spans="1:19" ht="30" customHeight="1" x14ac:dyDescent="0.25">
      <c r="A1987" s="1268" t="s">
        <v>308</v>
      </c>
      <c r="B1987" s="1167"/>
      <c r="C1987" s="1168"/>
      <c r="D1987" s="1230" t="s">
        <v>1311</v>
      </c>
      <c r="E1987" s="1231"/>
      <c r="F1987" s="1231"/>
      <c r="G1987" s="1231"/>
      <c r="H1987" s="1231"/>
      <c r="I1987" s="1231"/>
      <c r="J1987" s="1231"/>
      <c r="K1987" s="1231"/>
      <c r="L1987" s="1232"/>
      <c r="M1987" s="54"/>
      <c r="N1987" s="54"/>
      <c r="O1987" s="336"/>
      <c r="P1987" s="334"/>
      <c r="Q1987" s="335"/>
      <c r="R1987" s="336"/>
      <c r="S1987" s="337"/>
    </row>
    <row r="1988" spans="1:19" ht="30" customHeight="1" x14ac:dyDescent="0.25">
      <c r="A1988" s="1268" t="s">
        <v>310</v>
      </c>
      <c r="B1988" s="1167"/>
      <c r="C1988" s="1168"/>
      <c r="D1988" s="1230" t="s">
        <v>1312</v>
      </c>
      <c r="E1988" s="1231"/>
      <c r="F1988" s="1231"/>
      <c r="G1988" s="1231"/>
      <c r="H1988" s="1231"/>
      <c r="I1988" s="1231"/>
      <c r="J1988" s="1231"/>
      <c r="K1988" s="1231"/>
      <c r="L1988" s="1232"/>
      <c r="M1988" s="54"/>
      <c r="N1988" s="54"/>
      <c r="O1988" s="336"/>
      <c r="P1988" s="334"/>
      <c r="Q1988" s="335"/>
      <c r="R1988" s="336"/>
      <c r="S1988" s="337"/>
    </row>
    <row r="1989" spans="1:19" ht="30" customHeight="1" x14ac:dyDescent="0.25">
      <c r="A1989" s="1268" t="s">
        <v>312</v>
      </c>
      <c r="B1989" s="1167"/>
      <c r="C1989" s="1168"/>
      <c r="D1989" s="1230" t="s">
        <v>1313</v>
      </c>
      <c r="E1989" s="1231"/>
      <c r="F1989" s="1231"/>
      <c r="G1989" s="1231"/>
      <c r="H1989" s="1231"/>
      <c r="I1989" s="1231"/>
      <c r="J1989" s="1231"/>
      <c r="K1989" s="1231"/>
      <c r="L1989" s="1232"/>
      <c r="M1989" s="54"/>
      <c r="N1989" s="54"/>
      <c r="O1989" s="336"/>
      <c r="P1989" s="334"/>
      <c r="Q1989" s="335"/>
      <c r="R1989" s="336"/>
      <c r="S1989" s="337"/>
    </row>
    <row r="1990" spans="1:19" ht="60" customHeight="1" x14ac:dyDescent="0.25">
      <c r="A1990" s="1268" t="s">
        <v>314</v>
      </c>
      <c r="B1990" s="1167"/>
      <c r="C1990" s="1168"/>
      <c r="D1990" s="1230" t="s">
        <v>1314</v>
      </c>
      <c r="E1990" s="1231"/>
      <c r="F1990" s="1231"/>
      <c r="G1990" s="1231"/>
      <c r="H1990" s="1231"/>
      <c r="I1990" s="1231"/>
      <c r="J1990" s="1231"/>
      <c r="K1990" s="1231"/>
      <c r="L1990" s="1232"/>
      <c r="M1990" s="54"/>
      <c r="N1990" s="54"/>
      <c r="O1990" s="336"/>
      <c r="P1990" s="334"/>
      <c r="Q1990" s="335"/>
      <c r="R1990" s="336"/>
      <c r="S1990" s="337"/>
    </row>
    <row r="1991" spans="1:19" ht="60" customHeight="1" x14ac:dyDescent="0.25">
      <c r="A1991" s="1268" t="s">
        <v>316</v>
      </c>
      <c r="B1991" s="1167"/>
      <c r="C1991" s="1168"/>
      <c r="D1991" s="1230" t="s">
        <v>1315</v>
      </c>
      <c r="E1991" s="1231"/>
      <c r="F1991" s="1231"/>
      <c r="G1991" s="1231"/>
      <c r="H1991" s="1231"/>
      <c r="I1991" s="1231"/>
      <c r="J1991" s="1231"/>
      <c r="K1991" s="1231"/>
      <c r="L1991" s="1232"/>
      <c r="M1991" s="54"/>
      <c r="O1991" s="336"/>
      <c r="P1991" s="334"/>
      <c r="Q1991" s="335"/>
      <c r="R1991" s="336"/>
      <c r="S1991" s="337"/>
    </row>
    <row r="1992" spans="1:19" ht="30" customHeight="1" x14ac:dyDescent="0.25">
      <c r="A1992" s="1268" t="s">
        <v>318</v>
      </c>
      <c r="B1992" s="1167"/>
      <c r="C1992" s="1168"/>
      <c r="D1992" s="1230" t="s">
        <v>1316</v>
      </c>
      <c r="E1992" s="1231"/>
      <c r="F1992" s="1231"/>
      <c r="G1992" s="1231"/>
      <c r="H1992" s="1231"/>
      <c r="I1992" s="1231"/>
      <c r="J1992" s="1231"/>
      <c r="K1992" s="1231"/>
      <c r="L1992" s="1232"/>
      <c r="M1992" s="54"/>
      <c r="N1992" s="54"/>
      <c r="O1992" s="336"/>
      <c r="P1992" s="334"/>
      <c r="Q1992" s="335"/>
      <c r="R1992" s="336"/>
      <c r="S1992" s="337"/>
    </row>
    <row r="1993" spans="1:19" ht="30" customHeight="1" x14ac:dyDescent="0.25">
      <c r="A1993" s="1268" t="s">
        <v>320</v>
      </c>
      <c r="B1993" s="1167"/>
      <c r="C1993" s="1168"/>
      <c r="D1993" s="1230" t="s">
        <v>1317</v>
      </c>
      <c r="E1993" s="1231"/>
      <c r="F1993" s="1231"/>
      <c r="G1993" s="1231"/>
      <c r="H1993" s="1231"/>
      <c r="I1993" s="1231"/>
      <c r="J1993" s="1231"/>
      <c r="K1993" s="1231"/>
      <c r="L1993" s="1232"/>
      <c r="M1993" s="54"/>
      <c r="N1993" s="54"/>
      <c r="O1993" s="336"/>
      <c r="P1993" s="334"/>
      <c r="Q1993" s="335"/>
      <c r="R1993" s="336"/>
      <c r="S1993" s="337"/>
    </row>
    <row r="1994" spans="1:19" ht="60" customHeight="1" x14ac:dyDescent="0.25">
      <c r="A1994" s="1268" t="s">
        <v>322</v>
      </c>
      <c r="B1994" s="1167"/>
      <c r="C1994" s="1168"/>
      <c r="D1994" s="1206" t="s">
        <v>1318</v>
      </c>
      <c r="E1994" s="1207"/>
      <c r="F1994" s="1207"/>
      <c r="G1994" s="1207"/>
      <c r="H1994" s="1207"/>
      <c r="I1994" s="1207"/>
      <c r="J1994" s="1207"/>
      <c r="K1994" s="1207"/>
      <c r="L1994" s="1208"/>
      <c r="M1994" s="54"/>
      <c r="N1994" s="54"/>
      <c r="O1994" s="336"/>
      <c r="P1994" s="334"/>
      <c r="Q1994" s="335"/>
      <c r="R1994" s="336"/>
      <c r="S1994" s="337"/>
    </row>
    <row r="1995" spans="1:19" ht="60" customHeight="1" thickBot="1" x14ac:dyDescent="0.3">
      <c r="A1995" s="1268" t="s">
        <v>350</v>
      </c>
      <c r="B1995" s="1167"/>
      <c r="C1995" s="1168"/>
      <c r="D1995" s="1291" t="s">
        <v>3404</v>
      </c>
      <c r="E1995" s="1292"/>
      <c r="F1995" s="1292"/>
      <c r="G1995" s="1292"/>
      <c r="H1995" s="1292"/>
      <c r="I1995" s="1292"/>
      <c r="J1995" s="1292"/>
      <c r="K1995" s="1292"/>
      <c r="L1995" s="1293"/>
      <c r="M1995" s="54"/>
      <c r="N1995" s="54"/>
      <c r="O1995" s="336"/>
      <c r="P1995" s="334"/>
      <c r="Q1995" s="335"/>
      <c r="R1995" s="336"/>
      <c r="S1995" s="337"/>
    </row>
    <row r="1996" spans="1:19" ht="30" customHeight="1" thickBot="1" x14ac:dyDescent="0.3">
      <c r="A1996" s="1180"/>
      <c r="B1996" s="1181"/>
      <c r="C1996" s="1181"/>
      <c r="D1996" s="1181"/>
      <c r="E1996" s="1181"/>
      <c r="F1996" s="1181"/>
      <c r="G1996" s="1181"/>
      <c r="H1996" s="1181"/>
      <c r="I1996" s="1181"/>
      <c r="J1996" s="1181"/>
      <c r="K1996" s="1181"/>
      <c r="L1996" s="1182"/>
      <c r="M1996" s="54"/>
      <c r="N1996" s="54"/>
      <c r="O1996" s="336"/>
      <c r="P1996" s="334"/>
      <c r="Q1996" s="335"/>
      <c r="R1996" s="336"/>
      <c r="S1996" s="337"/>
    </row>
    <row r="1997" spans="1:19" ht="30" customHeight="1" x14ac:dyDescent="0.25">
      <c r="A1997" s="327" t="s">
        <v>5</v>
      </c>
      <c r="B1997" s="328">
        <v>2192</v>
      </c>
      <c r="C1997" s="1251" t="s">
        <v>1319</v>
      </c>
      <c r="D1997" s="1252"/>
      <c r="E1997" s="331" t="s">
        <v>8</v>
      </c>
      <c r="F1997" s="332" t="s">
        <v>76</v>
      </c>
      <c r="G1997" s="342" t="s">
        <v>74</v>
      </c>
      <c r="H1997" s="653">
        <v>1</v>
      </c>
      <c r="I1997" s="331" t="s">
        <v>10</v>
      </c>
      <c r="J1997" s="1220" t="s">
        <v>3388</v>
      </c>
      <c r="K1997" s="1220"/>
      <c r="L1997" s="1221"/>
      <c r="M1997" s="54"/>
      <c r="N1997" s="54"/>
      <c r="O1997" s="336"/>
      <c r="P1997" s="334"/>
      <c r="Q1997" s="335"/>
      <c r="R1997" s="336"/>
      <c r="S1997" s="337"/>
    </row>
    <row r="1998" spans="1:19" ht="30" customHeight="1" x14ac:dyDescent="0.25">
      <c r="A1998" s="359" t="s">
        <v>295</v>
      </c>
      <c r="B1998" s="1222" t="s">
        <v>326</v>
      </c>
      <c r="C1998" s="1235"/>
      <c r="D1998" s="1223"/>
      <c r="E1998" s="577" t="s">
        <v>116</v>
      </c>
      <c r="F1998" s="577" t="s">
        <v>117</v>
      </c>
      <c r="G1998" s="1194" t="s">
        <v>118</v>
      </c>
      <c r="H1998" s="1195"/>
      <c r="I1998" s="356" t="s">
        <v>296</v>
      </c>
      <c r="J1998" s="359"/>
      <c r="K1998" s="1236" t="s">
        <v>285</v>
      </c>
      <c r="L1998" s="1237"/>
      <c r="M1998" s="54"/>
      <c r="N1998" s="54"/>
      <c r="O1998" s="336"/>
      <c r="P1998" s="334"/>
      <c r="Q1998" s="335"/>
      <c r="R1998" s="336"/>
      <c r="S1998" s="337"/>
    </row>
    <row r="1999" spans="1:19" ht="30" customHeight="1" x14ac:dyDescent="0.25">
      <c r="A1999" s="365" t="s">
        <v>1102</v>
      </c>
      <c r="B1999" s="1209" t="s">
        <v>1320</v>
      </c>
      <c r="C1999" s="1210"/>
      <c r="D1999" s="1211"/>
      <c r="E1999" s="247">
        <f>80-2.4</f>
        <v>77.599999999999994</v>
      </c>
      <c r="F1999" s="365" t="s">
        <v>205</v>
      </c>
      <c r="G1999" s="727">
        <v>3633</v>
      </c>
      <c r="H1999" s="365" t="s">
        <v>329</v>
      </c>
      <c r="I1999" s="365">
        <v>1.05</v>
      </c>
      <c r="J1999" s="706"/>
      <c r="K1999" s="247">
        <f>+E1999*G1999*I1999</f>
        <v>296016.84000000003</v>
      </c>
      <c r="L1999" s="365" t="s">
        <v>76</v>
      </c>
      <c r="M1999" s="54"/>
      <c r="N1999" s="54"/>
      <c r="O1999" s="336"/>
      <c r="P1999" s="334"/>
      <c r="Q1999" s="335"/>
      <c r="R1999" s="336"/>
      <c r="S1999" s="337"/>
    </row>
    <row r="2000" spans="1:19" ht="30" customHeight="1" x14ac:dyDescent="0.25">
      <c r="A2000" s="365" t="s">
        <v>406</v>
      </c>
      <c r="B2000" s="1209" t="s">
        <v>1281</v>
      </c>
      <c r="C2000" s="1210"/>
      <c r="D2000" s="1211"/>
      <c r="E2000" s="247">
        <v>3.71</v>
      </c>
      <c r="F2000" s="365" t="s">
        <v>205</v>
      </c>
      <c r="G2000" s="727">
        <v>3633</v>
      </c>
      <c r="H2000" s="365" t="s">
        <v>329</v>
      </c>
      <c r="I2000" s="365">
        <v>1.05</v>
      </c>
      <c r="J2000" s="706"/>
      <c r="K2000" s="247">
        <f>+E2000*G2000*I2000</f>
        <v>14152.351500000001</v>
      </c>
      <c r="L2000" s="365" t="s">
        <v>76</v>
      </c>
      <c r="M2000" s="54"/>
      <c r="N2000" s="54"/>
      <c r="O2000" s="336"/>
      <c r="P2000" s="334"/>
      <c r="Q2000" s="335"/>
      <c r="R2000" s="336"/>
      <c r="S2000" s="337"/>
    </row>
    <row r="2001" spans="1:19" ht="30" customHeight="1" x14ac:dyDescent="0.25">
      <c r="A2001" s="365"/>
      <c r="B2001" s="1281" t="s">
        <v>1321</v>
      </c>
      <c r="C2001" s="1281"/>
      <c r="D2001" s="1281"/>
      <c r="E2001" s="247"/>
      <c r="F2001" s="365"/>
      <c r="G2001" s="366"/>
      <c r="H2001" s="662"/>
      <c r="I2001" s="365"/>
      <c r="J2001" s="365" t="s">
        <v>343</v>
      </c>
      <c r="K2001" s="247">
        <f>+K1999+K2000</f>
        <v>310169.19150000002</v>
      </c>
      <c r="L2001" s="365" t="s">
        <v>76</v>
      </c>
      <c r="M2001" s="54"/>
      <c r="N2001" s="54"/>
      <c r="O2001" s="336"/>
      <c r="P2001" s="334"/>
      <c r="Q2001" s="335"/>
      <c r="R2001" s="336"/>
      <c r="S2001" s="337"/>
    </row>
    <row r="2002" spans="1:19" ht="30" customHeight="1" x14ac:dyDescent="0.25">
      <c r="A2002" s="365"/>
      <c r="B2002" s="578"/>
      <c r="C2002" s="578"/>
      <c r="D2002" s="578"/>
      <c r="E2002" s="247"/>
      <c r="F2002" s="1272" t="s">
        <v>303</v>
      </c>
      <c r="G2002" s="1283" t="s">
        <v>304</v>
      </c>
      <c r="H2002" s="1283"/>
      <c r="I2002" s="1283"/>
      <c r="J2002" s="1283"/>
      <c r="K2002" s="250">
        <v>1.1000000000000001</v>
      </c>
      <c r="L2002" s="365"/>
      <c r="M2002" s="54"/>
      <c r="N2002" s="54"/>
      <c r="O2002" s="336"/>
      <c r="P2002" s="334"/>
      <c r="Q2002" s="335"/>
      <c r="R2002" s="336"/>
      <c r="S2002" s="337"/>
    </row>
    <row r="2003" spans="1:19" ht="30" customHeight="1" x14ac:dyDescent="0.25">
      <c r="A2003" s="365"/>
      <c r="B2003" s="578"/>
      <c r="C2003" s="578"/>
      <c r="D2003" s="578"/>
      <c r="E2003" s="247"/>
      <c r="F2003" s="1273"/>
      <c r="G2003" s="1284" t="s">
        <v>438</v>
      </c>
      <c r="H2003" s="1284"/>
      <c r="I2003" s="1284"/>
      <c r="J2003" s="1284"/>
      <c r="K2003" s="250">
        <v>1.08</v>
      </c>
      <c r="L2003" s="365"/>
      <c r="M2003" s="54"/>
      <c r="N2003" s="54"/>
      <c r="O2003" s="336"/>
      <c r="P2003" s="334"/>
      <c r="Q2003" s="335"/>
      <c r="R2003" s="336"/>
      <c r="S2003" s="337"/>
    </row>
    <row r="2004" spans="1:19" ht="30" customHeight="1" x14ac:dyDescent="0.25">
      <c r="A2004" s="365"/>
      <c r="B2004" s="365"/>
      <c r="C2004" s="366"/>
      <c r="D2004" s="366"/>
      <c r="E2004" s="567"/>
      <c r="F2004" s="366"/>
      <c r="G2004" s="366"/>
      <c r="H2004" s="366"/>
      <c r="I2004" s="366"/>
      <c r="J2004" s="365" t="s">
        <v>72</v>
      </c>
      <c r="K2004" s="246">
        <f>+K2001*K2002/K2003</f>
        <v>315913.06541666668</v>
      </c>
      <c r="L2004" s="365" t="s">
        <v>76</v>
      </c>
      <c r="M2004" s="54"/>
      <c r="N2004" s="54"/>
      <c r="O2004" s="336"/>
      <c r="P2004" s="334"/>
      <c r="Q2004" s="335"/>
      <c r="R2004" s="336"/>
      <c r="S2004" s="337"/>
    </row>
    <row r="2005" spans="1:19" ht="30" customHeight="1" x14ac:dyDescent="0.25">
      <c r="A2005" s="365"/>
      <c r="B2005" s="365"/>
      <c r="C2005" s="366"/>
      <c r="D2005" s="366"/>
      <c r="E2005" s="366"/>
      <c r="F2005" s="366"/>
      <c r="G2005" s="580" t="s">
        <v>306</v>
      </c>
      <c r="H2005" s="366"/>
      <c r="I2005" s="366"/>
      <c r="J2005" s="521">
        <f>VLOOKUP(B1997,'Mil Cost Premiums for PUCs'!$A$4:$R$277,18,FALSE)</f>
        <v>1.0517127009999996</v>
      </c>
      <c r="K2005" s="246">
        <f>+K2004*J2005</f>
        <v>332249.78331055207</v>
      </c>
      <c r="L2005" s="365" t="s">
        <v>76</v>
      </c>
      <c r="M2005" s="54"/>
      <c r="N2005" s="54"/>
      <c r="O2005" s="336"/>
      <c r="P2005" s="334"/>
      <c r="Q2005" s="335"/>
      <c r="R2005" s="336"/>
      <c r="S2005" s="337"/>
    </row>
    <row r="2006" spans="1:19" ht="30" customHeight="1" thickBot="1" x14ac:dyDescent="0.3">
      <c r="A2006" s="365"/>
      <c r="B2006" s="365"/>
      <c r="C2006" s="366"/>
      <c r="D2006" s="366"/>
      <c r="E2006" s="366"/>
      <c r="F2006" s="1212" t="s">
        <v>1148</v>
      </c>
      <c r="G2006" s="1213"/>
      <c r="H2006" s="1213"/>
      <c r="I2006" s="1213"/>
      <c r="J2006" s="521">
        <v>1.0833999999999999</v>
      </c>
      <c r="K2006" s="544">
        <f>K2005*J2006</f>
        <v>359959.41523865209</v>
      </c>
      <c r="L2006" s="365" t="s">
        <v>76</v>
      </c>
      <c r="N2006" s="54"/>
      <c r="O2006" s="336"/>
      <c r="P2006" s="334"/>
      <c r="Q2006" s="335"/>
      <c r="R2006" s="336"/>
      <c r="S2006" s="337"/>
    </row>
    <row r="2007" spans="1:19" ht="30" customHeight="1" thickBot="1" x14ac:dyDescent="0.3">
      <c r="A2007" s="1180"/>
      <c r="B2007" s="1181"/>
      <c r="C2007" s="1181"/>
      <c r="D2007" s="1181"/>
      <c r="E2007" s="1181"/>
      <c r="F2007" s="1181"/>
      <c r="G2007" s="1181"/>
      <c r="H2007" s="1181"/>
      <c r="I2007" s="1181"/>
      <c r="J2007" s="1181"/>
      <c r="K2007" s="1181"/>
      <c r="L2007" s="1182"/>
      <c r="M2007" s="54"/>
      <c r="N2007" s="54"/>
      <c r="O2007" s="336"/>
      <c r="P2007" s="334"/>
      <c r="Q2007" s="335"/>
      <c r="R2007" s="336"/>
      <c r="S2007" s="337"/>
    </row>
    <row r="2008" spans="1:19" ht="30" customHeight="1" x14ac:dyDescent="0.25">
      <c r="A2008" s="327" t="s">
        <v>5</v>
      </c>
      <c r="B2008" s="328">
        <v>2211</v>
      </c>
      <c r="C2008" s="1393" t="s">
        <v>1322</v>
      </c>
      <c r="D2008" s="1394"/>
      <c r="E2008" s="331" t="s">
        <v>8</v>
      </c>
      <c r="F2008" s="332" t="s">
        <v>205</v>
      </c>
      <c r="G2008" s="342" t="s">
        <v>74</v>
      </c>
      <c r="H2008" s="820">
        <v>72026</v>
      </c>
      <c r="I2008" s="331" t="s">
        <v>10</v>
      </c>
      <c r="J2008" s="1220" t="s">
        <v>3388</v>
      </c>
      <c r="K2008" s="1220"/>
      <c r="L2008" s="1221"/>
      <c r="M2008" s="54"/>
      <c r="N2008" s="54"/>
      <c r="O2008" s="554"/>
      <c r="P2008" s="334"/>
      <c r="Q2008" s="335"/>
      <c r="R2008" s="336"/>
      <c r="S2008" s="337"/>
    </row>
    <row r="2009" spans="1:19" ht="30" customHeight="1" x14ac:dyDescent="0.25">
      <c r="A2009" s="359" t="s">
        <v>295</v>
      </c>
      <c r="B2009" s="1222" t="s">
        <v>326</v>
      </c>
      <c r="C2009" s="1235"/>
      <c r="D2009" s="1223"/>
      <c r="E2009" s="577" t="s">
        <v>116</v>
      </c>
      <c r="F2009" s="577" t="s">
        <v>117</v>
      </c>
      <c r="G2009" s="1236" t="s">
        <v>118</v>
      </c>
      <c r="H2009" s="1237"/>
      <c r="I2009" s="812" t="s">
        <v>1134</v>
      </c>
      <c r="J2009" s="356" t="s">
        <v>296</v>
      </c>
      <c r="K2009" s="1236" t="s">
        <v>285</v>
      </c>
      <c r="L2009" s="1237"/>
      <c r="M2009" s="54"/>
      <c r="O2009" s="336"/>
      <c r="P2009" s="334"/>
      <c r="Q2009" s="335"/>
      <c r="R2009" s="336"/>
      <c r="S2009" s="337"/>
    </row>
    <row r="2010" spans="1:19" ht="30" customHeight="1" x14ac:dyDescent="0.25">
      <c r="A2010" s="365" t="s">
        <v>1135</v>
      </c>
      <c r="B2010" s="1209" t="s">
        <v>1323</v>
      </c>
      <c r="C2010" s="1210"/>
      <c r="D2010" s="1211"/>
      <c r="E2010" s="247">
        <v>164</v>
      </c>
      <c r="F2010" s="365" t="s">
        <v>205</v>
      </c>
      <c r="G2010" s="689"/>
      <c r="H2010" s="690"/>
      <c r="I2010" s="65">
        <f>+E2010</f>
        <v>164</v>
      </c>
      <c r="J2010" s="365">
        <v>1.01</v>
      </c>
      <c r="K2010" s="7">
        <f>+I2010*J2010</f>
        <v>165.64000000000001</v>
      </c>
      <c r="L2010" s="365" t="s">
        <v>205</v>
      </c>
      <c r="M2010" s="54"/>
      <c r="N2010" s="54"/>
      <c r="O2010" s="554"/>
      <c r="P2010" s="334"/>
      <c r="Q2010" s="335"/>
      <c r="R2010" s="336"/>
      <c r="S2010" s="337"/>
    </row>
    <row r="2011" spans="1:19" ht="30" customHeight="1" x14ac:dyDescent="0.25">
      <c r="A2011" s="365" t="s">
        <v>406</v>
      </c>
      <c r="B2011" s="1209" t="s">
        <v>1324</v>
      </c>
      <c r="C2011" s="1210"/>
      <c r="D2011" s="1211"/>
      <c r="E2011" s="11">
        <v>3.04</v>
      </c>
      <c r="F2011" s="365" t="s">
        <v>205</v>
      </c>
      <c r="G2011" s="452"/>
      <c r="H2011" s="589"/>
      <c r="I2011" s="170">
        <f>+E2011</f>
        <v>3.04</v>
      </c>
      <c r="J2011" s="365">
        <v>1.01</v>
      </c>
      <c r="K2011" s="7">
        <f t="shared" ref="K2011:K2018" si="42">+I2011*J2011</f>
        <v>3.0704000000000002</v>
      </c>
      <c r="L2011" s="365" t="s">
        <v>205</v>
      </c>
      <c r="M2011" s="54"/>
      <c r="N2011" s="54"/>
      <c r="O2011" s="839"/>
      <c r="P2011" s="334"/>
      <c r="Q2011" s="335"/>
      <c r="R2011" s="336"/>
      <c r="S2011" s="337"/>
    </row>
    <row r="2012" spans="1:19" ht="30" customHeight="1" x14ac:dyDescent="0.25">
      <c r="A2012" s="365" t="s">
        <v>520</v>
      </c>
      <c r="B2012" s="1209" t="s">
        <v>1325</v>
      </c>
      <c r="C2012" s="1210"/>
      <c r="D2012" s="1211"/>
      <c r="E2012" s="247">
        <v>224000</v>
      </c>
      <c r="F2012" s="661" t="s">
        <v>76</v>
      </c>
      <c r="G2012" s="170">
        <f>+E2012*2/H2008</f>
        <v>6.2199761197345405</v>
      </c>
      <c r="H2012" s="589" t="s">
        <v>1140</v>
      </c>
      <c r="I2012" s="170">
        <f>+E2012*2/H2008</f>
        <v>6.2199761197345405</v>
      </c>
      <c r="J2012" s="365">
        <v>1.02</v>
      </c>
      <c r="K2012" s="7">
        <f>+I2012*J2012</f>
        <v>6.344375642129231</v>
      </c>
      <c r="L2012" s="365" t="s">
        <v>205</v>
      </c>
      <c r="M2012" s="54"/>
      <c r="N2012" s="54"/>
      <c r="O2012" s="839"/>
      <c r="P2012" s="334"/>
      <c r="Q2012" s="335"/>
      <c r="R2012" s="336"/>
      <c r="S2012" s="337"/>
    </row>
    <row r="2013" spans="1:19" ht="30" customHeight="1" x14ac:dyDescent="0.25">
      <c r="A2013" s="365" t="s">
        <v>426</v>
      </c>
      <c r="B2013" s="1209" t="s">
        <v>1326</v>
      </c>
      <c r="C2013" s="1210"/>
      <c r="D2013" s="1211"/>
      <c r="E2013" s="247">
        <f>(20.3+31.5)/2</f>
        <v>25.9</v>
      </c>
      <c r="F2013" s="661" t="s">
        <v>205</v>
      </c>
      <c r="G2013" s="452"/>
      <c r="H2013" s="589"/>
      <c r="I2013" s="170">
        <f>81*12*E2013/H2008</f>
        <v>0.34952378307833282</v>
      </c>
      <c r="J2013" s="365">
        <v>1.03</v>
      </c>
      <c r="K2013" s="7">
        <f t="shared" si="42"/>
        <v>0.36000949657068282</v>
      </c>
      <c r="L2013" s="365" t="s">
        <v>205</v>
      </c>
      <c r="M2013" s="54"/>
      <c r="N2013" s="54"/>
      <c r="O2013" s="336"/>
      <c r="P2013" s="334"/>
      <c r="Q2013" s="335"/>
      <c r="R2013" s="336"/>
      <c r="S2013" s="337"/>
    </row>
    <row r="2014" spans="1:19" ht="30" customHeight="1" x14ac:dyDescent="0.25">
      <c r="A2014" s="365" t="s">
        <v>426</v>
      </c>
      <c r="B2014" s="1209" t="s">
        <v>1327</v>
      </c>
      <c r="C2014" s="1210"/>
      <c r="D2014" s="1211"/>
      <c r="E2014" s="247">
        <f>(1710+2420)/2</f>
        <v>2065</v>
      </c>
      <c r="F2014" s="661" t="s">
        <v>76</v>
      </c>
      <c r="G2014" s="452"/>
      <c r="H2014" s="589"/>
      <c r="I2014" s="170">
        <f>12*E2014/H2008</f>
        <v>0.34404242912281674</v>
      </c>
      <c r="J2014" s="365">
        <v>1.03</v>
      </c>
      <c r="K2014" s="7">
        <f t="shared" si="42"/>
        <v>0.35436370199650125</v>
      </c>
      <c r="L2014" s="365" t="s">
        <v>205</v>
      </c>
      <c r="M2014" s="54"/>
      <c r="N2014" s="54"/>
      <c r="O2014" s="336"/>
      <c r="P2014" s="334"/>
      <c r="Q2014" s="335"/>
      <c r="R2014" s="336"/>
      <c r="S2014" s="337"/>
    </row>
    <row r="2015" spans="1:19" ht="30" customHeight="1" x14ac:dyDescent="0.25">
      <c r="A2015" s="365" t="s">
        <v>430</v>
      </c>
      <c r="B2015" s="1209" t="s">
        <v>1328</v>
      </c>
      <c r="C2015" s="1210"/>
      <c r="D2015" s="1211"/>
      <c r="E2015" s="247">
        <f>+(34.5+82)/2</f>
        <v>58.25</v>
      </c>
      <c r="F2015" s="661" t="s">
        <v>40</v>
      </c>
      <c r="G2015" s="452">
        <f>12*10</f>
        <v>120</v>
      </c>
      <c r="H2015" s="589" t="s">
        <v>1329</v>
      </c>
      <c r="I2015" s="170">
        <f>+E2015*G2015/$H$2008</f>
        <v>9.7048288118179546E-2</v>
      </c>
      <c r="J2015" s="365">
        <v>1.03</v>
      </c>
      <c r="K2015" s="7">
        <f t="shared" si="42"/>
        <v>9.995973676172494E-2</v>
      </c>
      <c r="L2015" s="365" t="s">
        <v>205</v>
      </c>
      <c r="M2015" s="54"/>
      <c r="N2015" s="54"/>
      <c r="O2015" s="336"/>
      <c r="P2015" s="334"/>
      <c r="Q2015" s="335"/>
      <c r="R2015" s="336"/>
      <c r="S2015" s="337"/>
    </row>
    <row r="2016" spans="1:19" ht="30" customHeight="1" x14ac:dyDescent="0.25">
      <c r="A2016" s="365" t="s">
        <v>430</v>
      </c>
      <c r="B2016" s="1209" t="s">
        <v>433</v>
      </c>
      <c r="C2016" s="1210"/>
      <c r="D2016" s="1211"/>
      <c r="E2016" s="247">
        <f>+(6450+12300)/2</f>
        <v>9375</v>
      </c>
      <c r="F2016" s="661" t="s">
        <v>76</v>
      </c>
      <c r="G2016" s="452">
        <v>12</v>
      </c>
      <c r="H2016" s="589" t="s">
        <v>1140</v>
      </c>
      <c r="I2016" s="170">
        <f>+E2016*G2016/$H$2008</f>
        <v>1.5619359675672673</v>
      </c>
      <c r="J2016" s="365">
        <v>1.03</v>
      </c>
      <c r="K2016" s="7">
        <f t="shared" si="42"/>
        <v>1.6087940465942854</v>
      </c>
      <c r="L2016" s="365" t="s">
        <v>205</v>
      </c>
      <c r="M2016" s="54"/>
      <c r="N2016" s="54"/>
      <c r="O2016" s="336"/>
      <c r="P2016" s="334"/>
      <c r="Q2016" s="335"/>
      <c r="R2016" s="336"/>
      <c r="S2016" s="337"/>
    </row>
    <row r="2017" spans="1:21" ht="30" customHeight="1" x14ac:dyDescent="0.25">
      <c r="A2017" s="365" t="s">
        <v>430</v>
      </c>
      <c r="B2017" s="1209" t="s">
        <v>1147</v>
      </c>
      <c r="C2017" s="1210"/>
      <c r="D2017" s="1211"/>
      <c r="E2017" s="11">
        <f>+(660+1010)/2</f>
        <v>835</v>
      </c>
      <c r="F2017" s="661" t="s">
        <v>76</v>
      </c>
      <c r="G2017" s="452">
        <v>12</v>
      </c>
      <c r="H2017" s="589" t="s">
        <v>1140</v>
      </c>
      <c r="I2017" s="170">
        <f>+E2017*G2017/$H$2008</f>
        <v>0.13911643017799127</v>
      </c>
      <c r="J2017" s="365">
        <v>1.03</v>
      </c>
      <c r="K2017" s="7">
        <f t="shared" si="42"/>
        <v>0.14328992308333102</v>
      </c>
      <c r="L2017" s="365" t="s">
        <v>205</v>
      </c>
      <c r="M2017" s="54"/>
      <c r="N2017" s="54"/>
      <c r="O2017" s="336"/>
      <c r="P2017" s="334"/>
      <c r="Q2017" s="335"/>
      <c r="R2017" s="336"/>
      <c r="S2017" s="337"/>
    </row>
    <row r="2018" spans="1:21" ht="30" customHeight="1" x14ac:dyDescent="0.25">
      <c r="A2018" s="365" t="s">
        <v>430</v>
      </c>
      <c r="B2018" s="1209" t="s">
        <v>435</v>
      </c>
      <c r="C2018" s="1210"/>
      <c r="D2018" s="1211"/>
      <c r="E2018" s="247">
        <f>+(1160+3475)/2</f>
        <v>2317.5</v>
      </c>
      <c r="F2018" s="661" t="s">
        <v>76</v>
      </c>
      <c r="G2018" s="452">
        <v>12</v>
      </c>
      <c r="H2018" s="589" t="s">
        <v>1140</v>
      </c>
      <c r="I2018" s="170">
        <f>+E2018*G2018/$H$2008</f>
        <v>0.38611057118262848</v>
      </c>
      <c r="J2018" s="365">
        <v>1.03</v>
      </c>
      <c r="K2018" s="7">
        <f t="shared" si="42"/>
        <v>0.39769388831810737</v>
      </c>
      <c r="L2018" s="365" t="s">
        <v>205</v>
      </c>
      <c r="M2018" s="54"/>
      <c r="N2018" s="54"/>
      <c r="O2018" s="336"/>
      <c r="P2018" s="334"/>
      <c r="Q2018" s="335"/>
      <c r="R2018" s="336"/>
      <c r="S2018" s="337"/>
    </row>
    <row r="2019" spans="1:21" ht="30" customHeight="1" x14ac:dyDescent="0.25">
      <c r="A2019" s="365"/>
      <c r="B2019" s="1209"/>
      <c r="C2019" s="1210"/>
      <c r="D2019" s="1211"/>
      <c r="E2019" s="247"/>
      <c r="F2019" s="365"/>
      <c r="G2019" s="366"/>
      <c r="H2019" s="662"/>
      <c r="I2019" s="662"/>
      <c r="J2019" s="365" t="s">
        <v>408</v>
      </c>
      <c r="K2019" s="247">
        <f>SUM(K2010:K2018)</f>
        <v>178.01888643545388</v>
      </c>
      <c r="L2019" s="365" t="s">
        <v>205</v>
      </c>
      <c r="M2019" s="54"/>
      <c r="N2019" s="54"/>
      <c r="O2019" s="336"/>
      <c r="P2019" s="334"/>
      <c r="Q2019" s="335"/>
      <c r="R2019" s="336"/>
      <c r="S2019" s="337"/>
    </row>
    <row r="2020" spans="1:21" ht="30" customHeight="1" x14ac:dyDescent="0.25">
      <c r="A2020" s="365"/>
      <c r="B2020" s="578"/>
      <c r="C2020" s="578"/>
      <c r="D2020" s="578"/>
      <c r="E2020" s="578"/>
      <c r="F2020" s="1272" t="s">
        <v>303</v>
      </c>
      <c r="G2020" s="1316" t="s">
        <v>304</v>
      </c>
      <c r="H2020" s="1317"/>
      <c r="I2020" s="1317"/>
      <c r="J2020" s="1318"/>
      <c r="K2020" s="250">
        <v>1.08</v>
      </c>
      <c r="L2020" s="365"/>
      <c r="M2020" s="54"/>
      <c r="N2020" s="54"/>
      <c r="O2020" s="336"/>
      <c r="P2020" s="334"/>
      <c r="Q2020" s="335"/>
      <c r="R2020" s="336"/>
      <c r="S2020" s="337"/>
    </row>
    <row r="2021" spans="1:21" ht="30" customHeight="1" x14ac:dyDescent="0.25">
      <c r="A2021" s="365"/>
      <c r="B2021" s="578"/>
      <c r="C2021" s="578"/>
      <c r="D2021" s="578"/>
      <c r="E2021" s="578"/>
      <c r="F2021" s="1273"/>
      <c r="G2021" s="1284" t="s">
        <v>438</v>
      </c>
      <c r="H2021" s="1284"/>
      <c r="I2021" s="1284"/>
      <c r="J2021" s="1284"/>
      <c r="K2021" s="250">
        <v>1.08</v>
      </c>
      <c r="L2021" s="365"/>
      <c r="M2021" s="54"/>
      <c r="N2021" s="54"/>
      <c r="O2021" s="336"/>
      <c r="P2021" s="334"/>
      <c r="Q2021" s="335"/>
      <c r="R2021" s="336"/>
      <c r="S2021" s="337"/>
    </row>
    <row r="2022" spans="1:21" ht="30" customHeight="1" x14ac:dyDescent="0.25">
      <c r="A2022" s="365"/>
      <c r="B2022" s="365"/>
      <c r="C2022" s="366"/>
      <c r="D2022" s="366"/>
      <c r="E2022" s="366"/>
      <c r="F2022" s="366"/>
      <c r="G2022" s="366"/>
      <c r="H2022" s="366"/>
      <c r="I2022" s="366"/>
      <c r="J2022" s="365" t="s">
        <v>72</v>
      </c>
      <c r="K2022" s="246">
        <f>+K2019*K2020/K2021</f>
        <v>178.01888643545388</v>
      </c>
      <c r="L2022" s="365" t="s">
        <v>205</v>
      </c>
      <c r="M2022" s="54"/>
      <c r="N2022" s="54"/>
      <c r="O2022" s="336"/>
      <c r="P2022" s="334"/>
      <c r="Q2022" s="335"/>
      <c r="R2022" s="336"/>
      <c r="S2022" s="337"/>
    </row>
    <row r="2023" spans="1:21" ht="30" customHeight="1" x14ac:dyDescent="0.25">
      <c r="A2023" s="592"/>
      <c r="B2023" s="592"/>
      <c r="C2023" s="573"/>
      <c r="D2023" s="573"/>
      <c r="E2023" s="573"/>
      <c r="F2023" s="573"/>
      <c r="G2023" s="1212" t="s">
        <v>414</v>
      </c>
      <c r="H2023" s="1213"/>
      <c r="I2023" s="1552"/>
      <c r="J2023" s="521">
        <f>VLOOKUP(B2008,'Mil Cost Premiums for PUCs'!$A$4:$R$277,18,FALSE)</f>
        <v>1.1932356231980656</v>
      </c>
      <c r="K2023" s="1099">
        <f>+K2022*J2023</f>
        <v>212.41847689683448</v>
      </c>
      <c r="L2023" s="365" t="s">
        <v>205</v>
      </c>
      <c r="M2023" s="54"/>
      <c r="N2023" s="54"/>
      <c r="P2023" s="784"/>
      <c r="Q2023" s="336"/>
    </row>
    <row r="2024" spans="1:21" ht="30" customHeight="1" x14ac:dyDescent="0.25">
      <c r="A2024" s="365"/>
      <c r="B2024" s="365"/>
      <c r="C2024" s="366"/>
      <c r="D2024" s="366"/>
      <c r="E2024" s="366"/>
      <c r="F2024" s="1212" t="s">
        <v>1148</v>
      </c>
      <c r="G2024" s="1213"/>
      <c r="H2024" s="1213"/>
      <c r="I2024" s="1213"/>
      <c r="J2024" s="521">
        <v>1.0833999999999999</v>
      </c>
      <c r="K2024" s="544">
        <f>K2023*J2024</f>
        <v>230.13417787003044</v>
      </c>
      <c r="L2024" s="365" t="s">
        <v>205</v>
      </c>
      <c r="N2024" s="54"/>
      <c r="O2024" s="336"/>
      <c r="P2024" s="334"/>
      <c r="Q2024" s="335"/>
      <c r="R2024" s="336"/>
      <c r="S2024" s="337"/>
      <c r="U2024" s="337"/>
    </row>
    <row r="2025" spans="1:21" ht="60" customHeight="1" x14ac:dyDescent="0.25">
      <c r="A2025" s="1230" t="s">
        <v>307</v>
      </c>
      <c r="B2025" s="1231"/>
      <c r="C2025" s="1231"/>
      <c r="D2025" s="1231"/>
      <c r="E2025" s="1231"/>
      <c r="F2025" s="1231"/>
      <c r="G2025" s="1231"/>
      <c r="H2025" s="1231"/>
      <c r="I2025" s="1231"/>
      <c r="J2025" s="1231"/>
      <c r="K2025" s="1231"/>
      <c r="L2025" s="1232"/>
      <c r="M2025" s="54"/>
      <c r="N2025" s="54"/>
      <c r="O2025" s="336"/>
      <c r="P2025" s="334"/>
      <c r="Q2025" s="335"/>
      <c r="R2025" s="336"/>
      <c r="S2025" s="337"/>
    </row>
    <row r="2026" spans="1:21" ht="30" customHeight="1" x14ac:dyDescent="0.25">
      <c r="A2026" s="1268" t="s">
        <v>308</v>
      </c>
      <c r="B2026" s="1167"/>
      <c r="C2026" s="1168"/>
      <c r="D2026" s="1230" t="s">
        <v>1330</v>
      </c>
      <c r="E2026" s="1231"/>
      <c r="F2026" s="1231"/>
      <c r="G2026" s="1231"/>
      <c r="H2026" s="1231"/>
      <c r="I2026" s="1231"/>
      <c r="J2026" s="1231"/>
      <c r="K2026" s="1231"/>
      <c r="L2026" s="1232"/>
      <c r="M2026" s="54"/>
      <c r="N2026" s="54"/>
      <c r="O2026" s="336"/>
      <c r="P2026" s="334"/>
      <c r="Q2026" s="335"/>
      <c r="R2026" s="336"/>
      <c r="S2026" s="337"/>
    </row>
    <row r="2027" spans="1:21" ht="45" customHeight="1" x14ac:dyDescent="0.25">
      <c r="A2027" s="1268" t="s">
        <v>310</v>
      </c>
      <c r="B2027" s="1167"/>
      <c r="C2027" s="1168"/>
      <c r="D2027" s="1230" t="s">
        <v>1331</v>
      </c>
      <c r="E2027" s="1231"/>
      <c r="F2027" s="1231"/>
      <c r="G2027" s="1231"/>
      <c r="H2027" s="1231"/>
      <c r="I2027" s="1231"/>
      <c r="J2027" s="1231"/>
      <c r="K2027" s="1231"/>
      <c r="L2027" s="1232"/>
      <c r="M2027" s="54"/>
      <c r="N2027" s="54"/>
      <c r="O2027" s="336"/>
      <c r="P2027" s="334"/>
      <c r="Q2027" s="335"/>
      <c r="R2027" s="336"/>
      <c r="S2027" s="337"/>
    </row>
    <row r="2028" spans="1:21" ht="30" customHeight="1" x14ac:dyDescent="0.25">
      <c r="A2028" s="1268" t="s">
        <v>312</v>
      </c>
      <c r="B2028" s="1167"/>
      <c r="C2028" s="1168"/>
      <c r="D2028" s="1230" t="s">
        <v>1332</v>
      </c>
      <c r="E2028" s="1231"/>
      <c r="F2028" s="1231"/>
      <c r="G2028" s="1231"/>
      <c r="H2028" s="1231"/>
      <c r="I2028" s="1231"/>
      <c r="J2028" s="1231"/>
      <c r="K2028" s="1231"/>
      <c r="L2028" s="1232"/>
      <c r="M2028" s="54"/>
      <c r="N2028" s="54"/>
      <c r="O2028" s="336"/>
      <c r="P2028" s="334"/>
      <c r="Q2028" s="335"/>
      <c r="R2028" s="336"/>
      <c r="S2028" s="337"/>
    </row>
    <row r="2029" spans="1:21" ht="30" customHeight="1" x14ac:dyDescent="0.25">
      <c r="A2029" s="1268" t="s">
        <v>314</v>
      </c>
      <c r="B2029" s="1167"/>
      <c r="C2029" s="1168"/>
      <c r="D2029" s="1230" t="s">
        <v>1333</v>
      </c>
      <c r="E2029" s="1231"/>
      <c r="F2029" s="1231"/>
      <c r="G2029" s="1231"/>
      <c r="H2029" s="1231"/>
      <c r="I2029" s="1231"/>
      <c r="J2029" s="1231"/>
      <c r="K2029" s="1231"/>
      <c r="L2029" s="1232"/>
      <c r="M2029" s="54"/>
      <c r="N2029" s="54"/>
      <c r="O2029" s="336"/>
      <c r="P2029" s="334"/>
      <c r="Q2029" s="335"/>
      <c r="R2029" s="336"/>
      <c r="S2029" s="337"/>
    </row>
    <row r="2030" spans="1:21" ht="90" customHeight="1" x14ac:dyDescent="0.25">
      <c r="A2030" s="1268" t="s">
        <v>316</v>
      </c>
      <c r="B2030" s="1167"/>
      <c r="C2030" s="1168"/>
      <c r="D2030" s="1230" t="s">
        <v>1334</v>
      </c>
      <c r="E2030" s="1231"/>
      <c r="F2030" s="1231"/>
      <c r="G2030" s="1231"/>
      <c r="H2030" s="1231"/>
      <c r="I2030" s="1231"/>
      <c r="J2030" s="1231"/>
      <c r="K2030" s="1231"/>
      <c r="L2030" s="1232"/>
      <c r="M2030" s="54"/>
      <c r="O2030" s="336"/>
      <c r="P2030" s="334"/>
      <c r="Q2030" s="335"/>
      <c r="R2030" s="336"/>
      <c r="S2030" s="337"/>
    </row>
    <row r="2031" spans="1:21" ht="30" customHeight="1" x14ac:dyDescent="0.25">
      <c r="A2031" s="1268" t="s">
        <v>318</v>
      </c>
      <c r="B2031" s="1167"/>
      <c r="C2031" s="1168"/>
      <c r="D2031" s="1230" t="s">
        <v>1335</v>
      </c>
      <c r="E2031" s="1231"/>
      <c r="F2031" s="1231"/>
      <c r="G2031" s="1231"/>
      <c r="H2031" s="1231"/>
      <c r="I2031" s="1231"/>
      <c r="J2031" s="1231"/>
      <c r="K2031" s="1231"/>
      <c r="L2031" s="1232"/>
      <c r="M2031" s="54"/>
      <c r="N2031" s="54"/>
      <c r="O2031" s="336"/>
      <c r="P2031" s="334"/>
      <c r="Q2031" s="335"/>
      <c r="R2031" s="336"/>
      <c r="S2031" s="337"/>
    </row>
    <row r="2032" spans="1:21" ht="30" customHeight="1" x14ac:dyDescent="0.25">
      <c r="A2032" s="1268" t="s">
        <v>320</v>
      </c>
      <c r="B2032" s="1167"/>
      <c r="C2032" s="1168"/>
      <c r="D2032" s="1256" t="s">
        <v>464</v>
      </c>
      <c r="E2032" s="1257"/>
      <c r="F2032" s="1257"/>
      <c r="G2032" s="1257"/>
      <c r="H2032" s="1257"/>
      <c r="I2032" s="1257"/>
      <c r="J2032" s="1257"/>
      <c r="K2032" s="1257"/>
      <c r="L2032" s="1258"/>
      <c r="M2032" s="54"/>
      <c r="N2032" s="54"/>
      <c r="O2032" s="336"/>
      <c r="P2032" s="334"/>
      <c r="Q2032" s="335"/>
      <c r="R2032" s="336"/>
      <c r="S2032" s="337"/>
    </row>
    <row r="2033" spans="1:19" ht="75" customHeight="1" x14ac:dyDescent="0.25">
      <c r="A2033" s="1268" t="s">
        <v>322</v>
      </c>
      <c r="B2033" s="1167"/>
      <c r="C2033" s="1168"/>
      <c r="D2033" s="1230" t="s">
        <v>1336</v>
      </c>
      <c r="E2033" s="1231"/>
      <c r="F2033" s="1231"/>
      <c r="G2033" s="1231"/>
      <c r="H2033" s="1231"/>
      <c r="I2033" s="1231"/>
      <c r="J2033" s="1231"/>
      <c r="K2033" s="1231"/>
      <c r="L2033" s="1232"/>
      <c r="M2033" s="54"/>
      <c r="N2033" s="54"/>
      <c r="O2033" s="336"/>
      <c r="P2033" s="334"/>
      <c r="Q2033" s="335"/>
      <c r="R2033" s="336"/>
      <c r="S2033" s="337"/>
    </row>
    <row r="2034" spans="1:19" ht="60" customHeight="1" thickBot="1" x14ac:dyDescent="0.3">
      <c r="A2034" s="1268" t="s">
        <v>350</v>
      </c>
      <c r="B2034" s="1167"/>
      <c r="C2034" s="1168"/>
      <c r="D2034" s="1291" t="s">
        <v>3405</v>
      </c>
      <c r="E2034" s="1292"/>
      <c r="F2034" s="1292"/>
      <c r="G2034" s="1292"/>
      <c r="H2034" s="1292"/>
      <c r="I2034" s="1292"/>
      <c r="J2034" s="1292"/>
      <c r="K2034" s="1292"/>
      <c r="L2034" s="1293"/>
      <c r="M2034" s="54"/>
      <c r="N2034" s="54"/>
      <c r="O2034" s="336"/>
      <c r="P2034" s="334"/>
      <c r="Q2034" s="335"/>
      <c r="R2034" s="336"/>
      <c r="S2034" s="337"/>
    </row>
    <row r="2035" spans="1:19" ht="30" customHeight="1" thickBot="1" x14ac:dyDescent="0.3">
      <c r="A2035" s="1180"/>
      <c r="B2035" s="1181"/>
      <c r="C2035" s="1181"/>
      <c r="D2035" s="1181"/>
      <c r="E2035" s="1181"/>
      <c r="F2035" s="1181"/>
      <c r="G2035" s="1181"/>
      <c r="H2035" s="1181"/>
      <c r="I2035" s="1181"/>
      <c r="J2035" s="1181"/>
      <c r="K2035" s="1181"/>
      <c r="L2035" s="1182"/>
      <c r="M2035" s="54"/>
      <c r="N2035" s="54"/>
      <c r="O2035" s="336"/>
      <c r="P2035" s="334"/>
      <c r="Q2035" s="335"/>
      <c r="R2035" s="336"/>
      <c r="S2035" s="337"/>
    </row>
    <row r="2036" spans="1:19" ht="30" customHeight="1" x14ac:dyDescent="0.25">
      <c r="A2036" s="327" t="s">
        <v>5</v>
      </c>
      <c r="B2036" s="328">
        <v>2213</v>
      </c>
      <c r="C2036" s="1251" t="s">
        <v>1337</v>
      </c>
      <c r="D2036" s="1252"/>
      <c r="E2036" s="331" t="s">
        <v>8</v>
      </c>
      <c r="F2036" s="332" t="s">
        <v>205</v>
      </c>
      <c r="G2036" s="342" t="s">
        <v>74</v>
      </c>
      <c r="H2036" s="653">
        <v>713</v>
      </c>
      <c r="I2036" s="331" t="s">
        <v>10</v>
      </c>
      <c r="J2036" s="1220" t="s">
        <v>3388</v>
      </c>
      <c r="K2036" s="1220"/>
      <c r="L2036" s="1221"/>
      <c r="M2036" s="54"/>
      <c r="N2036" s="54"/>
      <c r="O2036" s="336"/>
      <c r="P2036" s="334"/>
      <c r="Q2036" s="335"/>
      <c r="R2036" s="336"/>
      <c r="S2036" s="337"/>
    </row>
    <row r="2037" spans="1:19" ht="30" customHeight="1" x14ac:dyDescent="0.25">
      <c r="A2037" s="359" t="s">
        <v>295</v>
      </c>
      <c r="B2037" s="1222" t="s">
        <v>326</v>
      </c>
      <c r="C2037" s="1235"/>
      <c r="D2037" s="1223"/>
      <c r="E2037" s="577" t="s">
        <v>116</v>
      </c>
      <c r="F2037" s="577" t="s">
        <v>117</v>
      </c>
      <c r="G2037" s="1194" t="s">
        <v>118</v>
      </c>
      <c r="H2037" s="1195"/>
      <c r="I2037" s="356" t="s">
        <v>296</v>
      </c>
      <c r="J2037" s="356"/>
      <c r="K2037" s="1236" t="s">
        <v>285</v>
      </c>
      <c r="L2037" s="1237"/>
      <c r="M2037" s="54"/>
      <c r="N2037" s="54"/>
      <c r="O2037" s="336"/>
      <c r="P2037" s="334"/>
      <c r="Q2037" s="335"/>
      <c r="R2037" s="336"/>
      <c r="S2037" s="337"/>
    </row>
    <row r="2038" spans="1:19" ht="30" customHeight="1" x14ac:dyDescent="0.25">
      <c r="A2038" s="365" t="s">
        <v>1135</v>
      </c>
      <c r="B2038" s="1209" t="s">
        <v>1338</v>
      </c>
      <c r="C2038" s="1210"/>
      <c r="D2038" s="1211"/>
      <c r="E2038" s="247">
        <v>29.5</v>
      </c>
      <c r="F2038" s="365" t="s">
        <v>205</v>
      </c>
      <c r="G2038" s="365"/>
      <c r="H2038" s="365"/>
      <c r="I2038" s="250">
        <v>1.03</v>
      </c>
      <c r="J2038" s="365"/>
      <c r="K2038" s="247">
        <f>+E2038*I2038</f>
        <v>30.385000000000002</v>
      </c>
      <c r="L2038" s="365" t="s">
        <v>205</v>
      </c>
      <c r="M2038" s="54"/>
      <c r="N2038" s="54"/>
      <c r="O2038" s="336"/>
      <c r="P2038" s="334"/>
      <c r="Q2038" s="335"/>
      <c r="R2038" s="336"/>
      <c r="S2038" s="337"/>
    </row>
    <row r="2039" spans="1:19" ht="30" customHeight="1" x14ac:dyDescent="0.25">
      <c r="A2039" s="365" t="s">
        <v>406</v>
      </c>
      <c r="B2039" s="1214" t="s">
        <v>1339</v>
      </c>
      <c r="C2039" s="1215"/>
      <c r="D2039" s="1215"/>
      <c r="E2039" s="247">
        <v>4.1500000000000004</v>
      </c>
      <c r="F2039" s="661" t="s">
        <v>205</v>
      </c>
      <c r="G2039" s="366"/>
      <c r="H2039" s="662"/>
      <c r="I2039" s="250">
        <v>1.03</v>
      </c>
      <c r="J2039" s="365"/>
      <c r="K2039" s="247">
        <f>+E2039*I2039</f>
        <v>4.2745000000000006</v>
      </c>
      <c r="L2039" s="365" t="s">
        <v>205</v>
      </c>
      <c r="M2039" s="54"/>
      <c r="N2039" s="54"/>
      <c r="O2039" s="336"/>
      <c r="P2039" s="334"/>
      <c r="Q2039" s="335"/>
      <c r="R2039" s="336"/>
      <c r="S2039" s="337"/>
    </row>
    <row r="2040" spans="1:19" ht="30" customHeight="1" x14ac:dyDescent="0.25">
      <c r="A2040" s="365"/>
      <c r="B2040" s="1281"/>
      <c r="C2040" s="1281"/>
      <c r="D2040" s="1281"/>
      <c r="E2040" s="247"/>
      <c r="F2040" s="365"/>
      <c r="G2040" s="366"/>
      <c r="H2040" s="662"/>
      <c r="I2040" s="365"/>
      <c r="J2040" s="365" t="s">
        <v>343</v>
      </c>
      <c r="K2040" s="247">
        <f>SUM(K2038:K2039)</f>
        <v>34.659500000000001</v>
      </c>
      <c r="L2040" s="365" t="s">
        <v>205</v>
      </c>
      <c r="M2040" s="54"/>
      <c r="N2040" s="54"/>
      <c r="O2040" s="336"/>
      <c r="P2040" s="334"/>
      <c r="Q2040" s="335"/>
      <c r="R2040" s="336"/>
      <c r="S2040" s="337"/>
    </row>
    <row r="2041" spans="1:19" ht="30" customHeight="1" x14ac:dyDescent="0.25">
      <c r="A2041" s="365"/>
      <c r="B2041" s="578"/>
      <c r="C2041" s="578"/>
      <c r="D2041" s="578"/>
      <c r="E2041" s="247"/>
      <c r="F2041" s="1272" t="s">
        <v>303</v>
      </c>
      <c r="G2041" s="1283" t="s">
        <v>304</v>
      </c>
      <c r="H2041" s="1283"/>
      <c r="I2041" s="1283"/>
      <c r="J2041" s="1283"/>
      <c r="K2041" s="250">
        <v>1.07</v>
      </c>
      <c r="L2041" s="365"/>
      <c r="M2041" s="54"/>
      <c r="N2041" s="54"/>
      <c r="O2041" s="336"/>
      <c r="P2041" s="334"/>
      <c r="Q2041" s="335"/>
      <c r="R2041" s="336"/>
      <c r="S2041" s="337"/>
    </row>
    <row r="2042" spans="1:19" ht="30" customHeight="1" x14ac:dyDescent="0.25">
      <c r="A2042" s="369"/>
      <c r="B2042" s="370"/>
      <c r="C2042" s="370"/>
      <c r="D2042" s="370"/>
      <c r="E2042" s="177"/>
      <c r="F2042" s="1561"/>
      <c r="G2042" s="1284" t="s">
        <v>438</v>
      </c>
      <c r="H2042" s="1284"/>
      <c r="I2042" s="1284"/>
      <c r="J2042" s="1284"/>
      <c r="K2042" s="250">
        <v>1.08</v>
      </c>
      <c r="L2042" s="365"/>
      <c r="M2042" s="54"/>
      <c r="O2042" s="336"/>
      <c r="P2042" s="334"/>
      <c r="Q2042" s="335"/>
      <c r="R2042" s="336"/>
      <c r="S2042" s="337"/>
    </row>
    <row r="2043" spans="1:19" ht="30" customHeight="1" x14ac:dyDescent="0.25">
      <c r="A2043" s="835"/>
      <c r="B2043" s="835"/>
      <c r="C2043" s="840"/>
      <c r="D2043" s="840"/>
      <c r="E2043" s="840"/>
      <c r="F2043" s="840"/>
      <c r="G2043" s="840"/>
      <c r="H2043" s="840"/>
      <c r="I2043" s="840"/>
      <c r="J2043" s="698" t="s">
        <v>72</v>
      </c>
      <c r="K2043" s="246">
        <f>+K2040*K2041/K2042</f>
        <v>34.338578703703703</v>
      </c>
      <c r="L2043" s="365" t="s">
        <v>205</v>
      </c>
      <c r="M2043" s="54"/>
      <c r="N2043" s="54"/>
      <c r="O2043" s="336"/>
      <c r="P2043" s="334"/>
      <c r="Q2043" s="335"/>
      <c r="R2043" s="336"/>
      <c r="S2043" s="337"/>
    </row>
    <row r="2044" spans="1:19" ht="30" customHeight="1" x14ac:dyDescent="0.25">
      <c r="A2044" s="841"/>
      <c r="B2044" s="1159"/>
      <c r="C2044" s="1159"/>
      <c r="D2044" s="1159"/>
      <c r="E2044" s="840"/>
      <c r="F2044" s="840"/>
      <c r="G2044" s="842" t="s">
        <v>306</v>
      </c>
      <c r="H2044" s="840"/>
      <c r="I2044" s="840"/>
      <c r="J2044" s="843">
        <f>VLOOKUP(B2036,'Mil Cost Premiums for PUCs'!$A$4:$R$277,18,FALSE)</f>
        <v>1.1837478839085387</v>
      </c>
      <c r="K2044" s="246">
        <f>+K2043*J2044</f>
        <v>40.648219876936068</v>
      </c>
      <c r="L2044" s="365" t="s">
        <v>205</v>
      </c>
      <c r="M2044" s="54"/>
      <c r="N2044" s="54"/>
      <c r="O2044" s="336"/>
      <c r="P2044" s="334"/>
      <c r="Q2044" s="335"/>
      <c r="R2044" s="336"/>
      <c r="S2044" s="337"/>
    </row>
    <row r="2045" spans="1:19" ht="30" customHeight="1" thickBot="1" x14ac:dyDescent="0.3">
      <c r="A2045" s="844"/>
      <c r="B2045" s="844"/>
      <c r="C2045" s="471"/>
      <c r="D2045" s="471"/>
      <c r="E2045" s="471"/>
      <c r="F2045" s="1278" t="s">
        <v>1148</v>
      </c>
      <c r="G2045" s="1278"/>
      <c r="H2045" s="1278"/>
      <c r="I2045" s="1278"/>
      <c r="J2045" s="845">
        <v>1.0833999999999999</v>
      </c>
      <c r="K2045" s="544">
        <f>K2044*J2045</f>
        <v>44.038281414672532</v>
      </c>
      <c r="L2045" s="369" t="s">
        <v>205</v>
      </c>
      <c r="N2045" s="54"/>
      <c r="O2045" s="336"/>
      <c r="P2045" s="334"/>
      <c r="Q2045" s="335"/>
      <c r="R2045" s="336"/>
      <c r="S2045" s="337"/>
    </row>
    <row r="2046" spans="1:19" ht="30" customHeight="1" thickBot="1" x14ac:dyDescent="0.3">
      <c r="A2046" s="1558"/>
      <c r="B2046" s="1559"/>
      <c r="C2046" s="1559"/>
      <c r="D2046" s="1559"/>
      <c r="E2046" s="1559"/>
      <c r="F2046" s="1559"/>
      <c r="G2046" s="1559"/>
      <c r="H2046" s="1559"/>
      <c r="I2046" s="1559"/>
      <c r="J2046" s="1559"/>
      <c r="K2046" s="1559"/>
      <c r="L2046" s="1560"/>
      <c r="M2046" s="54"/>
      <c r="N2046" s="54"/>
      <c r="O2046" s="336"/>
      <c r="P2046" s="334"/>
      <c r="Q2046" s="335"/>
      <c r="R2046" s="336"/>
      <c r="S2046" s="337"/>
    </row>
    <row r="2047" spans="1:19" ht="30" customHeight="1" x14ac:dyDescent="0.25">
      <c r="A2047" s="349" t="s">
        <v>5</v>
      </c>
      <c r="B2047" s="350">
        <v>2221</v>
      </c>
      <c r="C2047" s="1151" t="s">
        <v>1340</v>
      </c>
      <c r="D2047" s="1152"/>
      <c r="E2047" s="351" t="s">
        <v>8</v>
      </c>
      <c r="F2047" s="352" t="s">
        <v>205</v>
      </c>
      <c r="G2047" s="353" t="s">
        <v>74</v>
      </c>
      <c r="H2047" s="743">
        <v>14692</v>
      </c>
      <c r="I2047" s="351" t="s">
        <v>10</v>
      </c>
      <c r="J2047" s="1185" t="s">
        <v>3389</v>
      </c>
      <c r="K2047" s="1185"/>
      <c r="L2047" s="1532"/>
      <c r="M2047" s="54"/>
      <c r="N2047" s="54"/>
      <c r="O2047" s="336"/>
      <c r="P2047" s="334"/>
      <c r="Q2047" s="335"/>
      <c r="R2047" s="336"/>
      <c r="S2047" s="337"/>
    </row>
    <row r="2048" spans="1:19" ht="30" customHeight="1" x14ac:dyDescent="0.25">
      <c r="A2048" s="359" t="s">
        <v>295</v>
      </c>
      <c r="B2048" s="1222" t="s">
        <v>326</v>
      </c>
      <c r="C2048" s="1235"/>
      <c r="D2048" s="1223"/>
      <c r="E2048" s="577" t="s">
        <v>116</v>
      </c>
      <c r="F2048" s="577" t="s">
        <v>117</v>
      </c>
      <c r="G2048" s="1194" t="s">
        <v>118</v>
      </c>
      <c r="H2048" s="1195"/>
      <c r="I2048" s="356" t="s">
        <v>296</v>
      </c>
      <c r="J2048" s="356"/>
      <c r="K2048" s="1236" t="s">
        <v>285</v>
      </c>
      <c r="L2048" s="1237"/>
      <c r="M2048" s="54"/>
      <c r="N2048" s="54"/>
      <c r="O2048" s="336"/>
      <c r="P2048" s="334"/>
      <c r="Q2048" s="335"/>
      <c r="R2048" s="336"/>
      <c r="S2048" s="337"/>
    </row>
    <row r="2049" spans="1:19" ht="30" customHeight="1" x14ac:dyDescent="0.25">
      <c r="A2049" s="365" t="s">
        <v>1135</v>
      </c>
      <c r="B2049" s="1209" t="s">
        <v>1341</v>
      </c>
      <c r="C2049" s="1210"/>
      <c r="D2049" s="1211"/>
      <c r="E2049" s="247">
        <f>164-2.51</f>
        <v>161.49</v>
      </c>
      <c r="F2049" s="365" t="s">
        <v>205</v>
      </c>
      <c r="G2049" s="365"/>
      <c r="H2049" s="365"/>
      <c r="I2049" s="365">
        <v>1.01</v>
      </c>
      <c r="J2049" s="365"/>
      <c r="K2049" s="247">
        <f>+E2049*I2049</f>
        <v>163.10490000000001</v>
      </c>
      <c r="L2049" s="365" t="s">
        <v>205</v>
      </c>
      <c r="M2049" s="54"/>
      <c r="N2049" s="54"/>
      <c r="O2049" s="336"/>
      <c r="P2049" s="334"/>
      <c r="Q2049" s="335"/>
      <c r="R2049" s="336"/>
      <c r="S2049" s="337"/>
    </row>
    <row r="2050" spans="1:19" ht="30" customHeight="1" x14ac:dyDescent="0.25">
      <c r="A2050" s="365" t="s">
        <v>520</v>
      </c>
      <c r="B2050" s="1209" t="s">
        <v>1342</v>
      </c>
      <c r="C2050" s="1210"/>
      <c r="D2050" s="1211"/>
      <c r="E2050" s="11">
        <v>177000</v>
      </c>
      <c r="F2050" s="365" t="s">
        <v>562</v>
      </c>
      <c r="G2050" s="846">
        <f>H2047</f>
        <v>14692</v>
      </c>
      <c r="H2050" s="662" t="s">
        <v>1269</v>
      </c>
      <c r="I2050" s="365">
        <v>1.02</v>
      </c>
      <c r="J2050" s="365"/>
      <c r="K2050" s="247">
        <f>+(E2050/G2050)*I2050</f>
        <v>12.288320174244486</v>
      </c>
      <c r="L2050" s="365" t="s">
        <v>205</v>
      </c>
      <c r="M2050" s="54"/>
      <c r="N2050" s="54"/>
      <c r="O2050" s="336"/>
      <c r="P2050" s="334"/>
      <c r="Q2050" s="335"/>
      <c r="R2050" s="336"/>
      <c r="S2050" s="337"/>
    </row>
    <row r="2051" spans="1:19" ht="30" customHeight="1" x14ac:dyDescent="0.25">
      <c r="A2051" s="365" t="s">
        <v>406</v>
      </c>
      <c r="B2051" s="1214" t="s">
        <v>1343</v>
      </c>
      <c r="C2051" s="1215"/>
      <c r="D2051" s="1215"/>
      <c r="E2051" s="247">
        <v>4.08</v>
      </c>
      <c r="F2051" s="661" t="s">
        <v>205</v>
      </c>
      <c r="G2051" s="366"/>
      <c r="H2051" s="662"/>
      <c r="I2051" s="365">
        <v>1.01</v>
      </c>
      <c r="J2051" s="365"/>
      <c r="K2051" s="247">
        <f>+E2051*I2051</f>
        <v>4.1208</v>
      </c>
      <c r="L2051" s="365" t="s">
        <v>205</v>
      </c>
      <c r="M2051" s="54"/>
      <c r="N2051" s="54"/>
      <c r="O2051" s="336"/>
      <c r="P2051" s="334"/>
      <c r="Q2051" s="335"/>
      <c r="R2051" s="336"/>
      <c r="S2051" s="337"/>
    </row>
    <row r="2052" spans="1:19" ht="30" customHeight="1" x14ac:dyDescent="0.25">
      <c r="A2052" s="365"/>
      <c r="B2052" s="1419" t="s">
        <v>1344</v>
      </c>
      <c r="C2052" s="1419"/>
      <c r="D2052" s="1419"/>
      <c r="E2052" s="247"/>
      <c r="F2052" s="365"/>
      <c r="G2052" s="366"/>
      <c r="H2052" s="662"/>
      <c r="I2052" s="365"/>
      <c r="J2052" s="365" t="s">
        <v>343</v>
      </c>
      <c r="K2052" s="247">
        <f>SUM(K2049:K2051)</f>
        <v>179.51402017424451</v>
      </c>
      <c r="L2052" s="365" t="s">
        <v>205</v>
      </c>
      <c r="M2052" s="54"/>
      <c r="N2052" s="54"/>
      <c r="O2052" s="336"/>
      <c r="P2052" s="334"/>
      <c r="Q2052" s="335"/>
      <c r="R2052" s="336"/>
      <c r="S2052" s="337"/>
    </row>
    <row r="2053" spans="1:19" ht="30" customHeight="1" x14ac:dyDescent="0.25">
      <c r="A2053" s="365"/>
      <c r="B2053" s="578"/>
      <c r="C2053" s="578"/>
      <c r="D2053" s="578"/>
      <c r="E2053" s="247"/>
      <c r="F2053" s="1272" t="s">
        <v>303</v>
      </c>
      <c r="G2053" s="1283" t="s">
        <v>304</v>
      </c>
      <c r="H2053" s="1283"/>
      <c r="I2053" s="1283"/>
      <c r="J2053" s="1283"/>
      <c r="K2053" s="250">
        <v>1.08</v>
      </c>
      <c r="L2053" s="365"/>
      <c r="M2053" s="54"/>
      <c r="N2053" s="54"/>
      <c r="O2053" s="336"/>
      <c r="P2053" s="334"/>
      <c r="Q2053" s="335"/>
      <c r="R2053" s="336"/>
      <c r="S2053" s="337"/>
    </row>
    <row r="2054" spans="1:19" ht="30" customHeight="1" x14ac:dyDescent="0.25">
      <c r="A2054" s="365"/>
      <c r="B2054" s="578"/>
      <c r="C2054" s="578"/>
      <c r="D2054" s="578"/>
      <c r="E2054" s="247"/>
      <c r="F2054" s="1273"/>
      <c r="G2054" s="1284" t="s">
        <v>438</v>
      </c>
      <c r="H2054" s="1284"/>
      <c r="I2054" s="1284"/>
      <c r="J2054" s="1284"/>
      <c r="K2054" s="250">
        <v>1.08</v>
      </c>
      <c r="L2054" s="365"/>
      <c r="M2054" s="54"/>
      <c r="O2054" s="336"/>
      <c r="P2054" s="334"/>
      <c r="Q2054" s="335"/>
      <c r="R2054" s="336"/>
      <c r="S2054" s="337"/>
    </row>
    <row r="2055" spans="1:19" ht="30" customHeight="1" x14ac:dyDescent="0.25">
      <c r="A2055" s="365"/>
      <c r="B2055" s="365"/>
      <c r="C2055" s="366"/>
      <c r="D2055" s="366"/>
      <c r="E2055" s="366"/>
      <c r="F2055" s="366"/>
      <c r="G2055" s="366"/>
      <c r="H2055" s="366"/>
      <c r="I2055" s="366"/>
      <c r="J2055" s="366" t="s">
        <v>72</v>
      </c>
      <c r="K2055" s="246">
        <f>+K2052*K2053/K2054</f>
        <v>179.51402017424451</v>
      </c>
      <c r="L2055" s="365" t="s">
        <v>205</v>
      </c>
      <c r="M2055" s="54"/>
      <c r="N2055" s="54"/>
      <c r="O2055" s="336"/>
      <c r="P2055" s="334"/>
      <c r="Q2055" s="335"/>
      <c r="R2055" s="336"/>
      <c r="S2055" s="337"/>
    </row>
    <row r="2056" spans="1:19" ht="30" customHeight="1" x14ac:dyDescent="0.25">
      <c r="A2056" s="365"/>
      <c r="B2056" s="365"/>
      <c r="C2056" s="366"/>
      <c r="D2056" s="366"/>
      <c r="E2056" s="366"/>
      <c r="F2056" s="366"/>
      <c r="G2056" s="580" t="s">
        <v>306</v>
      </c>
      <c r="H2056" s="366"/>
      <c r="I2056" s="366"/>
      <c r="J2056" s="521">
        <f>VLOOKUP(B2047,'Mil Cost Premiums for PUCs'!$A$4:$R$277,18,FALSE)</f>
        <v>1.1932356231980656</v>
      </c>
      <c r="K2056" s="246">
        <f>+K2055*J2056</f>
        <v>214.20252373540478</v>
      </c>
      <c r="L2056" s="365" t="s">
        <v>205</v>
      </c>
      <c r="M2056" s="54"/>
      <c r="N2056" s="54"/>
      <c r="O2056" s="336"/>
      <c r="P2056" s="334"/>
      <c r="Q2056" s="335"/>
      <c r="R2056" s="336"/>
      <c r="S2056" s="337"/>
    </row>
    <row r="2057" spans="1:19" ht="30" customHeight="1" thickBot="1" x14ac:dyDescent="0.3">
      <c r="A2057" s="844"/>
      <c r="B2057" s="844"/>
      <c r="C2057" s="471"/>
      <c r="D2057" s="471"/>
      <c r="E2057" s="471"/>
      <c r="F2057" s="1278" t="s">
        <v>1148</v>
      </c>
      <c r="G2057" s="1278"/>
      <c r="H2057" s="1278"/>
      <c r="I2057" s="1278"/>
      <c r="J2057" s="845">
        <v>1.0833999999999999</v>
      </c>
      <c r="K2057" s="544">
        <f>K2056*J2057</f>
        <v>232.06701421493753</v>
      </c>
      <c r="L2057" s="369" t="s">
        <v>205</v>
      </c>
      <c r="N2057" s="54"/>
      <c r="O2057" s="336"/>
      <c r="P2057" s="334"/>
      <c r="Q2057" s="335"/>
      <c r="R2057" s="336"/>
      <c r="S2057" s="337"/>
    </row>
    <row r="2058" spans="1:19" ht="30" customHeight="1" thickBot="1" x14ac:dyDescent="0.3">
      <c r="A2058" s="1180"/>
      <c r="B2058" s="1181"/>
      <c r="C2058" s="1181"/>
      <c r="D2058" s="1181"/>
      <c r="E2058" s="1181"/>
      <c r="F2058" s="1181"/>
      <c r="G2058" s="1181"/>
      <c r="H2058" s="1181"/>
      <c r="I2058" s="1181"/>
      <c r="J2058" s="1181"/>
      <c r="K2058" s="1181"/>
      <c r="L2058" s="1182"/>
      <c r="M2058" s="54"/>
      <c r="N2058" s="54"/>
      <c r="O2058" s="554"/>
      <c r="P2058" s="334"/>
      <c r="Q2058" s="335"/>
      <c r="R2058" s="336"/>
      <c r="S2058" s="337"/>
    </row>
    <row r="2059" spans="1:19" ht="30" customHeight="1" x14ac:dyDescent="0.25">
      <c r="A2059" s="327" t="s">
        <v>5</v>
      </c>
      <c r="B2059" s="328">
        <v>2231</v>
      </c>
      <c r="C2059" s="1233" t="s">
        <v>1345</v>
      </c>
      <c r="D2059" s="1234"/>
      <c r="E2059" s="331" t="s">
        <v>8</v>
      </c>
      <c r="F2059" s="332" t="s">
        <v>205</v>
      </c>
      <c r="G2059" s="342" t="s">
        <v>74</v>
      </c>
      <c r="H2059" s="653">
        <v>45940</v>
      </c>
      <c r="I2059" s="331" t="s">
        <v>10</v>
      </c>
      <c r="J2059" s="1220" t="s">
        <v>3388</v>
      </c>
      <c r="K2059" s="1220"/>
      <c r="L2059" s="1221"/>
      <c r="M2059" s="54"/>
      <c r="N2059" s="54"/>
      <c r="O2059" s="554"/>
      <c r="P2059" s="334"/>
      <c r="Q2059" s="335"/>
      <c r="R2059" s="336"/>
      <c r="S2059" s="337"/>
    </row>
    <row r="2060" spans="1:19" ht="30" customHeight="1" x14ac:dyDescent="0.25">
      <c r="A2060" s="359" t="s">
        <v>295</v>
      </c>
      <c r="B2060" s="1222" t="s">
        <v>326</v>
      </c>
      <c r="C2060" s="1235"/>
      <c r="D2060" s="1223"/>
      <c r="E2060" s="577" t="s">
        <v>116</v>
      </c>
      <c r="F2060" s="577" t="s">
        <v>117</v>
      </c>
      <c r="G2060" s="1236" t="s">
        <v>118</v>
      </c>
      <c r="H2060" s="1237"/>
      <c r="I2060" s="356" t="s">
        <v>296</v>
      </c>
      <c r="J2060" s="356"/>
      <c r="K2060" s="1236" t="s">
        <v>285</v>
      </c>
      <c r="L2060" s="1237"/>
      <c r="M2060" s="54"/>
      <c r="N2060" s="54"/>
      <c r="O2060" s="336"/>
      <c r="P2060" s="334"/>
      <c r="Q2060" s="335"/>
      <c r="R2060" s="336"/>
      <c r="S2060" s="337"/>
    </row>
    <row r="2061" spans="1:19" ht="30" customHeight="1" x14ac:dyDescent="0.25">
      <c r="A2061" s="365" t="s">
        <v>1135</v>
      </c>
      <c r="B2061" s="1209" t="s">
        <v>1346</v>
      </c>
      <c r="C2061" s="1210"/>
      <c r="D2061" s="1211"/>
      <c r="E2061" s="247">
        <f>155-2.21</f>
        <v>152.79</v>
      </c>
      <c r="F2061" s="365" t="s">
        <v>205</v>
      </c>
      <c r="G2061" s="365"/>
      <c r="H2061" s="365"/>
      <c r="I2061" s="365">
        <v>1.01</v>
      </c>
      <c r="J2061" s="365"/>
      <c r="K2061" s="247">
        <f>+E2061*I2061</f>
        <v>154.31789999999998</v>
      </c>
      <c r="L2061" s="365" t="s">
        <v>205</v>
      </c>
      <c r="M2061" s="54"/>
      <c r="N2061" s="54"/>
      <c r="O2061" s="336"/>
      <c r="P2061" s="334"/>
      <c r="Q2061" s="335"/>
      <c r="R2061" s="336"/>
      <c r="S2061" s="337"/>
    </row>
    <row r="2062" spans="1:19" ht="30" customHeight="1" x14ac:dyDescent="0.25">
      <c r="A2062" s="365" t="s">
        <v>520</v>
      </c>
      <c r="B2062" s="1209" t="s">
        <v>1347</v>
      </c>
      <c r="C2062" s="1210"/>
      <c r="D2062" s="1211"/>
      <c r="E2062" s="11">
        <v>224000</v>
      </c>
      <c r="F2062" s="365" t="s">
        <v>1274</v>
      </c>
      <c r="G2062" s="846">
        <f>+H2059</f>
        <v>45940</v>
      </c>
      <c r="H2062" s="662" t="s">
        <v>1269</v>
      </c>
      <c r="I2062" s="365">
        <v>1.02</v>
      </c>
      <c r="J2062" s="365"/>
      <c r="K2062" s="247">
        <f>(E2062*2)/G2062*I2062</f>
        <v>9.9468872442316059</v>
      </c>
      <c r="L2062" s="365" t="s">
        <v>205</v>
      </c>
      <c r="M2062" s="54"/>
      <c r="N2062" s="54"/>
      <c r="O2062" s="554"/>
      <c r="P2062" s="334"/>
      <c r="Q2062" s="335"/>
      <c r="R2062" s="336"/>
      <c r="S2062" s="337"/>
    </row>
    <row r="2063" spans="1:19" ht="30" customHeight="1" x14ac:dyDescent="0.25">
      <c r="A2063" s="365" t="s">
        <v>406</v>
      </c>
      <c r="B2063" s="1214" t="s">
        <v>1348</v>
      </c>
      <c r="C2063" s="1215"/>
      <c r="D2063" s="1216"/>
      <c r="E2063" s="247">
        <v>3.31</v>
      </c>
      <c r="F2063" s="661" t="s">
        <v>205</v>
      </c>
      <c r="G2063" s="366"/>
      <c r="H2063" s="662"/>
      <c r="I2063" s="365">
        <v>1.01</v>
      </c>
      <c r="J2063" s="365"/>
      <c r="K2063" s="247">
        <f>+E2063*I2063</f>
        <v>3.3431000000000002</v>
      </c>
      <c r="L2063" s="365" t="s">
        <v>205</v>
      </c>
      <c r="M2063" s="54"/>
      <c r="N2063" s="54"/>
      <c r="O2063" s="554"/>
      <c r="P2063" s="334"/>
      <c r="Q2063" s="335"/>
      <c r="R2063" s="336"/>
      <c r="S2063" s="337"/>
    </row>
    <row r="2064" spans="1:19" ht="30" customHeight="1" x14ac:dyDescent="0.25">
      <c r="A2064" s="365"/>
      <c r="B2064" s="1209"/>
      <c r="C2064" s="1210"/>
      <c r="D2064" s="1211"/>
      <c r="E2064" s="247"/>
      <c r="F2064" s="365"/>
      <c r="G2064" s="366"/>
      <c r="H2064" s="662"/>
      <c r="I2064" s="365"/>
      <c r="J2064" s="365" t="s">
        <v>343</v>
      </c>
      <c r="K2064" s="247">
        <f>SUM(K2061:K2063)</f>
        <v>167.60788724423159</v>
      </c>
      <c r="L2064" s="365" t="s">
        <v>205</v>
      </c>
      <c r="M2064" s="54"/>
      <c r="N2064" s="54"/>
      <c r="P2064" s="334"/>
      <c r="Q2064" s="335"/>
      <c r="R2064" s="336"/>
      <c r="S2064" s="337"/>
    </row>
    <row r="2065" spans="1:25" ht="30" customHeight="1" x14ac:dyDescent="0.25">
      <c r="A2065" s="365"/>
      <c r="B2065" s="578"/>
      <c r="C2065" s="578"/>
      <c r="D2065" s="578"/>
      <c r="E2065" s="247"/>
      <c r="F2065" s="1272" t="s">
        <v>303</v>
      </c>
      <c r="G2065" s="1555" t="s">
        <v>304</v>
      </c>
      <c r="H2065" s="1556"/>
      <c r="I2065" s="1556"/>
      <c r="J2065" s="1557"/>
      <c r="K2065" s="250">
        <v>1.1000000000000001</v>
      </c>
      <c r="L2065" s="365"/>
      <c r="M2065" s="54"/>
      <c r="N2065" s="111"/>
      <c r="O2065" s="340"/>
      <c r="P2065" s="334"/>
      <c r="Q2065" s="335"/>
      <c r="R2065" s="336"/>
      <c r="S2065" s="337"/>
    </row>
    <row r="2066" spans="1:25" ht="30" customHeight="1" x14ac:dyDescent="0.25">
      <c r="A2066" s="365"/>
      <c r="B2066" s="578"/>
      <c r="C2066" s="578"/>
      <c r="D2066" s="578"/>
      <c r="E2066" s="247"/>
      <c r="F2066" s="1273"/>
      <c r="G2066" s="1284" t="s">
        <v>438</v>
      </c>
      <c r="H2066" s="1284"/>
      <c r="I2066" s="1284"/>
      <c r="J2066" s="1284"/>
      <c r="K2066" s="250">
        <v>1.08</v>
      </c>
      <c r="L2066" s="365"/>
      <c r="M2066" s="54"/>
      <c r="O2066" s="336"/>
      <c r="P2066" s="334"/>
      <c r="Q2066" s="335"/>
      <c r="R2066" s="336"/>
      <c r="S2066" s="337"/>
    </row>
    <row r="2067" spans="1:25" ht="30" customHeight="1" x14ac:dyDescent="0.25">
      <c r="A2067" s="365"/>
      <c r="B2067" s="1398" t="s">
        <v>1349</v>
      </c>
      <c r="C2067" s="1399"/>
      <c r="D2067" s="1400"/>
      <c r="E2067" s="366"/>
      <c r="F2067" s="366"/>
      <c r="G2067" s="366"/>
      <c r="H2067" s="366"/>
      <c r="I2067" s="366"/>
      <c r="J2067" s="366" t="s">
        <v>72</v>
      </c>
      <c r="K2067" s="246">
        <f>+K2064*K2065/K2066</f>
        <v>170.71173700801367</v>
      </c>
      <c r="L2067" s="365" t="s">
        <v>205</v>
      </c>
      <c r="M2067" s="54"/>
      <c r="N2067" s="54"/>
      <c r="O2067" s="554"/>
      <c r="P2067" s="334"/>
      <c r="Q2067" s="335"/>
      <c r="R2067" s="336"/>
      <c r="S2067" s="337"/>
    </row>
    <row r="2068" spans="1:25" ht="30" customHeight="1" x14ac:dyDescent="0.25">
      <c r="A2068" s="365"/>
      <c r="B2068" s="365"/>
      <c r="C2068" s="366"/>
      <c r="D2068" s="366"/>
      <c r="E2068" s="366"/>
      <c r="F2068" s="366"/>
      <c r="G2068" s="580" t="s">
        <v>306</v>
      </c>
      <c r="H2068" s="366"/>
      <c r="I2068" s="366"/>
      <c r="J2068" s="521">
        <f>VLOOKUP(B2059,'Mil Cost Premiums for PUCs'!$A$4:$R$277,18,FALSE)</f>
        <v>1.1932356231980656</v>
      </c>
      <c r="K2068" s="246">
        <f>+K2067*J2068</f>
        <v>203.69932589598147</v>
      </c>
      <c r="L2068" s="365" t="s">
        <v>205</v>
      </c>
      <c r="M2068" s="54"/>
      <c r="N2068" s="54"/>
      <c r="O2068" s="543"/>
      <c r="P2068" s="344"/>
      <c r="Q2068" s="345"/>
      <c r="R2068" s="345"/>
      <c r="S2068" s="345"/>
      <c r="T2068" s="345"/>
    </row>
    <row r="2069" spans="1:25" ht="30" customHeight="1" thickBot="1" x14ac:dyDescent="0.3">
      <c r="A2069" s="844"/>
      <c r="B2069" s="844"/>
      <c r="C2069" s="471"/>
      <c r="D2069" s="471"/>
      <c r="E2069" s="471"/>
      <c r="F2069" s="1278" t="s">
        <v>1148</v>
      </c>
      <c r="G2069" s="1278"/>
      <c r="H2069" s="1278"/>
      <c r="I2069" s="1278"/>
      <c r="J2069" s="845">
        <v>1.0833999999999999</v>
      </c>
      <c r="K2069" s="544">
        <f>K2068*J2069</f>
        <v>220.6878496757063</v>
      </c>
      <c r="L2069" s="369" t="s">
        <v>205</v>
      </c>
      <c r="N2069" s="54"/>
      <c r="U2069" s="345"/>
    </row>
    <row r="2070" spans="1:25" ht="30" customHeight="1" thickBot="1" x14ac:dyDescent="0.3">
      <c r="A2070" s="1180"/>
      <c r="B2070" s="1181"/>
      <c r="C2070" s="1181"/>
      <c r="D2070" s="1181"/>
      <c r="E2070" s="1181"/>
      <c r="F2070" s="1181"/>
      <c r="G2070" s="1181"/>
      <c r="H2070" s="1181"/>
      <c r="I2070" s="1181"/>
      <c r="J2070" s="1181"/>
      <c r="K2070" s="1181"/>
      <c r="L2070" s="1182"/>
      <c r="M2070" s="54"/>
      <c r="N2070" s="54"/>
    </row>
    <row r="2071" spans="1:25" ht="30" customHeight="1" x14ac:dyDescent="0.25">
      <c r="A2071" s="327" t="s">
        <v>5</v>
      </c>
      <c r="B2071" s="328">
        <v>2241</v>
      </c>
      <c r="C2071" s="1251" t="s">
        <v>1350</v>
      </c>
      <c r="D2071" s="1252"/>
      <c r="E2071" s="331" t="s">
        <v>8</v>
      </c>
      <c r="F2071" s="332" t="s">
        <v>205</v>
      </c>
      <c r="G2071" s="342" t="s">
        <v>74</v>
      </c>
      <c r="H2071" s="653">
        <v>62381</v>
      </c>
      <c r="I2071" s="331" t="s">
        <v>10</v>
      </c>
      <c r="J2071" s="1220" t="s">
        <v>3388</v>
      </c>
      <c r="K2071" s="1220"/>
      <c r="L2071" s="1221"/>
      <c r="M2071" s="54"/>
      <c r="N2071" s="112"/>
      <c r="T2071" s="60"/>
      <c r="V2071" s="345"/>
      <c r="W2071" s="345"/>
      <c r="X2071" s="345"/>
      <c r="Y2071" s="345"/>
    </row>
    <row r="2072" spans="1:25" s="345" customFormat="1" ht="30" customHeight="1" x14ac:dyDescent="0.25">
      <c r="A2072" s="359" t="s">
        <v>295</v>
      </c>
      <c r="B2072" s="1222" t="s">
        <v>326</v>
      </c>
      <c r="C2072" s="1235"/>
      <c r="D2072" s="1223"/>
      <c r="E2072" s="577" t="s">
        <v>116</v>
      </c>
      <c r="F2072" s="577" t="s">
        <v>117</v>
      </c>
      <c r="G2072" s="1194" t="s">
        <v>118</v>
      </c>
      <c r="H2072" s="1195"/>
      <c r="I2072" s="356" t="s">
        <v>296</v>
      </c>
      <c r="J2072" s="356"/>
      <c r="K2072" s="1236" t="s">
        <v>285</v>
      </c>
      <c r="L2072" s="1237"/>
      <c r="M2072" s="54"/>
      <c r="N2072" s="54"/>
      <c r="O2072" s="334"/>
      <c r="P2072" s="340"/>
      <c r="Q2072" s="334"/>
      <c r="R2072" s="334"/>
      <c r="S2072" s="334"/>
      <c r="T2072" s="10"/>
      <c r="U2072" s="60"/>
      <c r="V2072" s="334"/>
      <c r="W2072" s="334"/>
      <c r="X2072" s="334"/>
      <c r="Y2072" s="334"/>
    </row>
    <row r="2073" spans="1:25" ht="30" customHeight="1" x14ac:dyDescent="0.25">
      <c r="A2073" s="365" t="s">
        <v>1135</v>
      </c>
      <c r="B2073" s="1209" t="s">
        <v>1346</v>
      </c>
      <c r="C2073" s="1210"/>
      <c r="D2073" s="1211"/>
      <c r="E2073" s="247">
        <f>155-2.51</f>
        <v>152.49</v>
      </c>
      <c r="F2073" s="365" t="s">
        <v>205</v>
      </c>
      <c r="G2073" s="365"/>
      <c r="H2073" s="365"/>
      <c r="I2073" s="365">
        <v>1.01</v>
      </c>
      <c r="J2073" s="365"/>
      <c r="K2073" s="247">
        <f>+E2073*I2073</f>
        <v>154.01490000000001</v>
      </c>
      <c r="L2073" s="365" t="s">
        <v>205</v>
      </c>
      <c r="M2073" s="54"/>
      <c r="N2073" s="54"/>
      <c r="Q2073" s="335"/>
      <c r="R2073" s="336"/>
      <c r="S2073" s="337"/>
      <c r="U2073" s="10"/>
    </row>
    <row r="2074" spans="1:25" ht="30" customHeight="1" x14ac:dyDescent="0.25">
      <c r="A2074" s="365" t="s">
        <v>520</v>
      </c>
      <c r="B2074" s="1209" t="s">
        <v>1347</v>
      </c>
      <c r="C2074" s="1210"/>
      <c r="D2074" s="1211"/>
      <c r="E2074" s="11">
        <v>224000</v>
      </c>
      <c r="F2074" s="365" t="s">
        <v>76</v>
      </c>
      <c r="G2074" s="846">
        <f>+H2071</f>
        <v>62381</v>
      </c>
      <c r="H2074" s="662" t="s">
        <v>1269</v>
      </c>
      <c r="I2074" s="365">
        <v>1.02</v>
      </c>
      <c r="J2074" s="365"/>
      <c r="K2074" s="247">
        <f>+E2074/G2074*I2074*2</f>
        <v>7.3253073852615378</v>
      </c>
      <c r="L2074" s="365" t="s">
        <v>205</v>
      </c>
      <c r="M2074" s="54"/>
      <c r="N2074" s="54"/>
      <c r="O2074" s="63"/>
      <c r="P2074" s="63"/>
      <c r="Q2074" s="335"/>
      <c r="R2074" s="336"/>
      <c r="S2074" s="337"/>
    </row>
    <row r="2075" spans="1:25" ht="30" customHeight="1" x14ac:dyDescent="0.25">
      <c r="A2075" s="365" t="s">
        <v>406</v>
      </c>
      <c r="B2075" s="1214" t="s">
        <v>1351</v>
      </c>
      <c r="C2075" s="1215"/>
      <c r="D2075" s="1215"/>
      <c r="E2075" s="247">
        <v>3.2</v>
      </c>
      <c r="F2075" s="661" t="s">
        <v>205</v>
      </c>
      <c r="G2075" s="366"/>
      <c r="H2075" s="662"/>
      <c r="I2075" s="365">
        <v>1.01</v>
      </c>
      <c r="J2075" s="365"/>
      <c r="K2075" s="247">
        <f>+E2075*I2075</f>
        <v>3.2320000000000002</v>
      </c>
      <c r="L2075" s="365" t="s">
        <v>205</v>
      </c>
      <c r="M2075" s="54"/>
      <c r="N2075" s="54"/>
      <c r="O2075" s="63"/>
      <c r="P2075" s="63"/>
      <c r="Q2075" s="335"/>
      <c r="R2075" s="336"/>
      <c r="S2075" s="337"/>
    </row>
    <row r="2076" spans="1:25" ht="30" customHeight="1" x14ac:dyDescent="0.25">
      <c r="A2076" s="365"/>
      <c r="B2076" s="1281"/>
      <c r="C2076" s="1281"/>
      <c r="D2076" s="1281"/>
      <c r="E2076" s="247"/>
      <c r="F2076" s="365"/>
      <c r="G2076" s="366"/>
      <c r="H2076" s="662"/>
      <c r="I2076" s="365"/>
      <c r="J2076" s="365" t="s">
        <v>343</v>
      </c>
      <c r="K2076" s="247">
        <f>SUM(K2073:K2075)</f>
        <v>164.57220738526155</v>
      </c>
      <c r="L2076" s="365" t="s">
        <v>205</v>
      </c>
      <c r="M2076" s="54"/>
      <c r="N2076" s="54"/>
      <c r="O2076" s="63"/>
      <c r="P2076" s="63"/>
      <c r="Q2076" s="335"/>
      <c r="R2076" s="336"/>
      <c r="S2076" s="337"/>
    </row>
    <row r="2077" spans="1:25" ht="30" customHeight="1" x14ac:dyDescent="0.25">
      <c r="A2077" s="365"/>
      <c r="B2077" s="578"/>
      <c r="C2077" s="578"/>
      <c r="D2077" s="578"/>
      <c r="E2077" s="247"/>
      <c r="F2077" s="1272" t="s">
        <v>303</v>
      </c>
      <c r="G2077" s="1283" t="s">
        <v>304</v>
      </c>
      <c r="H2077" s="1283"/>
      <c r="I2077" s="1283"/>
      <c r="J2077" s="1283"/>
      <c r="K2077" s="250">
        <v>1.1000000000000001</v>
      </c>
      <c r="L2077" s="365"/>
      <c r="M2077" s="54"/>
      <c r="O2077" s="336"/>
      <c r="P2077" s="334"/>
      <c r="Q2077" s="335"/>
      <c r="R2077" s="336"/>
      <c r="S2077" s="337"/>
    </row>
    <row r="2078" spans="1:25" ht="30" customHeight="1" x14ac:dyDescent="0.25">
      <c r="A2078" s="365"/>
      <c r="B2078" s="578"/>
      <c r="C2078" s="578"/>
      <c r="D2078" s="578"/>
      <c r="E2078" s="247"/>
      <c r="F2078" s="1273"/>
      <c r="G2078" s="1284" t="s">
        <v>438</v>
      </c>
      <c r="H2078" s="1284"/>
      <c r="I2078" s="1284"/>
      <c r="J2078" s="1284"/>
      <c r="K2078" s="250">
        <v>1.08</v>
      </c>
      <c r="L2078" s="365"/>
      <c r="M2078" s="54"/>
      <c r="N2078" s="54"/>
      <c r="O2078" s="544"/>
      <c r="P2078" s="544"/>
      <c r="Q2078" s="335"/>
      <c r="R2078" s="336"/>
      <c r="S2078" s="337"/>
    </row>
    <row r="2079" spans="1:25" ht="30" customHeight="1" x14ac:dyDescent="0.25">
      <c r="A2079" s="365"/>
      <c r="B2079" s="1398" t="s">
        <v>1352</v>
      </c>
      <c r="C2079" s="1399"/>
      <c r="D2079" s="1399"/>
      <c r="E2079" s="1400"/>
      <c r="F2079" s="366"/>
      <c r="G2079" s="366"/>
      <c r="H2079" s="366"/>
      <c r="I2079" s="366"/>
      <c r="J2079" s="366" t="s">
        <v>72</v>
      </c>
      <c r="K2079" s="246">
        <f>+K2076*K2077/K2078</f>
        <v>167.61984085535897</v>
      </c>
      <c r="L2079" s="365" t="s">
        <v>205</v>
      </c>
      <c r="M2079" s="54"/>
      <c r="N2079" s="54"/>
      <c r="O2079" s="544"/>
      <c r="P2079" s="544"/>
      <c r="Q2079" s="335"/>
      <c r="R2079" s="336"/>
      <c r="S2079" s="337"/>
    </row>
    <row r="2080" spans="1:25" ht="30" customHeight="1" x14ac:dyDescent="0.25">
      <c r="A2080" s="365"/>
      <c r="B2080" s="365"/>
      <c r="C2080" s="366"/>
      <c r="D2080" s="366"/>
      <c r="E2080" s="366"/>
      <c r="F2080" s="366"/>
      <c r="G2080" s="580" t="s">
        <v>306</v>
      </c>
      <c r="H2080" s="366"/>
      <c r="I2080" s="366"/>
      <c r="J2080" s="521">
        <f>VLOOKUP(B2071,'Mil Cost Premiums for PUCs'!$A$4:$R$277,18,FALSE)</f>
        <v>1.1932356231980656</v>
      </c>
      <c r="K2080" s="246">
        <f>+K2079*J2080</f>
        <v>200.00996526340484</v>
      </c>
      <c r="L2080" s="365" t="s">
        <v>205</v>
      </c>
      <c r="M2080" s="111"/>
      <c r="N2080" s="54"/>
      <c r="O2080" s="336"/>
      <c r="P2080" s="334"/>
      <c r="Q2080" s="335"/>
      <c r="R2080" s="336"/>
      <c r="S2080" s="337"/>
    </row>
    <row r="2081" spans="1:19" ht="30" customHeight="1" thickBot="1" x14ac:dyDescent="0.3">
      <c r="A2081" s="844"/>
      <c r="B2081" s="844"/>
      <c r="C2081" s="471"/>
      <c r="D2081" s="471"/>
      <c r="E2081" s="471"/>
      <c r="F2081" s="1278" t="s">
        <v>1148</v>
      </c>
      <c r="G2081" s="1278"/>
      <c r="H2081" s="1278"/>
      <c r="I2081" s="1278"/>
      <c r="J2081" s="845">
        <v>1.0833999999999999</v>
      </c>
      <c r="K2081" s="544">
        <f>K2080*J2081</f>
        <v>216.69079636637278</v>
      </c>
      <c r="L2081" s="369" t="s">
        <v>205</v>
      </c>
      <c r="N2081" s="54"/>
      <c r="O2081" s="336"/>
      <c r="P2081" s="334"/>
      <c r="Q2081" s="335"/>
      <c r="R2081" s="336"/>
      <c r="S2081" s="337"/>
    </row>
    <row r="2082" spans="1:19" ht="30" customHeight="1" thickBot="1" x14ac:dyDescent="0.3">
      <c r="A2082" s="1180"/>
      <c r="B2082" s="1181"/>
      <c r="C2082" s="1181"/>
      <c r="D2082" s="1181"/>
      <c r="E2082" s="1181"/>
      <c r="F2082" s="1181"/>
      <c r="G2082" s="1181"/>
      <c r="H2082" s="1181"/>
      <c r="I2082" s="1181"/>
      <c r="J2082" s="1181"/>
      <c r="K2082" s="1181"/>
      <c r="L2082" s="1182"/>
      <c r="M2082" s="54"/>
      <c r="N2082" s="54"/>
      <c r="O2082" s="336"/>
      <c r="P2082" s="334"/>
      <c r="Q2082" s="335"/>
      <c r="R2082" s="336"/>
      <c r="S2082" s="337"/>
    </row>
    <row r="2083" spans="1:19" ht="30" customHeight="1" x14ac:dyDescent="0.25">
      <c r="A2083" s="327" t="s">
        <v>5</v>
      </c>
      <c r="B2083" s="328">
        <v>2242</v>
      </c>
      <c r="C2083" s="1251" t="s">
        <v>1353</v>
      </c>
      <c r="D2083" s="1252"/>
      <c r="E2083" s="331" t="s">
        <v>8</v>
      </c>
      <c r="F2083" s="332" t="s">
        <v>205</v>
      </c>
      <c r="G2083" s="342" t="s">
        <v>74</v>
      </c>
      <c r="H2083" s="653">
        <v>1649</v>
      </c>
      <c r="I2083" s="331" t="s">
        <v>10</v>
      </c>
      <c r="J2083" s="1220" t="s">
        <v>3388</v>
      </c>
      <c r="K2083" s="1220"/>
      <c r="L2083" s="1221"/>
      <c r="M2083" s="54"/>
      <c r="N2083" s="54"/>
      <c r="O2083" s="336"/>
      <c r="P2083" s="334"/>
      <c r="Q2083" s="335"/>
      <c r="R2083" s="336"/>
      <c r="S2083" s="337"/>
    </row>
    <row r="2084" spans="1:19" ht="30" customHeight="1" x14ac:dyDescent="0.25">
      <c r="A2084" s="359" t="s">
        <v>295</v>
      </c>
      <c r="B2084" s="1222" t="s">
        <v>326</v>
      </c>
      <c r="C2084" s="1235"/>
      <c r="D2084" s="1223"/>
      <c r="E2084" s="577" t="s">
        <v>116</v>
      </c>
      <c r="F2084" s="577" t="s">
        <v>117</v>
      </c>
      <c r="G2084" s="1194" t="s">
        <v>118</v>
      </c>
      <c r="H2084" s="1195"/>
      <c r="I2084" s="356" t="s">
        <v>296</v>
      </c>
      <c r="J2084" s="356"/>
      <c r="K2084" s="1236" t="s">
        <v>285</v>
      </c>
      <c r="L2084" s="1237"/>
      <c r="M2084" s="54"/>
      <c r="N2084" s="54"/>
      <c r="O2084" s="336"/>
      <c r="P2084" s="334"/>
      <c r="Q2084" s="335"/>
      <c r="R2084" s="336"/>
      <c r="S2084" s="337"/>
    </row>
    <row r="2085" spans="1:19" ht="30" customHeight="1" x14ac:dyDescent="0.25">
      <c r="A2085" s="365" t="s">
        <v>1135</v>
      </c>
      <c r="B2085" s="1209" t="s">
        <v>1354</v>
      </c>
      <c r="C2085" s="1210"/>
      <c r="D2085" s="1211"/>
      <c r="E2085" s="247">
        <f>79.5-2.51</f>
        <v>76.989999999999995</v>
      </c>
      <c r="F2085" s="365" t="s">
        <v>205</v>
      </c>
      <c r="G2085" s="365"/>
      <c r="H2085" s="365"/>
      <c r="I2085" s="251">
        <v>1.03</v>
      </c>
      <c r="J2085" s="365"/>
      <c r="K2085" s="247">
        <f>+E2085*I2085</f>
        <v>79.299700000000001</v>
      </c>
      <c r="L2085" s="365" t="s">
        <v>205</v>
      </c>
      <c r="M2085" s="54"/>
      <c r="N2085" s="54"/>
      <c r="O2085" s="336"/>
      <c r="P2085" s="334"/>
      <c r="Q2085" s="335"/>
      <c r="R2085" s="336"/>
      <c r="S2085" s="337"/>
    </row>
    <row r="2086" spans="1:19" ht="30" customHeight="1" x14ac:dyDescent="0.25">
      <c r="A2086" s="365" t="s">
        <v>406</v>
      </c>
      <c r="B2086" s="1214" t="s">
        <v>1339</v>
      </c>
      <c r="C2086" s="1215"/>
      <c r="D2086" s="1215"/>
      <c r="E2086" s="247">
        <v>4.1500000000000004</v>
      </c>
      <c r="F2086" s="661" t="s">
        <v>205</v>
      </c>
      <c r="G2086" s="366"/>
      <c r="H2086" s="662"/>
      <c r="I2086" s="251">
        <v>1.03</v>
      </c>
      <c r="J2086" s="365"/>
      <c r="K2086" s="247">
        <f>+E2086*I2086</f>
        <v>4.2745000000000006</v>
      </c>
      <c r="L2086" s="365" t="s">
        <v>205</v>
      </c>
      <c r="M2086" s="112"/>
      <c r="N2086" s="54"/>
      <c r="O2086" s="336"/>
      <c r="P2086" s="334"/>
      <c r="Q2086" s="335"/>
      <c r="R2086" s="336"/>
      <c r="S2086" s="337"/>
    </row>
    <row r="2087" spans="1:19" ht="30" customHeight="1" x14ac:dyDescent="0.25">
      <c r="A2087" s="365"/>
      <c r="B2087" s="1281"/>
      <c r="C2087" s="1281"/>
      <c r="D2087" s="1281"/>
      <c r="E2087" s="247"/>
      <c r="F2087" s="365"/>
      <c r="G2087" s="366"/>
      <c r="H2087" s="662"/>
      <c r="I2087" s="365"/>
      <c r="J2087" s="365" t="s">
        <v>343</v>
      </c>
      <c r="K2087" s="247">
        <f>SUM(K2085:K2086)</f>
        <v>83.574200000000005</v>
      </c>
      <c r="L2087" s="365" t="s">
        <v>205</v>
      </c>
      <c r="M2087" s="54"/>
      <c r="N2087" s="54"/>
      <c r="O2087" s="336"/>
      <c r="P2087" s="334"/>
      <c r="Q2087" s="335"/>
      <c r="R2087" s="336"/>
      <c r="S2087" s="337"/>
    </row>
    <row r="2088" spans="1:19" ht="30" customHeight="1" x14ac:dyDescent="0.25">
      <c r="A2088" s="365"/>
      <c r="B2088" s="578"/>
      <c r="C2088" s="578"/>
      <c r="D2088" s="578"/>
      <c r="E2088" s="247"/>
      <c r="F2088" s="1272" t="s">
        <v>303</v>
      </c>
      <c r="G2088" s="1283" t="s">
        <v>304</v>
      </c>
      <c r="H2088" s="1283"/>
      <c r="I2088" s="1283"/>
      <c r="J2088" s="1283"/>
      <c r="K2088" s="250">
        <v>1.07</v>
      </c>
      <c r="L2088" s="365"/>
      <c r="M2088" s="54"/>
      <c r="N2088" s="54"/>
      <c r="O2088" s="336"/>
      <c r="P2088" s="334"/>
      <c r="Q2088" s="335"/>
      <c r="R2088" s="336"/>
      <c r="S2088" s="337"/>
    </row>
    <row r="2089" spans="1:19" ht="30" customHeight="1" x14ac:dyDescent="0.25">
      <c r="A2089" s="365"/>
      <c r="B2089" s="578"/>
      <c r="C2089" s="578"/>
      <c r="D2089" s="578"/>
      <c r="E2089" s="247"/>
      <c r="F2089" s="1273"/>
      <c r="G2089" s="1284" t="s">
        <v>438</v>
      </c>
      <c r="H2089" s="1284"/>
      <c r="I2089" s="1284"/>
      <c r="J2089" s="1284"/>
      <c r="K2089" s="250">
        <v>1.08</v>
      </c>
      <c r="L2089" s="365"/>
      <c r="M2089" s="54"/>
      <c r="N2089" s="54"/>
      <c r="O2089" s="336"/>
      <c r="P2089" s="334"/>
      <c r="Q2089" s="335"/>
      <c r="R2089" s="336"/>
      <c r="S2089" s="337"/>
    </row>
    <row r="2090" spans="1:19" ht="30" customHeight="1" x14ac:dyDescent="0.25">
      <c r="A2090" s="365"/>
      <c r="B2090" s="365"/>
      <c r="C2090" s="366"/>
      <c r="D2090" s="366"/>
      <c r="E2090" s="366"/>
      <c r="F2090" s="366"/>
      <c r="G2090" s="366"/>
      <c r="H2090" s="366"/>
      <c r="I2090" s="366"/>
      <c r="J2090" s="365" t="s">
        <v>72</v>
      </c>
      <c r="K2090" s="246">
        <f>+K2087*K2088/K2089</f>
        <v>82.800364814814813</v>
      </c>
      <c r="L2090" s="365" t="s">
        <v>205</v>
      </c>
      <c r="M2090" s="54"/>
      <c r="N2090" s="54"/>
      <c r="O2090" s="336"/>
      <c r="P2090" s="334"/>
      <c r="Q2090" s="335"/>
      <c r="R2090" s="336"/>
      <c r="S2090" s="337"/>
    </row>
    <row r="2091" spans="1:19" ht="30" customHeight="1" thickBot="1" x14ac:dyDescent="0.3">
      <c r="A2091" s="486"/>
      <c r="B2091" s="1403" t="s">
        <v>1355</v>
      </c>
      <c r="C2091" s="1404"/>
      <c r="D2091" s="1405"/>
      <c r="E2091" s="366"/>
      <c r="F2091" s="366"/>
      <c r="G2091" s="580" t="s">
        <v>306</v>
      </c>
      <c r="H2091" s="366"/>
      <c r="I2091" s="366"/>
      <c r="J2091" s="521">
        <f>VLOOKUP(B2083,'Mil Cost Premiums for PUCs'!$A$4:$R$277,18,FALSE)</f>
        <v>1.1199953840399997</v>
      </c>
      <c r="K2091" s="246">
        <f>+K2090*J2091</f>
        <v>92.736026389420587</v>
      </c>
      <c r="L2091" s="365" t="s">
        <v>205</v>
      </c>
      <c r="M2091" s="54"/>
      <c r="N2091" s="54"/>
      <c r="O2091" s="336"/>
      <c r="P2091" s="334"/>
      <c r="Q2091" s="335"/>
      <c r="R2091" s="336"/>
      <c r="S2091" s="337"/>
    </row>
    <row r="2092" spans="1:19" ht="30" customHeight="1" thickBot="1" x14ac:dyDescent="0.3">
      <c r="A2092" s="844"/>
      <c r="B2092" s="844"/>
      <c r="C2092" s="471"/>
      <c r="D2092" s="471"/>
      <c r="E2092" s="471"/>
      <c r="F2092" s="1278" t="s">
        <v>1148</v>
      </c>
      <c r="G2092" s="1278"/>
      <c r="H2092" s="1278"/>
      <c r="I2092" s="1278"/>
      <c r="J2092" s="845">
        <v>1.0833999999999999</v>
      </c>
      <c r="K2092" s="544">
        <f>K2091*J2092</f>
        <v>100.47021099029826</v>
      </c>
      <c r="L2092" s="369" t="s">
        <v>205</v>
      </c>
      <c r="O2092" s="336"/>
      <c r="P2092" s="334"/>
      <c r="Q2092" s="335"/>
      <c r="R2092" s="336"/>
      <c r="S2092" s="337"/>
    </row>
    <row r="2093" spans="1:19" ht="30" customHeight="1" thickBot="1" x14ac:dyDescent="0.3">
      <c r="A2093" s="1180"/>
      <c r="B2093" s="1181"/>
      <c r="C2093" s="1181"/>
      <c r="D2093" s="1181"/>
      <c r="E2093" s="1181"/>
      <c r="F2093" s="1181"/>
      <c r="G2093" s="1181"/>
      <c r="H2093" s="1181"/>
      <c r="I2093" s="1181"/>
      <c r="J2093" s="1181"/>
      <c r="K2093" s="1181"/>
      <c r="L2093" s="1182"/>
      <c r="M2093" s="54"/>
      <c r="N2093" s="54"/>
      <c r="O2093" s="635"/>
      <c r="P2093" s="334"/>
      <c r="Q2093" s="335"/>
      <c r="R2093" s="336"/>
      <c r="S2093" s="337"/>
    </row>
    <row r="2094" spans="1:19" ht="30" customHeight="1" x14ac:dyDescent="0.25">
      <c r="A2094" s="327" t="s">
        <v>5</v>
      </c>
      <c r="B2094" s="328">
        <v>2251</v>
      </c>
      <c r="C2094" s="1251" t="s">
        <v>1356</v>
      </c>
      <c r="D2094" s="1252"/>
      <c r="E2094" s="331" t="s">
        <v>8</v>
      </c>
      <c r="F2094" s="332" t="s">
        <v>205</v>
      </c>
      <c r="G2094" s="342" t="s">
        <v>74</v>
      </c>
      <c r="H2094" s="653">
        <v>50483</v>
      </c>
      <c r="I2094" s="331" t="s">
        <v>10</v>
      </c>
      <c r="J2094" s="1220" t="s">
        <v>3388</v>
      </c>
      <c r="K2094" s="1220"/>
      <c r="L2094" s="1221"/>
      <c r="M2094" s="54"/>
      <c r="N2094" s="54"/>
      <c r="O2094" s="635"/>
      <c r="P2094" s="334"/>
      <c r="Q2094" s="335"/>
      <c r="R2094" s="336"/>
      <c r="S2094" s="337"/>
    </row>
    <row r="2095" spans="1:19" ht="30" customHeight="1" x14ac:dyDescent="0.25">
      <c r="A2095" s="359" t="s">
        <v>295</v>
      </c>
      <c r="B2095" s="1222" t="s">
        <v>326</v>
      </c>
      <c r="C2095" s="1235"/>
      <c r="D2095" s="1223"/>
      <c r="E2095" s="577" t="s">
        <v>116</v>
      </c>
      <c r="F2095" s="577" t="s">
        <v>117</v>
      </c>
      <c r="G2095" s="1194" t="s">
        <v>118</v>
      </c>
      <c r="H2095" s="1195"/>
      <c r="I2095" s="356" t="s">
        <v>296</v>
      </c>
      <c r="J2095" s="356"/>
      <c r="K2095" s="1236" t="s">
        <v>285</v>
      </c>
      <c r="L2095" s="1237"/>
      <c r="M2095" s="54"/>
      <c r="N2095" s="54"/>
      <c r="O2095" s="336"/>
      <c r="P2095" s="334"/>
      <c r="Q2095" s="335"/>
      <c r="R2095" s="336"/>
      <c r="S2095" s="337"/>
    </row>
    <row r="2096" spans="1:19" ht="30" customHeight="1" x14ac:dyDescent="0.25">
      <c r="A2096" s="365" t="s">
        <v>1135</v>
      </c>
      <c r="B2096" s="1209" t="s">
        <v>1357</v>
      </c>
      <c r="C2096" s="1210"/>
      <c r="D2096" s="1211"/>
      <c r="E2096" s="247">
        <f>164-2.51</f>
        <v>161.49</v>
      </c>
      <c r="F2096" s="365" t="s">
        <v>205</v>
      </c>
      <c r="G2096" s="365"/>
      <c r="H2096" s="365"/>
      <c r="I2096" s="365">
        <v>1.01</v>
      </c>
      <c r="J2096" s="365"/>
      <c r="K2096" s="247">
        <f>+E2096*I2096</f>
        <v>163.10490000000001</v>
      </c>
      <c r="L2096" s="365" t="s">
        <v>205</v>
      </c>
      <c r="M2096" s="54"/>
      <c r="N2096" s="54"/>
      <c r="O2096" s="336"/>
      <c r="P2096" s="334"/>
      <c r="Q2096" s="335"/>
      <c r="R2096" s="336"/>
      <c r="S2096" s="337"/>
    </row>
    <row r="2097" spans="1:19" ht="30" customHeight="1" x14ac:dyDescent="0.25">
      <c r="A2097" s="365" t="s">
        <v>520</v>
      </c>
      <c r="B2097" s="1209" t="s">
        <v>1347</v>
      </c>
      <c r="C2097" s="1210"/>
      <c r="D2097" s="1211"/>
      <c r="E2097" s="246">
        <v>224000</v>
      </c>
      <c r="F2097" s="365" t="s">
        <v>76</v>
      </c>
      <c r="G2097" s="846">
        <f>+H2094</f>
        <v>50483</v>
      </c>
      <c r="H2097" s="662" t="s">
        <v>1269</v>
      </c>
      <c r="I2097" s="365">
        <v>1.02</v>
      </c>
      <c r="J2097" s="365"/>
      <c r="K2097" s="247">
        <f>+(E2097*2)/G2097*I2097</f>
        <v>9.0517599984153083</v>
      </c>
      <c r="L2097" s="365" t="s">
        <v>205</v>
      </c>
      <c r="M2097" s="54"/>
      <c r="N2097" s="54"/>
      <c r="O2097" s="336"/>
      <c r="P2097" s="334"/>
      <c r="Q2097" s="335"/>
      <c r="R2097" s="336"/>
      <c r="S2097" s="337"/>
    </row>
    <row r="2098" spans="1:19" ht="30" customHeight="1" x14ac:dyDescent="0.25">
      <c r="A2098" s="365" t="s">
        <v>520</v>
      </c>
      <c r="B2098" s="1209" t="s">
        <v>1358</v>
      </c>
      <c r="C2098" s="1210"/>
      <c r="D2098" s="1211"/>
      <c r="E2098" s="11">
        <f>(23.75+47.75)/2</f>
        <v>35.75</v>
      </c>
      <c r="F2098" s="365" t="s">
        <v>40</v>
      </c>
      <c r="G2098" s="587">
        <v>250</v>
      </c>
      <c r="H2098" s="662" t="s">
        <v>1359</v>
      </c>
      <c r="I2098" s="365">
        <v>1.02</v>
      </c>
      <c r="J2098" s="365"/>
      <c r="K2098" s="247">
        <f>+E2098*G2098/G2097*I2098</f>
        <v>0.18058059148624289</v>
      </c>
      <c r="L2098" s="365" t="s">
        <v>205</v>
      </c>
      <c r="M2098" s="54"/>
      <c r="N2098" s="54"/>
      <c r="O2098" s="340"/>
      <c r="P2098" s="334"/>
      <c r="Q2098" s="335"/>
      <c r="R2098" s="336"/>
      <c r="S2098" s="337"/>
    </row>
    <row r="2099" spans="1:19" ht="30" customHeight="1" x14ac:dyDescent="0.25">
      <c r="A2099" s="365" t="s">
        <v>406</v>
      </c>
      <c r="B2099" s="1214" t="s">
        <v>1360</v>
      </c>
      <c r="C2099" s="1215"/>
      <c r="D2099" s="1216"/>
      <c r="E2099" s="247">
        <v>3.31</v>
      </c>
      <c r="F2099" s="661" t="s">
        <v>205</v>
      </c>
      <c r="G2099" s="366"/>
      <c r="H2099" s="662"/>
      <c r="I2099" s="365">
        <v>1.01</v>
      </c>
      <c r="J2099" s="365"/>
      <c r="K2099" s="247">
        <f>+E2099*I2099</f>
        <v>3.3431000000000002</v>
      </c>
      <c r="L2099" s="365" t="s">
        <v>205</v>
      </c>
      <c r="M2099" s="54"/>
      <c r="N2099" s="54"/>
      <c r="O2099" s="336"/>
      <c r="P2099" s="334"/>
      <c r="Q2099" s="335"/>
      <c r="R2099" s="336"/>
      <c r="S2099" s="337"/>
    </row>
    <row r="2100" spans="1:19" ht="30" customHeight="1" x14ac:dyDescent="0.25">
      <c r="A2100" s="365" t="s">
        <v>406</v>
      </c>
      <c r="B2100" s="1209" t="s">
        <v>1279</v>
      </c>
      <c r="C2100" s="1210"/>
      <c r="D2100" s="1211"/>
      <c r="E2100" s="247">
        <f>+E2099*0.15</f>
        <v>0.4965</v>
      </c>
      <c r="F2100" s="661" t="s">
        <v>205</v>
      </c>
      <c r="G2100" s="567"/>
      <c r="H2100" s="247"/>
      <c r="I2100" s="365">
        <v>1.01</v>
      </c>
      <c r="J2100" s="365"/>
      <c r="K2100" s="246">
        <f>E2100*I2100</f>
        <v>0.50146500000000005</v>
      </c>
      <c r="L2100" s="365" t="s">
        <v>205</v>
      </c>
      <c r="M2100" s="54"/>
      <c r="N2100" s="54"/>
      <c r="P2100" s="335"/>
      <c r="Q2100" s="336"/>
      <c r="R2100" s="337"/>
    </row>
    <row r="2101" spans="1:19" ht="30" customHeight="1" x14ac:dyDescent="0.25">
      <c r="A2101" s="365" t="s">
        <v>406</v>
      </c>
      <c r="B2101" s="1209" t="s">
        <v>1255</v>
      </c>
      <c r="C2101" s="1210"/>
      <c r="D2101" s="1211"/>
      <c r="E2101" s="246">
        <f xml:space="preserve"> 0.58+((1.15+1.71)/2)</f>
        <v>2.0099999999999998</v>
      </c>
      <c r="F2101" s="661" t="s">
        <v>205</v>
      </c>
      <c r="G2101" s="567"/>
      <c r="H2101" s="246"/>
      <c r="I2101" s="365">
        <v>1.01</v>
      </c>
      <c r="J2101" s="365"/>
      <c r="K2101" s="246">
        <f>E2101*I2101</f>
        <v>2.0301</v>
      </c>
      <c r="L2101" s="365" t="s">
        <v>205</v>
      </c>
      <c r="M2101" s="54"/>
      <c r="N2101" s="54"/>
      <c r="O2101" s="336"/>
      <c r="P2101" s="334"/>
      <c r="Q2101" s="335"/>
      <c r="R2101" s="336"/>
      <c r="S2101" s="337"/>
    </row>
    <row r="2102" spans="1:19" ht="30" customHeight="1" x14ac:dyDescent="0.25">
      <c r="A2102" s="369"/>
      <c r="B2102" s="1407"/>
      <c r="C2102" s="1407"/>
      <c r="D2102" s="1407"/>
      <c r="E2102" s="247"/>
      <c r="F2102" s="365"/>
      <c r="G2102" s="366"/>
      <c r="H2102" s="662"/>
      <c r="I2102" s="365"/>
      <c r="J2102" s="365" t="s">
        <v>343</v>
      </c>
      <c r="K2102" s="247">
        <f>SUM(K2096:K2101)</f>
        <v>178.21190558990156</v>
      </c>
      <c r="L2102" s="365" t="s">
        <v>205</v>
      </c>
      <c r="M2102" s="54"/>
      <c r="N2102" s="54"/>
      <c r="O2102" s="336"/>
      <c r="P2102" s="334"/>
      <c r="Q2102" s="335"/>
      <c r="R2102" s="336"/>
      <c r="S2102" s="337"/>
    </row>
    <row r="2103" spans="1:19" ht="30" customHeight="1" x14ac:dyDescent="0.25">
      <c r="A2103" s="835"/>
      <c r="B2103" s="847"/>
      <c r="C2103" s="847"/>
      <c r="D2103" s="847"/>
      <c r="E2103" s="163"/>
      <c r="F2103" s="1272" t="s">
        <v>303</v>
      </c>
      <c r="G2103" s="1283" t="s">
        <v>304</v>
      </c>
      <c r="H2103" s="1283"/>
      <c r="I2103" s="1283"/>
      <c r="J2103" s="1283"/>
      <c r="K2103" s="250">
        <v>1.08</v>
      </c>
      <c r="L2103" s="365"/>
      <c r="M2103" s="54"/>
      <c r="N2103" s="54"/>
      <c r="O2103" s="336"/>
      <c r="P2103" s="334"/>
      <c r="Q2103" s="335"/>
      <c r="R2103" s="336"/>
      <c r="S2103" s="337"/>
    </row>
    <row r="2104" spans="1:19" ht="30" customHeight="1" x14ac:dyDescent="0.25">
      <c r="A2104" s="835"/>
      <c r="B2104" s="847"/>
      <c r="C2104" s="847"/>
      <c r="D2104" s="847"/>
      <c r="E2104" s="163"/>
      <c r="F2104" s="1273"/>
      <c r="G2104" s="1284" t="s">
        <v>438</v>
      </c>
      <c r="H2104" s="1284"/>
      <c r="I2104" s="1284"/>
      <c r="J2104" s="1284"/>
      <c r="K2104" s="250">
        <v>1.08</v>
      </c>
      <c r="L2104" s="365"/>
      <c r="M2104" s="54"/>
      <c r="N2104" s="54"/>
      <c r="O2104" s="336"/>
      <c r="P2104" s="334"/>
      <c r="Q2104" s="335"/>
      <c r="R2104" s="336"/>
      <c r="S2104" s="337"/>
    </row>
    <row r="2105" spans="1:19" ht="30" customHeight="1" x14ac:dyDescent="0.25">
      <c r="A2105" s="835"/>
      <c r="B2105" s="1418"/>
      <c r="C2105" s="1418"/>
      <c r="D2105" s="1418"/>
      <c r="E2105" s="848"/>
      <c r="F2105" s="366"/>
      <c r="G2105" s="366"/>
      <c r="H2105" s="366"/>
      <c r="I2105" s="366"/>
      <c r="J2105" s="365" t="s">
        <v>72</v>
      </c>
      <c r="K2105" s="246">
        <f>+K2102*K2103/K2104</f>
        <v>178.21190558990156</v>
      </c>
      <c r="L2105" s="365" t="s">
        <v>205</v>
      </c>
      <c r="M2105" s="54"/>
      <c r="O2105" s="336"/>
      <c r="P2105" s="334"/>
      <c r="Q2105" s="335"/>
      <c r="R2105" s="336"/>
      <c r="S2105" s="337"/>
    </row>
    <row r="2106" spans="1:19" ht="30" customHeight="1" x14ac:dyDescent="0.25">
      <c r="A2106" s="835"/>
      <c r="B2106" s="849"/>
      <c r="C2106" s="849"/>
      <c r="D2106" s="849"/>
      <c r="E2106" s="391"/>
      <c r="F2106" s="366"/>
      <c r="G2106" s="580" t="s">
        <v>306</v>
      </c>
      <c r="H2106" s="366"/>
      <c r="I2106" s="366"/>
      <c r="J2106" s="521">
        <f>VLOOKUP(B2094,'Mil Cost Premiums for PUCs'!$A$4:$R$277,18,FALSE)</f>
        <v>1.1932356231980656</v>
      </c>
      <c r="K2106" s="246">
        <f>+K2105*J2106</f>
        <v>212.64879422788104</v>
      </c>
      <c r="L2106" s="365" t="s">
        <v>205</v>
      </c>
      <c r="M2106" s="54"/>
      <c r="N2106" s="54"/>
      <c r="O2106" s="336"/>
      <c r="P2106" s="334"/>
      <c r="Q2106" s="335"/>
      <c r="R2106" s="336"/>
      <c r="S2106" s="337"/>
    </row>
    <row r="2107" spans="1:19" ht="30" customHeight="1" thickBot="1" x14ac:dyDescent="0.3">
      <c r="A2107" s="835"/>
      <c r="B2107" s="835"/>
      <c r="C2107" s="840"/>
      <c r="D2107" s="840"/>
      <c r="E2107" s="850"/>
      <c r="F2107" s="1278" t="s">
        <v>1148</v>
      </c>
      <c r="G2107" s="1278"/>
      <c r="H2107" s="1278"/>
      <c r="I2107" s="1278"/>
      <c r="J2107" s="845">
        <v>1.0833999999999999</v>
      </c>
      <c r="K2107" s="544">
        <f>K2106*J2107</f>
        <v>230.3837036664863</v>
      </c>
      <c r="L2107" s="369" t="s">
        <v>205</v>
      </c>
      <c r="N2107" s="54"/>
      <c r="O2107" s="336"/>
      <c r="P2107" s="334"/>
      <c r="Q2107" s="335"/>
      <c r="R2107" s="336"/>
      <c r="S2107" s="337"/>
    </row>
    <row r="2108" spans="1:19" ht="30" customHeight="1" thickBot="1" x14ac:dyDescent="0.3">
      <c r="A2108" s="1414"/>
      <c r="B2108" s="1415"/>
      <c r="C2108" s="1415"/>
      <c r="D2108" s="1415"/>
      <c r="E2108" s="1181"/>
      <c r="F2108" s="1181"/>
      <c r="G2108" s="1181"/>
      <c r="H2108" s="1181"/>
      <c r="I2108" s="1181"/>
      <c r="J2108" s="1181"/>
      <c r="K2108" s="1181"/>
      <c r="L2108" s="1182"/>
      <c r="M2108" s="54"/>
      <c r="N2108" s="111"/>
      <c r="O2108" s="336"/>
      <c r="P2108" s="334"/>
      <c r="Q2108" s="335"/>
      <c r="R2108" s="336"/>
      <c r="S2108" s="337"/>
    </row>
    <row r="2109" spans="1:19" ht="30" customHeight="1" x14ac:dyDescent="0.25">
      <c r="A2109" s="327" t="s">
        <v>5</v>
      </c>
      <c r="B2109" s="328">
        <v>2252</v>
      </c>
      <c r="C2109" s="1251" t="s">
        <v>1361</v>
      </c>
      <c r="D2109" s="1252"/>
      <c r="E2109" s="331" t="s">
        <v>8</v>
      </c>
      <c r="F2109" s="332" t="s">
        <v>205</v>
      </c>
      <c r="G2109" s="342" t="s">
        <v>74</v>
      </c>
      <c r="H2109" s="653">
        <v>44872</v>
      </c>
      <c r="I2109" s="331" t="s">
        <v>10</v>
      </c>
      <c r="J2109" s="1220" t="s">
        <v>3388</v>
      </c>
      <c r="K2109" s="1220"/>
      <c r="L2109" s="1221"/>
      <c r="M2109" s="54"/>
      <c r="N2109" s="54"/>
      <c r="O2109" s="336"/>
      <c r="P2109" s="334"/>
      <c r="Q2109" s="335"/>
      <c r="R2109" s="336"/>
      <c r="S2109" s="337"/>
    </row>
    <row r="2110" spans="1:19" ht="30" customHeight="1" x14ac:dyDescent="0.25">
      <c r="A2110" s="359" t="s">
        <v>295</v>
      </c>
      <c r="B2110" s="1222" t="s">
        <v>326</v>
      </c>
      <c r="C2110" s="1235"/>
      <c r="D2110" s="1223"/>
      <c r="E2110" s="577" t="s">
        <v>116</v>
      </c>
      <c r="F2110" s="577" t="s">
        <v>117</v>
      </c>
      <c r="G2110" s="1194" t="s">
        <v>118</v>
      </c>
      <c r="H2110" s="1195"/>
      <c r="I2110" s="356" t="s">
        <v>296</v>
      </c>
      <c r="J2110" s="356"/>
      <c r="K2110" s="1236" t="s">
        <v>285</v>
      </c>
      <c r="L2110" s="1237"/>
      <c r="M2110" s="54"/>
      <c r="N2110" s="54"/>
      <c r="O2110" s="336"/>
      <c r="P2110" s="334"/>
      <c r="Q2110" s="335"/>
      <c r="R2110" s="336"/>
      <c r="S2110" s="337"/>
    </row>
    <row r="2111" spans="1:19" ht="30" customHeight="1" x14ac:dyDescent="0.25">
      <c r="A2111" s="365" t="s">
        <v>1135</v>
      </c>
      <c r="B2111" s="1209" t="s">
        <v>1354</v>
      </c>
      <c r="C2111" s="1210"/>
      <c r="D2111" s="1211"/>
      <c r="E2111" s="247">
        <f>79.5-2.51</f>
        <v>76.989999999999995</v>
      </c>
      <c r="F2111" s="365" t="s">
        <v>205</v>
      </c>
      <c r="G2111" s="365"/>
      <c r="H2111" s="365"/>
      <c r="I2111" s="365">
        <v>1.01</v>
      </c>
      <c r="J2111" s="365"/>
      <c r="K2111" s="247">
        <f>+E2111*I2111</f>
        <v>77.759900000000002</v>
      </c>
      <c r="L2111" s="365" t="s">
        <v>205</v>
      </c>
      <c r="M2111" s="54"/>
      <c r="N2111" s="54"/>
      <c r="O2111" s="336"/>
      <c r="P2111" s="334"/>
      <c r="Q2111" s="335"/>
      <c r="R2111" s="336"/>
      <c r="S2111" s="337"/>
    </row>
    <row r="2112" spans="1:19" ht="30" customHeight="1" x14ac:dyDescent="0.25">
      <c r="A2112" s="365" t="s">
        <v>406</v>
      </c>
      <c r="B2112" s="1214" t="s">
        <v>1362</v>
      </c>
      <c r="C2112" s="1215"/>
      <c r="D2112" s="1215"/>
      <c r="E2112" s="247">
        <v>2.66</v>
      </c>
      <c r="F2112" s="661" t="s">
        <v>205</v>
      </c>
      <c r="G2112" s="366"/>
      <c r="H2112" s="662"/>
      <c r="I2112" s="365">
        <v>1.01</v>
      </c>
      <c r="J2112" s="365"/>
      <c r="K2112" s="247">
        <f>+E2112*I2112</f>
        <v>2.6866000000000003</v>
      </c>
      <c r="L2112" s="365" t="s">
        <v>205</v>
      </c>
      <c r="M2112" s="54"/>
      <c r="N2112" s="54"/>
      <c r="O2112" s="336"/>
      <c r="P2112" s="334"/>
      <c r="Q2112" s="335"/>
      <c r="R2112" s="336"/>
      <c r="S2112" s="337"/>
    </row>
    <row r="2113" spans="1:19" ht="30" customHeight="1" x14ac:dyDescent="0.25">
      <c r="A2113" s="365" t="s">
        <v>406</v>
      </c>
      <c r="B2113" s="1209" t="s">
        <v>1279</v>
      </c>
      <c r="C2113" s="1210"/>
      <c r="D2113" s="1211"/>
      <c r="E2113" s="247">
        <f>+E2112*0.15</f>
        <v>0.39900000000000002</v>
      </c>
      <c r="F2113" s="661" t="s">
        <v>205</v>
      </c>
      <c r="G2113" s="567"/>
      <c r="H2113" s="246"/>
      <c r="I2113" s="365">
        <v>1.01</v>
      </c>
      <c r="J2113" s="365"/>
      <c r="K2113" s="246">
        <f>E2113*I2113</f>
        <v>0.40299000000000001</v>
      </c>
      <c r="L2113" s="365" t="s">
        <v>205</v>
      </c>
      <c r="M2113" s="54"/>
      <c r="N2113" s="112"/>
      <c r="O2113" s="336"/>
      <c r="P2113" s="334"/>
      <c r="Q2113" s="335"/>
      <c r="R2113" s="336"/>
      <c r="S2113" s="337"/>
    </row>
    <row r="2114" spans="1:19" ht="30" customHeight="1" x14ac:dyDescent="0.25">
      <c r="A2114" s="365" t="s">
        <v>406</v>
      </c>
      <c r="B2114" s="1209" t="s">
        <v>1255</v>
      </c>
      <c r="C2114" s="1210"/>
      <c r="D2114" s="1211"/>
      <c r="E2114" s="246">
        <f xml:space="preserve"> 0.58+((1.15+1.71)/2)</f>
        <v>2.0099999999999998</v>
      </c>
      <c r="F2114" s="661" t="s">
        <v>205</v>
      </c>
      <c r="G2114" s="567"/>
      <c r="H2114" s="246"/>
      <c r="I2114" s="365">
        <v>1.01</v>
      </c>
      <c r="J2114" s="365"/>
      <c r="K2114" s="246">
        <f>E2114*I2114</f>
        <v>2.0301</v>
      </c>
      <c r="L2114" s="365" t="s">
        <v>205</v>
      </c>
      <c r="M2114" s="54"/>
      <c r="N2114" s="54"/>
      <c r="O2114" s="336"/>
      <c r="P2114" s="334"/>
      <c r="Q2114" s="335"/>
      <c r="R2114" s="336"/>
      <c r="S2114" s="337"/>
    </row>
    <row r="2115" spans="1:19" ht="30" customHeight="1" x14ac:dyDescent="0.25">
      <c r="A2115" s="365"/>
      <c r="B2115" s="1281"/>
      <c r="C2115" s="1281"/>
      <c r="D2115" s="1281"/>
      <c r="E2115" s="247"/>
      <c r="F2115" s="365"/>
      <c r="G2115" s="366"/>
      <c r="H2115" s="662"/>
      <c r="I2115" s="365"/>
      <c r="J2115" s="365" t="s">
        <v>343</v>
      </c>
      <c r="K2115" s="247">
        <f>SUM(K2111:K2114)</f>
        <v>82.879590000000007</v>
      </c>
      <c r="L2115" s="365" t="s">
        <v>205</v>
      </c>
      <c r="M2115" s="54"/>
      <c r="N2115" s="54"/>
      <c r="O2115" s="336"/>
      <c r="P2115" s="334"/>
      <c r="Q2115" s="335"/>
      <c r="R2115" s="336"/>
      <c r="S2115" s="337"/>
    </row>
    <row r="2116" spans="1:19" ht="30" customHeight="1" x14ac:dyDescent="0.25">
      <c r="A2116" s="365"/>
      <c r="B2116" s="578"/>
      <c r="C2116" s="578"/>
      <c r="D2116" s="578"/>
      <c r="E2116" s="247"/>
      <c r="F2116" s="1272" t="s">
        <v>303</v>
      </c>
      <c r="G2116" s="1283" t="s">
        <v>304</v>
      </c>
      <c r="H2116" s="1283"/>
      <c r="I2116" s="1283"/>
      <c r="J2116" s="1283"/>
      <c r="K2116" s="250">
        <v>1.07</v>
      </c>
      <c r="L2116" s="365"/>
      <c r="M2116" s="54"/>
      <c r="N2116" s="54"/>
      <c r="O2116" s="336"/>
      <c r="P2116" s="334"/>
      <c r="Q2116" s="335"/>
      <c r="R2116" s="336"/>
      <c r="S2116" s="337"/>
    </row>
    <row r="2117" spans="1:19" ht="30" customHeight="1" x14ac:dyDescent="0.25">
      <c r="A2117" s="365"/>
      <c r="B2117" s="578"/>
      <c r="C2117" s="578"/>
      <c r="D2117" s="578"/>
      <c r="E2117" s="247"/>
      <c r="F2117" s="1273"/>
      <c r="G2117" s="1284" t="s">
        <v>438</v>
      </c>
      <c r="H2117" s="1284"/>
      <c r="I2117" s="1284"/>
      <c r="J2117" s="1284"/>
      <c r="K2117" s="250">
        <v>1.08</v>
      </c>
      <c r="L2117" s="365"/>
      <c r="M2117" s="54"/>
      <c r="N2117" s="54"/>
      <c r="P2117" s="335"/>
      <c r="Q2117" s="336"/>
    </row>
    <row r="2118" spans="1:19" ht="30" customHeight="1" x14ac:dyDescent="0.25">
      <c r="A2118" s="365"/>
      <c r="B2118" s="365"/>
      <c r="C2118" s="366"/>
      <c r="D2118" s="366"/>
      <c r="E2118" s="366"/>
      <c r="F2118" s="366"/>
      <c r="G2118" s="366"/>
      <c r="H2118" s="366"/>
      <c r="I2118" s="366"/>
      <c r="J2118" s="366" t="s">
        <v>72</v>
      </c>
      <c r="K2118" s="246">
        <f>+K2115*K2116/K2117</f>
        <v>82.112186388888901</v>
      </c>
      <c r="L2118" s="365" t="s">
        <v>205</v>
      </c>
      <c r="M2118" s="54"/>
      <c r="N2118" s="54"/>
      <c r="P2118" s="335"/>
      <c r="Q2118" s="336"/>
    </row>
    <row r="2119" spans="1:19" ht="30" customHeight="1" thickBot="1" x14ac:dyDescent="0.3">
      <c r="A2119" s="365"/>
      <c r="B2119" s="1408"/>
      <c r="C2119" s="1409"/>
      <c r="D2119" s="1410"/>
      <c r="E2119" s="366"/>
      <c r="F2119" s="366"/>
      <c r="G2119" s="580" t="s">
        <v>306</v>
      </c>
      <c r="H2119" s="366"/>
      <c r="I2119" s="366"/>
      <c r="J2119" s="521">
        <f>VLOOKUP(B2109,'Mil Cost Premiums for PUCs'!$A$4:$R$277,18,FALSE)</f>
        <v>1.1932356231980656</v>
      </c>
      <c r="K2119" s="246">
        <f>+K2118*J2119</f>
        <v>97.979185897901573</v>
      </c>
      <c r="L2119" s="365" t="s">
        <v>205</v>
      </c>
      <c r="M2119" s="54"/>
      <c r="N2119" s="54"/>
      <c r="P2119" s="335"/>
      <c r="Q2119" s="336"/>
    </row>
    <row r="2120" spans="1:19" ht="30" customHeight="1" thickBot="1" x14ac:dyDescent="0.3">
      <c r="A2120" s="835"/>
      <c r="B2120" s="835"/>
      <c r="C2120" s="840"/>
      <c r="D2120" s="840"/>
      <c r="E2120" s="850"/>
      <c r="F2120" s="1278" t="s">
        <v>1148</v>
      </c>
      <c r="G2120" s="1278"/>
      <c r="H2120" s="1278"/>
      <c r="I2120" s="1278"/>
      <c r="J2120" s="845">
        <v>1.0833999999999999</v>
      </c>
      <c r="K2120" s="544">
        <f>K2119*J2120</f>
        <v>106.15065000178656</v>
      </c>
      <c r="L2120" s="369" t="s">
        <v>205</v>
      </c>
      <c r="O2120" s="336"/>
      <c r="P2120" s="334"/>
      <c r="Q2120" s="335"/>
      <c r="R2120" s="336"/>
      <c r="S2120" s="337"/>
    </row>
    <row r="2121" spans="1:19" ht="30" customHeight="1" thickBot="1" x14ac:dyDescent="0.3">
      <c r="A2121" s="1180"/>
      <c r="B2121" s="1181"/>
      <c r="C2121" s="1181"/>
      <c r="D2121" s="1181"/>
      <c r="E2121" s="1181"/>
      <c r="F2121" s="1181"/>
      <c r="G2121" s="1181"/>
      <c r="H2121" s="1181"/>
      <c r="I2121" s="1181"/>
      <c r="J2121" s="1181"/>
      <c r="K2121" s="1181"/>
      <c r="L2121" s="1182"/>
      <c r="M2121" s="54"/>
      <c r="N2121" s="54"/>
      <c r="P2121" s="335"/>
      <c r="Q2121" s="336"/>
    </row>
    <row r="2122" spans="1:19" ht="30" customHeight="1" x14ac:dyDescent="0.25">
      <c r="A2122" s="327" t="s">
        <v>5</v>
      </c>
      <c r="B2122" s="328">
        <v>2261</v>
      </c>
      <c r="C2122" s="1251" t="s">
        <v>1363</v>
      </c>
      <c r="D2122" s="1252"/>
      <c r="E2122" s="331" t="s">
        <v>8</v>
      </c>
      <c r="F2122" s="332" t="s">
        <v>205</v>
      </c>
      <c r="G2122" s="342" t="s">
        <v>74</v>
      </c>
      <c r="H2122" s="653">
        <v>7500</v>
      </c>
      <c r="I2122" s="331" t="s">
        <v>10</v>
      </c>
      <c r="J2122" s="1220" t="s">
        <v>3388</v>
      </c>
      <c r="K2122" s="1220"/>
      <c r="L2122" s="1221"/>
      <c r="M2122" s="54"/>
      <c r="N2122" s="54"/>
      <c r="P2122" s="335"/>
      <c r="Q2122" s="336"/>
    </row>
    <row r="2123" spans="1:19" ht="30" customHeight="1" x14ac:dyDescent="0.25">
      <c r="A2123" s="359" t="s">
        <v>295</v>
      </c>
      <c r="B2123" s="1222" t="s">
        <v>326</v>
      </c>
      <c r="C2123" s="1235"/>
      <c r="D2123" s="1223"/>
      <c r="E2123" s="577" t="s">
        <v>116</v>
      </c>
      <c r="F2123" s="577" t="s">
        <v>117</v>
      </c>
      <c r="G2123" s="1194" t="s">
        <v>118</v>
      </c>
      <c r="H2123" s="1195"/>
      <c r="I2123" s="356" t="s">
        <v>296</v>
      </c>
      <c r="J2123" s="356"/>
      <c r="K2123" s="1236" t="s">
        <v>285</v>
      </c>
      <c r="L2123" s="1237"/>
      <c r="M2123" s="111"/>
      <c r="N2123" s="54"/>
      <c r="P2123" s="335"/>
      <c r="Q2123" s="336"/>
      <c r="R2123" s="337"/>
    </row>
    <row r="2124" spans="1:19" ht="30" customHeight="1" x14ac:dyDescent="0.25">
      <c r="A2124" s="365" t="s">
        <v>1135</v>
      </c>
      <c r="B2124" s="1209" t="s">
        <v>1364</v>
      </c>
      <c r="C2124" s="1210"/>
      <c r="D2124" s="1211"/>
      <c r="E2124" s="247">
        <f>164-2.51</f>
        <v>161.49</v>
      </c>
      <c r="F2124" s="365" t="s">
        <v>205</v>
      </c>
      <c r="G2124" s="365"/>
      <c r="H2124" s="365"/>
      <c r="I2124" s="365">
        <v>1.01</v>
      </c>
      <c r="J2124" s="365"/>
      <c r="K2124" s="247">
        <f>+E2124*I2124</f>
        <v>163.10490000000001</v>
      </c>
      <c r="L2124" s="365" t="s">
        <v>205</v>
      </c>
      <c r="M2124" s="54"/>
      <c r="P2124" s="335"/>
      <c r="Q2124" s="336"/>
    </row>
    <row r="2125" spans="1:19" ht="30" customHeight="1" x14ac:dyDescent="0.25">
      <c r="A2125" s="365" t="s">
        <v>520</v>
      </c>
      <c r="B2125" s="1209" t="s">
        <v>1365</v>
      </c>
      <c r="C2125" s="1210"/>
      <c r="D2125" s="1211"/>
      <c r="E2125" s="246">
        <v>141000</v>
      </c>
      <c r="F2125" s="365" t="s">
        <v>76</v>
      </c>
      <c r="G2125" s="846">
        <f>+H2122</f>
        <v>7500</v>
      </c>
      <c r="H2125" s="662" t="s">
        <v>1269</v>
      </c>
      <c r="I2125" s="365">
        <v>1.02</v>
      </c>
      <c r="J2125" s="365"/>
      <c r="K2125" s="247">
        <f>+E2125/G2125*I2125</f>
        <v>19.176000000000002</v>
      </c>
      <c r="L2125" s="365" t="s">
        <v>205</v>
      </c>
      <c r="M2125" s="54"/>
      <c r="N2125" s="54"/>
      <c r="P2125" s="335"/>
      <c r="Q2125" s="336"/>
    </row>
    <row r="2126" spans="1:19" ht="30" customHeight="1" x14ac:dyDescent="0.25">
      <c r="A2126" s="365" t="s">
        <v>520</v>
      </c>
      <c r="B2126" s="1209" t="s">
        <v>1358</v>
      </c>
      <c r="C2126" s="1210"/>
      <c r="D2126" s="1211"/>
      <c r="E2126" s="11">
        <f>(23.75+47.75)/2</f>
        <v>35.75</v>
      </c>
      <c r="F2126" s="365" t="s">
        <v>40</v>
      </c>
      <c r="G2126" s="587">
        <v>200</v>
      </c>
      <c r="H2126" s="662" t="s">
        <v>1359</v>
      </c>
      <c r="I2126" s="365">
        <v>1.02</v>
      </c>
      <c r="J2126" s="365"/>
      <c r="K2126" s="247">
        <f>+E2126*G2126/G2125*I2126</f>
        <v>0.97240000000000004</v>
      </c>
      <c r="L2126" s="365" t="s">
        <v>205</v>
      </c>
      <c r="M2126" s="54"/>
      <c r="N2126" s="54"/>
      <c r="O2126" s="336"/>
      <c r="P2126" s="334"/>
      <c r="Q2126" s="335"/>
      <c r="R2126" s="336"/>
      <c r="S2126" s="337"/>
    </row>
    <row r="2127" spans="1:19" ht="30" customHeight="1" x14ac:dyDescent="0.25">
      <c r="A2127" s="365" t="s">
        <v>406</v>
      </c>
      <c r="B2127" s="1214" t="s">
        <v>1366</v>
      </c>
      <c r="C2127" s="1215"/>
      <c r="D2127" s="1215"/>
      <c r="E2127" s="247">
        <v>4.38</v>
      </c>
      <c r="F2127" s="661" t="s">
        <v>205</v>
      </c>
      <c r="G2127" s="366"/>
      <c r="H2127" s="662"/>
      <c r="I2127" s="365">
        <v>1.01</v>
      </c>
      <c r="J2127" s="365"/>
      <c r="K2127" s="247">
        <f>+E2127*I2127</f>
        <v>4.4238</v>
      </c>
      <c r="L2127" s="365" t="s">
        <v>205</v>
      </c>
      <c r="M2127" s="54"/>
      <c r="N2127" s="54"/>
      <c r="O2127" s="336"/>
      <c r="P2127" s="334"/>
      <c r="Q2127" s="335"/>
      <c r="R2127" s="336"/>
      <c r="S2127" s="337"/>
    </row>
    <row r="2128" spans="1:19" ht="30" customHeight="1" x14ac:dyDescent="0.25">
      <c r="A2128" s="365" t="s">
        <v>406</v>
      </c>
      <c r="B2128" s="1209" t="s">
        <v>1279</v>
      </c>
      <c r="C2128" s="1210"/>
      <c r="D2128" s="1211"/>
      <c r="E2128" s="247">
        <f>+E2127*0.15</f>
        <v>0.65699999999999992</v>
      </c>
      <c r="F2128" s="661"/>
      <c r="G2128" s="366"/>
      <c r="H2128" s="662"/>
      <c r="I2128" s="365">
        <v>1.01</v>
      </c>
      <c r="J2128" s="365"/>
      <c r="K2128" s="247">
        <f>+E2128*I2128</f>
        <v>0.66356999999999988</v>
      </c>
      <c r="L2128" s="365" t="s">
        <v>205</v>
      </c>
      <c r="M2128" s="112"/>
      <c r="N2128" s="54"/>
      <c r="O2128" s="336"/>
      <c r="P2128" s="334"/>
      <c r="Q2128" s="335"/>
      <c r="R2128" s="336"/>
      <c r="S2128" s="337"/>
    </row>
    <row r="2129" spans="1:19" ht="30" customHeight="1" x14ac:dyDescent="0.25">
      <c r="A2129" s="365" t="s">
        <v>406</v>
      </c>
      <c r="B2129" s="1209" t="s">
        <v>1255</v>
      </c>
      <c r="C2129" s="1210"/>
      <c r="D2129" s="1211"/>
      <c r="E2129" s="246">
        <f xml:space="preserve"> 0.58+((1.15+1.71)/2)</f>
        <v>2.0099999999999998</v>
      </c>
      <c r="F2129" s="661" t="s">
        <v>205</v>
      </c>
      <c r="G2129" s="567"/>
      <c r="H2129" s="246"/>
      <c r="I2129" s="365">
        <v>1.01</v>
      </c>
      <c r="J2129" s="365"/>
      <c r="K2129" s="246">
        <f>+E2129*I2129</f>
        <v>2.0301</v>
      </c>
      <c r="L2129" s="365" t="s">
        <v>205</v>
      </c>
      <c r="M2129" s="54"/>
      <c r="N2129" s="54"/>
      <c r="O2129" s="336"/>
      <c r="P2129" s="334"/>
      <c r="Q2129" s="335"/>
      <c r="R2129" s="336"/>
      <c r="S2129" s="337"/>
    </row>
    <row r="2130" spans="1:19" ht="30" customHeight="1" x14ac:dyDescent="0.25">
      <c r="A2130" s="365"/>
      <c r="B2130" s="1281"/>
      <c r="C2130" s="1281"/>
      <c r="D2130" s="1281"/>
      <c r="E2130" s="247"/>
      <c r="F2130" s="365"/>
      <c r="G2130" s="366"/>
      <c r="H2130" s="662"/>
      <c r="I2130" s="365"/>
      <c r="J2130" s="365" t="s">
        <v>343</v>
      </c>
      <c r="K2130" s="247">
        <f>SUM(K2124:K2129)</f>
        <v>190.37077000000002</v>
      </c>
      <c r="L2130" s="365" t="s">
        <v>205</v>
      </c>
      <c r="M2130" s="54"/>
      <c r="N2130" s="54"/>
      <c r="O2130" s="336"/>
      <c r="P2130" s="334"/>
      <c r="Q2130" s="335"/>
      <c r="R2130" s="336"/>
      <c r="S2130" s="337"/>
    </row>
    <row r="2131" spans="1:19" ht="30" customHeight="1" x14ac:dyDescent="0.25">
      <c r="A2131" s="365"/>
      <c r="B2131" s="578"/>
      <c r="C2131" s="578"/>
      <c r="D2131" s="578"/>
      <c r="E2131" s="247"/>
      <c r="F2131" s="1272" t="s">
        <v>303</v>
      </c>
      <c r="G2131" s="1283" t="s">
        <v>304</v>
      </c>
      <c r="H2131" s="1283"/>
      <c r="I2131" s="1283"/>
      <c r="J2131" s="1283"/>
      <c r="K2131" s="250">
        <v>1.0900000000000001</v>
      </c>
      <c r="L2131" s="365"/>
      <c r="M2131" s="54"/>
      <c r="N2131" s="54"/>
      <c r="O2131" s="336"/>
      <c r="P2131" s="334"/>
      <c r="Q2131" s="335"/>
      <c r="R2131" s="336"/>
      <c r="S2131" s="337"/>
    </row>
    <row r="2132" spans="1:19" ht="30" customHeight="1" x14ac:dyDescent="0.25">
      <c r="A2132" s="365"/>
      <c r="B2132" s="578"/>
      <c r="C2132" s="578"/>
      <c r="D2132" s="578"/>
      <c r="E2132" s="247"/>
      <c r="F2132" s="1273"/>
      <c r="G2132" s="1284" t="s">
        <v>438</v>
      </c>
      <c r="H2132" s="1284"/>
      <c r="I2132" s="1284"/>
      <c r="J2132" s="1284"/>
      <c r="K2132" s="250">
        <v>1.08</v>
      </c>
      <c r="L2132" s="365"/>
      <c r="M2132" s="54"/>
      <c r="N2132" s="54"/>
      <c r="O2132" s="336"/>
      <c r="P2132" s="334"/>
      <c r="Q2132" s="335"/>
      <c r="R2132" s="336"/>
      <c r="S2132" s="337"/>
    </row>
    <row r="2133" spans="1:19" ht="30" customHeight="1" x14ac:dyDescent="0.25">
      <c r="A2133" s="365"/>
      <c r="B2133" s="1419" t="s">
        <v>1367</v>
      </c>
      <c r="C2133" s="1419"/>
      <c r="D2133" s="1419"/>
      <c r="E2133" s="366"/>
      <c r="F2133" s="366"/>
      <c r="G2133" s="366"/>
      <c r="H2133" s="366"/>
      <c r="I2133" s="366"/>
      <c r="J2133" s="366" t="s">
        <v>72</v>
      </c>
      <c r="K2133" s="246">
        <f>+K2130*K2131/K2132</f>
        <v>192.13346231481484</v>
      </c>
      <c r="L2133" s="365" t="s">
        <v>205</v>
      </c>
      <c r="M2133" s="54"/>
      <c r="O2133" s="336"/>
      <c r="P2133" s="334"/>
      <c r="Q2133" s="335"/>
      <c r="R2133" s="336"/>
      <c r="S2133" s="337"/>
    </row>
    <row r="2134" spans="1:19" ht="30" customHeight="1" thickBot="1" x14ac:dyDescent="0.3">
      <c r="A2134" s="365"/>
      <c r="B2134" s="1411" t="s">
        <v>1368</v>
      </c>
      <c r="C2134" s="1412"/>
      <c r="D2134" s="1413"/>
      <c r="E2134" s="366"/>
      <c r="F2134" s="366"/>
      <c r="G2134" s="580" t="s">
        <v>306</v>
      </c>
      <c r="H2134" s="366"/>
      <c r="I2134" s="366"/>
      <c r="J2134" s="521">
        <f>VLOOKUP(B2122,'Mil Cost Premiums for PUCs'!$A$4:$R$277,18,FALSE)</f>
        <v>1.1932356231980656</v>
      </c>
      <c r="K2134" s="246">
        <f>+K2133*J2134</f>
        <v>229.26049164242013</v>
      </c>
      <c r="L2134" s="365" t="s">
        <v>205</v>
      </c>
      <c r="M2134" s="54"/>
      <c r="N2134" s="54"/>
      <c r="O2134" s="336"/>
      <c r="P2134" s="334"/>
      <c r="Q2134" s="335"/>
      <c r="R2134" s="336"/>
      <c r="S2134" s="337"/>
    </row>
    <row r="2135" spans="1:19" ht="30" customHeight="1" thickBot="1" x14ac:dyDescent="0.3">
      <c r="A2135" s="835"/>
      <c r="B2135" s="835"/>
      <c r="C2135" s="840"/>
      <c r="D2135" s="840"/>
      <c r="E2135" s="850"/>
      <c r="F2135" s="1278" t="s">
        <v>1148</v>
      </c>
      <c r="G2135" s="1278"/>
      <c r="H2135" s="1278"/>
      <c r="I2135" s="1278"/>
      <c r="J2135" s="845">
        <v>1.0833999999999999</v>
      </c>
      <c r="K2135" s="544">
        <f>K2134*J2135</f>
        <v>248.38081664539794</v>
      </c>
      <c r="L2135" s="369" t="s">
        <v>205</v>
      </c>
      <c r="N2135" s="54"/>
      <c r="O2135" s="336"/>
      <c r="P2135" s="334"/>
      <c r="Q2135" s="335"/>
      <c r="R2135" s="336"/>
      <c r="S2135" s="337"/>
    </row>
    <row r="2136" spans="1:19" ht="30" customHeight="1" thickBot="1" x14ac:dyDescent="0.3">
      <c r="A2136" s="1180"/>
      <c r="B2136" s="1181"/>
      <c r="C2136" s="1181"/>
      <c r="D2136" s="1181"/>
      <c r="E2136" s="1181"/>
      <c r="F2136" s="1181"/>
      <c r="G2136" s="1181"/>
      <c r="H2136" s="1181"/>
      <c r="I2136" s="1181"/>
      <c r="J2136" s="1181"/>
      <c r="K2136" s="1181"/>
      <c r="L2136" s="1182"/>
      <c r="M2136" s="54"/>
      <c r="N2136" s="54"/>
      <c r="O2136" s="336"/>
      <c r="P2136" s="334"/>
      <c r="Q2136" s="335"/>
      <c r="R2136" s="336"/>
      <c r="S2136" s="337"/>
    </row>
    <row r="2137" spans="1:19" ht="30" customHeight="1" x14ac:dyDescent="0.25">
      <c r="A2137" s="327" t="s">
        <v>5</v>
      </c>
      <c r="B2137" s="328">
        <v>2262</v>
      </c>
      <c r="C2137" s="1251" t="s">
        <v>1369</v>
      </c>
      <c r="D2137" s="1252"/>
      <c r="E2137" s="331" t="s">
        <v>8</v>
      </c>
      <c r="F2137" s="332" t="s">
        <v>205</v>
      </c>
      <c r="G2137" s="342" t="s">
        <v>74</v>
      </c>
      <c r="H2137" s="653">
        <v>3112</v>
      </c>
      <c r="I2137" s="331" t="s">
        <v>10</v>
      </c>
      <c r="J2137" s="1220" t="s">
        <v>3388</v>
      </c>
      <c r="K2137" s="1220"/>
      <c r="L2137" s="1221"/>
      <c r="M2137" s="54"/>
      <c r="N2137" s="54"/>
      <c r="O2137" s="336"/>
      <c r="P2137" s="334"/>
      <c r="Q2137" s="335"/>
      <c r="R2137" s="336"/>
      <c r="S2137" s="337"/>
    </row>
    <row r="2138" spans="1:19" ht="30" customHeight="1" x14ac:dyDescent="0.25">
      <c r="A2138" s="359" t="s">
        <v>295</v>
      </c>
      <c r="B2138" s="1222" t="s">
        <v>326</v>
      </c>
      <c r="C2138" s="1235"/>
      <c r="D2138" s="1223"/>
      <c r="E2138" s="577" t="s">
        <v>116</v>
      </c>
      <c r="F2138" s="577" t="s">
        <v>117</v>
      </c>
      <c r="G2138" s="1194" t="s">
        <v>118</v>
      </c>
      <c r="H2138" s="1195"/>
      <c r="I2138" s="356" t="s">
        <v>296</v>
      </c>
      <c r="J2138" s="356"/>
      <c r="K2138" s="1236" t="s">
        <v>285</v>
      </c>
      <c r="L2138" s="1237"/>
      <c r="M2138" s="54"/>
      <c r="N2138" s="54"/>
      <c r="O2138" s="336"/>
      <c r="P2138" s="334"/>
      <c r="Q2138" s="335"/>
      <c r="R2138" s="336"/>
      <c r="S2138" s="337"/>
    </row>
    <row r="2139" spans="1:19" ht="30" customHeight="1" x14ac:dyDescent="0.25">
      <c r="A2139" s="365" t="s">
        <v>1135</v>
      </c>
      <c r="B2139" s="1209" t="s">
        <v>1370</v>
      </c>
      <c r="C2139" s="1210"/>
      <c r="D2139" s="1211"/>
      <c r="E2139" s="247">
        <f>164-2.51</f>
        <v>161.49</v>
      </c>
      <c r="F2139" s="365" t="s">
        <v>205</v>
      </c>
      <c r="G2139" s="365"/>
      <c r="H2139" s="365"/>
      <c r="I2139" s="365">
        <v>1.01</v>
      </c>
      <c r="J2139" s="365"/>
      <c r="K2139" s="247">
        <f>+E2139*I2139</f>
        <v>163.10490000000001</v>
      </c>
      <c r="L2139" s="365" t="s">
        <v>205</v>
      </c>
      <c r="N2139" s="54"/>
      <c r="O2139" s="336"/>
      <c r="P2139" s="334"/>
      <c r="Q2139" s="335"/>
      <c r="R2139" s="336"/>
      <c r="S2139" s="337"/>
    </row>
    <row r="2140" spans="1:19" ht="30" customHeight="1" x14ac:dyDescent="0.25">
      <c r="A2140" s="365" t="s">
        <v>406</v>
      </c>
      <c r="B2140" s="1214" t="s">
        <v>1339</v>
      </c>
      <c r="C2140" s="1215"/>
      <c r="D2140" s="1215"/>
      <c r="E2140" s="247">
        <v>3.95</v>
      </c>
      <c r="F2140" s="661" t="s">
        <v>205</v>
      </c>
      <c r="G2140" s="366"/>
      <c r="H2140" s="662"/>
      <c r="I2140" s="365">
        <v>1.01</v>
      </c>
      <c r="J2140" s="365"/>
      <c r="K2140" s="247">
        <f>+E2140*I2140</f>
        <v>3.9895</v>
      </c>
      <c r="L2140" s="365" t="s">
        <v>205</v>
      </c>
      <c r="M2140" s="54"/>
      <c r="N2140" s="54"/>
      <c r="O2140" s="336"/>
      <c r="P2140" s="334"/>
      <c r="Q2140" s="335"/>
      <c r="R2140" s="336"/>
      <c r="S2140" s="337"/>
    </row>
    <row r="2141" spans="1:19" ht="30" customHeight="1" x14ac:dyDescent="0.25">
      <c r="A2141" s="365" t="s">
        <v>406</v>
      </c>
      <c r="B2141" s="1209" t="s">
        <v>1279</v>
      </c>
      <c r="C2141" s="1210"/>
      <c r="D2141" s="1211"/>
      <c r="E2141" s="247">
        <f>+E2140*0.15</f>
        <v>0.59250000000000003</v>
      </c>
      <c r="F2141" s="661" t="s">
        <v>205</v>
      </c>
      <c r="G2141" s="567"/>
      <c r="H2141" s="246">
        <f>E2141</f>
        <v>0.59250000000000003</v>
      </c>
      <c r="I2141" s="365">
        <v>1.01</v>
      </c>
      <c r="J2141" s="365"/>
      <c r="K2141" s="246">
        <f>+H2141*I2141</f>
        <v>0.59842499999999998</v>
      </c>
      <c r="L2141" s="365" t="s">
        <v>205</v>
      </c>
      <c r="M2141" s="54"/>
      <c r="N2141" s="54"/>
      <c r="O2141" s="336"/>
      <c r="P2141" s="334"/>
      <c r="Q2141" s="335"/>
      <c r="R2141" s="336"/>
      <c r="S2141" s="337"/>
    </row>
    <row r="2142" spans="1:19" ht="30" customHeight="1" x14ac:dyDescent="0.25">
      <c r="A2142" s="365" t="s">
        <v>406</v>
      </c>
      <c r="B2142" s="1209" t="s">
        <v>1255</v>
      </c>
      <c r="C2142" s="1210"/>
      <c r="D2142" s="1211"/>
      <c r="E2142" s="246">
        <f xml:space="preserve"> 0.58+((1.15+1.71)/2)</f>
        <v>2.0099999999999998</v>
      </c>
      <c r="F2142" s="661" t="s">
        <v>205</v>
      </c>
      <c r="G2142" s="567"/>
      <c r="H2142" s="246">
        <f>E2142</f>
        <v>2.0099999999999998</v>
      </c>
      <c r="I2142" s="365">
        <v>1.01</v>
      </c>
      <c r="J2142" s="365"/>
      <c r="K2142" s="246">
        <f>+H2142*I2142</f>
        <v>2.0301</v>
      </c>
      <c r="L2142" s="365" t="s">
        <v>205</v>
      </c>
      <c r="M2142" s="54"/>
      <c r="N2142" s="54"/>
      <c r="O2142" s="336"/>
      <c r="P2142" s="334"/>
      <c r="Q2142" s="335"/>
      <c r="R2142" s="336"/>
      <c r="S2142" s="337"/>
    </row>
    <row r="2143" spans="1:19" ht="30" customHeight="1" x14ac:dyDescent="0.25">
      <c r="A2143" s="365"/>
      <c r="B2143" s="1281"/>
      <c r="C2143" s="1281"/>
      <c r="D2143" s="1281"/>
      <c r="E2143" s="247"/>
      <c r="F2143" s="365"/>
      <c r="G2143" s="366"/>
      <c r="H2143" s="662"/>
      <c r="I2143" s="365"/>
      <c r="J2143" s="365" t="s">
        <v>343</v>
      </c>
      <c r="K2143" s="247">
        <f>SUM(K2139:K2140)</f>
        <v>167.09440000000001</v>
      </c>
      <c r="L2143" s="365" t="s">
        <v>205</v>
      </c>
      <c r="M2143" s="54"/>
      <c r="N2143" s="54"/>
      <c r="O2143" s="336"/>
      <c r="P2143" s="334"/>
      <c r="Q2143" s="335"/>
      <c r="R2143" s="336"/>
      <c r="S2143" s="337"/>
    </row>
    <row r="2144" spans="1:19" ht="30" customHeight="1" x14ac:dyDescent="0.25">
      <c r="A2144" s="365"/>
      <c r="B2144" s="578"/>
      <c r="C2144" s="578"/>
      <c r="D2144" s="578"/>
      <c r="E2144" s="247"/>
      <c r="F2144" s="1272" t="s">
        <v>303</v>
      </c>
      <c r="G2144" s="1283" t="s">
        <v>304</v>
      </c>
      <c r="H2144" s="1283"/>
      <c r="I2144" s="1283"/>
      <c r="J2144" s="1283"/>
      <c r="K2144" s="250">
        <v>1.08</v>
      </c>
      <c r="L2144" s="365"/>
      <c r="M2144" s="54"/>
      <c r="N2144" s="54"/>
      <c r="O2144" s="336"/>
      <c r="P2144" s="334"/>
      <c r="Q2144" s="335"/>
      <c r="R2144" s="336"/>
      <c r="S2144" s="337"/>
    </row>
    <row r="2145" spans="1:19" ht="30" customHeight="1" x14ac:dyDescent="0.25">
      <c r="A2145" s="365"/>
      <c r="B2145" s="578"/>
      <c r="C2145" s="578"/>
      <c r="D2145" s="578"/>
      <c r="E2145" s="247"/>
      <c r="F2145" s="1273"/>
      <c r="G2145" s="1284" t="s">
        <v>438</v>
      </c>
      <c r="H2145" s="1284"/>
      <c r="I2145" s="1284"/>
      <c r="J2145" s="1284"/>
      <c r="K2145" s="250">
        <v>1.08</v>
      </c>
      <c r="L2145" s="365"/>
      <c r="M2145" s="54"/>
      <c r="N2145" s="54"/>
      <c r="O2145" s="336"/>
      <c r="P2145" s="334"/>
      <c r="Q2145" s="335"/>
      <c r="R2145" s="336"/>
      <c r="S2145" s="337"/>
    </row>
    <row r="2146" spans="1:19" ht="30" customHeight="1" x14ac:dyDescent="0.25">
      <c r="A2146" s="365"/>
      <c r="B2146" s="365"/>
      <c r="C2146" s="366"/>
      <c r="D2146" s="366"/>
      <c r="E2146" s="366"/>
      <c r="F2146" s="366"/>
      <c r="G2146" s="366"/>
      <c r="H2146" s="366"/>
      <c r="I2146" s="366"/>
      <c r="J2146" s="366" t="s">
        <v>72</v>
      </c>
      <c r="K2146" s="246">
        <f>+K2143*K2144/K2145</f>
        <v>167.09440000000001</v>
      </c>
      <c r="L2146" s="365" t="s">
        <v>205</v>
      </c>
      <c r="M2146" s="112"/>
      <c r="N2146" s="54"/>
      <c r="O2146" s="336"/>
      <c r="P2146" s="334"/>
      <c r="Q2146" s="335"/>
      <c r="R2146" s="336"/>
      <c r="S2146" s="337"/>
    </row>
    <row r="2147" spans="1:19" ht="30" customHeight="1" x14ac:dyDescent="0.25">
      <c r="A2147" s="365"/>
      <c r="B2147" s="365"/>
      <c r="C2147" s="366"/>
      <c r="D2147" s="366"/>
      <c r="E2147" s="366"/>
      <c r="F2147" s="366"/>
      <c r="G2147" s="580" t="s">
        <v>306</v>
      </c>
      <c r="H2147" s="366"/>
      <c r="I2147" s="366"/>
      <c r="J2147" s="521">
        <f>VLOOKUP(B2137,'Mil Cost Premiums for PUCs'!$A$4:$R$277,18,FALSE)</f>
        <v>1.0905505199999999</v>
      </c>
      <c r="K2147" s="246">
        <f>+K2146*J2147</f>
        <v>182.224884809088</v>
      </c>
      <c r="L2147" s="365" t="s">
        <v>205</v>
      </c>
      <c r="M2147" s="54"/>
      <c r="N2147" s="73"/>
      <c r="O2147" s="336"/>
      <c r="P2147" s="334"/>
      <c r="Q2147" s="335"/>
      <c r="R2147" s="336"/>
      <c r="S2147" s="337"/>
    </row>
    <row r="2148" spans="1:19" ht="30" customHeight="1" thickBot="1" x14ac:dyDescent="0.3">
      <c r="A2148" s="835"/>
      <c r="B2148" s="835"/>
      <c r="C2148" s="840"/>
      <c r="D2148" s="840"/>
      <c r="E2148" s="850"/>
      <c r="F2148" s="1278" t="s">
        <v>1148</v>
      </c>
      <c r="G2148" s="1278"/>
      <c r="H2148" s="1278"/>
      <c r="I2148" s="1278"/>
      <c r="J2148" s="845">
        <v>1.0833999999999999</v>
      </c>
      <c r="K2148" s="544">
        <f>K2147*J2148</f>
        <v>197.42244020216592</v>
      </c>
      <c r="L2148" s="369" t="s">
        <v>205</v>
      </c>
      <c r="N2148" s="73"/>
      <c r="O2148" s="73"/>
      <c r="P2148" s="334"/>
      <c r="Q2148" s="335"/>
      <c r="R2148" s="336"/>
      <c r="S2148" s="337"/>
    </row>
    <row r="2149" spans="1:19" ht="30" customHeight="1" thickBot="1" x14ac:dyDescent="0.3">
      <c r="A2149" s="1180"/>
      <c r="B2149" s="1181"/>
      <c r="C2149" s="1181"/>
      <c r="D2149" s="1181"/>
      <c r="E2149" s="1181"/>
      <c r="F2149" s="1181"/>
      <c r="G2149" s="1181"/>
      <c r="H2149" s="1181"/>
      <c r="I2149" s="1181"/>
      <c r="J2149" s="1181"/>
      <c r="K2149" s="1181"/>
      <c r="L2149" s="1182"/>
      <c r="M2149" s="54"/>
      <c r="N2149" s="73"/>
      <c r="O2149" s="73"/>
      <c r="P2149" s="334"/>
      <c r="Q2149" s="335"/>
      <c r="R2149" s="336"/>
      <c r="S2149" s="337"/>
    </row>
    <row r="2150" spans="1:19" ht="30" customHeight="1" x14ac:dyDescent="0.25">
      <c r="A2150" s="327" t="s">
        <v>5</v>
      </c>
      <c r="B2150" s="328">
        <v>2264</v>
      </c>
      <c r="C2150" s="1218" t="s">
        <v>1371</v>
      </c>
      <c r="D2150" s="1219"/>
      <c r="E2150" s="331" t="s">
        <v>8</v>
      </c>
      <c r="F2150" s="332" t="s">
        <v>205</v>
      </c>
      <c r="G2150" s="342" t="s">
        <v>74</v>
      </c>
      <c r="H2150" s="160">
        <v>5822</v>
      </c>
      <c r="I2150" s="331" t="s">
        <v>10</v>
      </c>
      <c r="J2150" s="1220" t="s">
        <v>1372</v>
      </c>
      <c r="K2150" s="1220"/>
      <c r="L2150" s="1221"/>
      <c r="M2150" s="111"/>
      <c r="N2150" s="54"/>
      <c r="O2150" s="73"/>
      <c r="P2150" s="66"/>
      <c r="Q2150" s="335"/>
      <c r="R2150" s="336"/>
      <c r="S2150" s="337"/>
    </row>
    <row r="2151" spans="1:19" ht="30" customHeight="1" x14ac:dyDescent="0.25">
      <c r="A2151" s="356" t="s">
        <v>282</v>
      </c>
      <c r="B2151" s="1163" t="s">
        <v>13</v>
      </c>
      <c r="C2151" s="1163"/>
      <c r="D2151" s="1163"/>
      <c r="E2151" s="546" t="s">
        <v>116</v>
      </c>
      <c r="F2151" s="356" t="s">
        <v>283</v>
      </c>
      <c r="G2151" s="1314" t="s">
        <v>15</v>
      </c>
      <c r="H2151" s="1315"/>
      <c r="I2151" s="1276" t="s">
        <v>284</v>
      </c>
      <c r="J2151" s="1277"/>
      <c r="K2151" s="1236" t="s">
        <v>285</v>
      </c>
      <c r="L2151" s="1237"/>
      <c r="M2151" s="54"/>
      <c r="N2151" s="54"/>
      <c r="O2151" s="336"/>
      <c r="P2151" s="334"/>
      <c r="Q2151" s="335"/>
      <c r="R2151" s="336"/>
      <c r="S2151" s="337"/>
    </row>
    <row r="2152" spans="1:19" ht="30" customHeight="1" x14ac:dyDescent="0.25">
      <c r="A2152" s="365">
        <v>21630</v>
      </c>
      <c r="B2152" s="1214" t="s">
        <v>1373</v>
      </c>
      <c r="C2152" s="1215"/>
      <c r="D2152" s="1216"/>
      <c r="E2152" s="247">
        <v>1064</v>
      </c>
      <c r="F2152" s="257">
        <v>82500</v>
      </c>
      <c r="G2152" s="367" t="s">
        <v>205</v>
      </c>
      <c r="H2152" s="367"/>
      <c r="I2152" s="1416">
        <f>+'2022 MILCON Inflation Table'!F8</f>
        <v>1.4916874213561331</v>
      </c>
      <c r="J2152" s="1417"/>
      <c r="K2152" s="242">
        <f>+E2152*I2152</f>
        <v>1587.1554163229257</v>
      </c>
      <c r="L2152" s="367" t="s">
        <v>205</v>
      </c>
      <c r="M2152" s="54"/>
      <c r="N2152" s="54"/>
      <c r="O2152" s="336"/>
      <c r="P2152" s="334"/>
      <c r="Q2152" s="335"/>
      <c r="R2152" s="336"/>
      <c r="S2152" s="337"/>
    </row>
    <row r="2153" spans="1:19" ht="30" customHeight="1" thickBot="1" x14ac:dyDescent="0.3">
      <c r="A2153" s="365"/>
      <c r="B2153" s="1214"/>
      <c r="C2153" s="1215"/>
      <c r="D2153" s="1216"/>
      <c r="E2153" s="333"/>
      <c r="F2153" s="744"/>
      <c r="G2153" s="333"/>
      <c r="H2153" s="729"/>
      <c r="I2153" s="366"/>
      <c r="J2153" s="366" t="s">
        <v>72</v>
      </c>
      <c r="K2153" s="243">
        <f>AVERAGE(K2152:K2152)</f>
        <v>1587.1554163229257</v>
      </c>
      <c r="L2153" s="367" t="s">
        <v>205</v>
      </c>
      <c r="M2153" s="54"/>
      <c r="N2153" s="54"/>
      <c r="O2153" s="336"/>
      <c r="P2153" s="334"/>
      <c r="Q2153" s="335"/>
      <c r="R2153" s="336"/>
      <c r="S2153" s="337"/>
    </row>
    <row r="2154" spans="1:19" ht="30" customHeight="1" thickBot="1" x14ac:dyDescent="0.3">
      <c r="A2154" s="1180"/>
      <c r="B2154" s="1181"/>
      <c r="C2154" s="1181"/>
      <c r="D2154" s="1181"/>
      <c r="E2154" s="1181"/>
      <c r="F2154" s="1181"/>
      <c r="G2154" s="1181"/>
      <c r="H2154" s="1181"/>
      <c r="I2154" s="1181"/>
      <c r="J2154" s="1181"/>
      <c r="K2154" s="1181"/>
      <c r="L2154" s="1182"/>
      <c r="M2154" s="54"/>
      <c r="N2154" s="54"/>
      <c r="O2154" s="336"/>
      <c r="P2154" s="334"/>
      <c r="Q2154" s="335"/>
      <c r="R2154" s="336"/>
      <c r="S2154" s="337"/>
    </row>
    <row r="2155" spans="1:19" ht="30" customHeight="1" x14ac:dyDescent="0.25">
      <c r="A2155" s="327" t="s">
        <v>5</v>
      </c>
      <c r="B2155" s="328">
        <v>2265</v>
      </c>
      <c r="C2155" s="1218" t="s">
        <v>1373</v>
      </c>
      <c r="D2155" s="1219"/>
      <c r="E2155" s="331" t="s">
        <v>8</v>
      </c>
      <c r="F2155" s="332" t="s">
        <v>76</v>
      </c>
      <c r="G2155" s="333" t="s">
        <v>7</v>
      </c>
      <c r="H2155" s="160">
        <v>1</v>
      </c>
      <c r="I2155" s="331" t="s">
        <v>10</v>
      </c>
      <c r="J2155" s="1220" t="s">
        <v>382</v>
      </c>
      <c r="K2155" s="1220"/>
      <c r="L2155" s="1221"/>
      <c r="M2155" s="112"/>
      <c r="N2155" s="54"/>
      <c r="O2155" s="336"/>
      <c r="P2155" s="334"/>
      <c r="Q2155" s="335"/>
      <c r="R2155" s="336"/>
      <c r="S2155" s="337"/>
    </row>
    <row r="2156" spans="1:19" ht="30" customHeight="1" x14ac:dyDescent="0.25">
      <c r="A2156" s="359" t="s">
        <v>295</v>
      </c>
      <c r="B2156" s="1222" t="s">
        <v>326</v>
      </c>
      <c r="C2156" s="1235"/>
      <c r="D2156" s="1223"/>
      <c r="E2156" s="577" t="s">
        <v>116</v>
      </c>
      <c r="F2156" s="577" t="s">
        <v>117</v>
      </c>
      <c r="G2156" s="1194" t="s">
        <v>118</v>
      </c>
      <c r="H2156" s="1195"/>
      <c r="I2156" s="1276" t="s">
        <v>284</v>
      </c>
      <c r="J2156" s="1277"/>
      <c r="K2156" s="1236" t="s">
        <v>285</v>
      </c>
      <c r="L2156" s="1237"/>
      <c r="M2156" s="54"/>
      <c r="N2156" s="54"/>
      <c r="O2156" s="336"/>
      <c r="P2156" s="334"/>
      <c r="Q2156" s="335"/>
      <c r="R2156" s="336"/>
      <c r="S2156" s="337"/>
    </row>
    <row r="2157" spans="1:19" ht="30" customHeight="1" x14ac:dyDescent="0.25">
      <c r="A2157" s="365">
        <v>93210</v>
      </c>
      <c r="B2157" s="1209" t="s">
        <v>1374</v>
      </c>
      <c r="C2157" s="1210"/>
      <c r="D2157" s="1211"/>
      <c r="E2157" s="716">
        <v>34.5</v>
      </c>
      <c r="F2157" s="396" t="s">
        <v>25</v>
      </c>
      <c r="G2157" s="741">
        <f>+E2162/3</f>
        <v>5487.2703703703701</v>
      </c>
      <c r="H2157" s="690" t="s">
        <v>548</v>
      </c>
      <c r="I2157" s="1183">
        <v>0.9405</v>
      </c>
      <c r="J2157" s="1184"/>
      <c r="K2157" s="717">
        <f>+E2157*G2157*I2157</f>
        <v>178046.83352499999</v>
      </c>
      <c r="L2157" s="396" t="s">
        <v>76</v>
      </c>
      <c r="M2157" s="54"/>
      <c r="N2157" s="54"/>
      <c r="O2157" s="336"/>
      <c r="P2157" s="334"/>
      <c r="Q2157" s="335"/>
      <c r="R2157" s="336"/>
      <c r="S2157" s="337"/>
    </row>
    <row r="2158" spans="1:19" ht="30" customHeight="1" x14ac:dyDescent="0.25">
      <c r="A2158" s="365">
        <v>93410</v>
      </c>
      <c r="B2158" s="1209" t="s">
        <v>1375</v>
      </c>
      <c r="C2158" s="1210"/>
      <c r="D2158" s="1211"/>
      <c r="E2158" s="716">
        <v>8.6999999999999993</v>
      </c>
      <c r="F2158" s="396" t="s">
        <v>25</v>
      </c>
      <c r="G2158" s="741">
        <f>+E2162/3</f>
        <v>5487.2703703703701</v>
      </c>
      <c r="H2158" s="690" t="s">
        <v>548</v>
      </c>
      <c r="I2158" s="1183">
        <v>0.9405</v>
      </c>
      <c r="J2158" s="1184"/>
      <c r="K2158" s="717">
        <f>+E2158*G2158*I2158</f>
        <v>44898.766714999998</v>
      </c>
      <c r="L2158" s="396" t="s">
        <v>76</v>
      </c>
      <c r="M2158" s="54"/>
      <c r="O2158" s="336"/>
      <c r="P2158" s="334"/>
      <c r="Q2158" s="335"/>
      <c r="R2158" s="336"/>
      <c r="S2158" s="337"/>
    </row>
    <row r="2159" spans="1:19" ht="30" customHeight="1" x14ac:dyDescent="0.25">
      <c r="A2159" s="365">
        <v>93410</v>
      </c>
      <c r="B2159" s="1209" t="s">
        <v>1376</v>
      </c>
      <c r="C2159" s="1210"/>
      <c r="D2159" s="1211"/>
      <c r="E2159" s="716">
        <v>3.7</v>
      </c>
      <c r="F2159" s="396" t="s">
        <v>9</v>
      </c>
      <c r="G2159" s="741">
        <f>+E2162</f>
        <v>16461.81111111111</v>
      </c>
      <c r="H2159" s="690" t="s">
        <v>551</v>
      </c>
      <c r="I2159" s="1183">
        <v>0.9405</v>
      </c>
      <c r="J2159" s="1184"/>
      <c r="K2159" s="717">
        <f>+E2159*G2159*I2159</f>
        <v>57284.633395000004</v>
      </c>
      <c r="L2159" s="396" t="s">
        <v>76</v>
      </c>
      <c r="M2159" s="54"/>
      <c r="N2159" s="54"/>
      <c r="O2159" s="336"/>
      <c r="P2159" s="334"/>
      <c r="Q2159" s="335"/>
      <c r="R2159" s="336"/>
      <c r="S2159" s="337"/>
    </row>
    <row r="2160" spans="1:19" ht="30" customHeight="1" x14ac:dyDescent="0.25">
      <c r="A2160" s="365">
        <v>93210</v>
      </c>
      <c r="B2160" s="1209" t="s">
        <v>1377</v>
      </c>
      <c r="C2160" s="1210"/>
      <c r="D2160" s="1211"/>
      <c r="E2160" s="716">
        <v>48.6</v>
      </c>
      <c r="F2160" s="396" t="s">
        <v>25</v>
      </c>
      <c r="G2160" s="741">
        <f>+E2162*2/9</f>
        <v>3658.18024691358</v>
      </c>
      <c r="H2160" s="690" t="s">
        <v>548</v>
      </c>
      <c r="I2160" s="1183">
        <v>0.9405</v>
      </c>
      <c r="J2160" s="1184"/>
      <c r="K2160" s="717">
        <f>+E2160*G2160*I2160</f>
        <v>167209.20017999999</v>
      </c>
      <c r="L2160" s="396" t="s">
        <v>76</v>
      </c>
      <c r="M2160" s="54"/>
      <c r="N2160" s="54"/>
      <c r="O2160" s="336"/>
      <c r="P2160" s="334"/>
      <c r="Q2160" s="335"/>
      <c r="R2160" s="336"/>
      <c r="S2160" s="337"/>
    </row>
    <row r="2161" spans="1:21" ht="30" customHeight="1" x14ac:dyDescent="0.25">
      <c r="A2161" s="365"/>
      <c r="C2161" s="1139"/>
      <c r="D2161" s="1139"/>
      <c r="E2161" s="1139"/>
      <c r="F2161" s="1139"/>
      <c r="G2161" s="689"/>
      <c r="H2161" s="690"/>
      <c r="I2161" s="365"/>
      <c r="J2161" s="365" t="s">
        <v>408</v>
      </c>
      <c r="K2161" s="255">
        <f>SUM(K2157:K2160)</f>
        <v>447439.433815</v>
      </c>
      <c r="L2161" s="365" t="s">
        <v>76</v>
      </c>
      <c r="M2161" s="54"/>
      <c r="N2161" s="54"/>
      <c r="O2161" s="336"/>
      <c r="P2161" s="334"/>
      <c r="Q2161" s="335"/>
      <c r="R2161" s="336"/>
      <c r="S2161" s="337"/>
    </row>
    <row r="2162" spans="1:21" ht="30" customHeight="1" thickBot="1" x14ac:dyDescent="0.3">
      <c r="A2162" s="366"/>
      <c r="B2162" s="1209" t="s">
        <v>3471</v>
      </c>
      <c r="C2162" s="1421"/>
      <c r="D2162" s="1422"/>
      <c r="E2162" s="12">
        <f>148156.3/9</f>
        <v>16461.81111111111</v>
      </c>
      <c r="F2162" s="396" t="s">
        <v>9</v>
      </c>
      <c r="G2162" s="365"/>
      <c r="H2162" s="365"/>
      <c r="I2162" s="365"/>
      <c r="J2162" s="359" t="s">
        <v>72</v>
      </c>
      <c r="K2162" s="255">
        <f>+K2161</f>
        <v>447439.433815</v>
      </c>
      <c r="L2162" s="365" t="s">
        <v>76</v>
      </c>
      <c r="M2162" s="210"/>
      <c r="N2162" s="54"/>
      <c r="O2162" s="336"/>
      <c r="P2162" s="334"/>
      <c r="Q2162" s="335"/>
      <c r="R2162" s="336"/>
      <c r="S2162" s="337"/>
    </row>
    <row r="2163" spans="1:21" ht="30" customHeight="1" thickBot="1" x14ac:dyDescent="0.3">
      <c r="A2163" s="1180"/>
      <c r="B2163" s="1181"/>
      <c r="C2163" s="1181"/>
      <c r="D2163" s="1181"/>
      <c r="E2163" s="1181"/>
      <c r="F2163" s="1181"/>
      <c r="G2163" s="1181"/>
      <c r="H2163" s="1181"/>
      <c r="I2163" s="1181"/>
      <c r="J2163" s="1181"/>
      <c r="K2163" s="1181"/>
      <c r="L2163" s="1182"/>
      <c r="M2163" s="210"/>
      <c r="N2163" s="54"/>
      <c r="O2163" s="336"/>
      <c r="P2163" s="334"/>
      <c r="Q2163" s="335"/>
      <c r="R2163" s="336"/>
      <c r="S2163" s="337"/>
    </row>
    <row r="2164" spans="1:21" ht="30" customHeight="1" x14ac:dyDescent="0.25">
      <c r="A2164" s="327" t="s">
        <v>5</v>
      </c>
      <c r="B2164" s="328">
        <v>2271</v>
      </c>
      <c r="C2164" s="1218" t="s">
        <v>1378</v>
      </c>
      <c r="D2164" s="1219"/>
      <c r="E2164" s="331" t="s">
        <v>8</v>
      </c>
      <c r="F2164" s="332" t="s">
        <v>205</v>
      </c>
      <c r="G2164" s="342" t="s">
        <v>74</v>
      </c>
      <c r="H2164" s="653">
        <v>56474</v>
      </c>
      <c r="I2164" s="331" t="s">
        <v>10</v>
      </c>
      <c r="J2164" s="1220" t="s">
        <v>3388</v>
      </c>
      <c r="K2164" s="1220"/>
      <c r="L2164" s="1221"/>
      <c r="M2164" s="210"/>
      <c r="N2164" s="54"/>
      <c r="O2164" s="336"/>
      <c r="P2164" s="334"/>
      <c r="Q2164" s="335"/>
      <c r="R2164" s="336"/>
      <c r="S2164" s="337"/>
    </row>
    <row r="2165" spans="1:21" ht="30" customHeight="1" x14ac:dyDescent="0.25">
      <c r="A2165" s="359" t="s">
        <v>295</v>
      </c>
      <c r="B2165" s="1222" t="s">
        <v>326</v>
      </c>
      <c r="C2165" s="1235"/>
      <c r="D2165" s="1223"/>
      <c r="E2165" s="577" t="s">
        <v>116</v>
      </c>
      <c r="F2165" s="577" t="s">
        <v>117</v>
      </c>
      <c r="G2165" s="1194" t="s">
        <v>118</v>
      </c>
      <c r="H2165" s="1195"/>
      <c r="I2165" s="356" t="s">
        <v>296</v>
      </c>
      <c r="J2165" s="356"/>
      <c r="K2165" s="1236" t="s">
        <v>285</v>
      </c>
      <c r="L2165" s="1237"/>
      <c r="M2165" s="54"/>
      <c r="N2165" s="54"/>
      <c r="O2165" s="336"/>
      <c r="P2165" s="334"/>
      <c r="Q2165" s="335"/>
      <c r="R2165" s="336"/>
      <c r="S2165" s="337"/>
    </row>
    <row r="2166" spans="1:21" ht="30" customHeight="1" x14ac:dyDescent="0.25">
      <c r="A2166" s="365" t="s">
        <v>1102</v>
      </c>
      <c r="B2166" s="1209" t="s">
        <v>1379</v>
      </c>
      <c r="C2166" s="1210"/>
      <c r="D2166" s="1211"/>
      <c r="E2166" s="247">
        <f>80-2.4</f>
        <v>77.599999999999994</v>
      </c>
      <c r="F2166" s="365" t="s">
        <v>205</v>
      </c>
      <c r="G2166" s="365"/>
      <c r="H2166" s="365"/>
      <c r="I2166" s="365">
        <v>1.01</v>
      </c>
      <c r="J2166" s="706"/>
      <c r="K2166" s="247">
        <f>+E2166*I2166</f>
        <v>78.375999999999991</v>
      </c>
      <c r="L2166" s="365" t="s">
        <v>205</v>
      </c>
      <c r="M2166" s="54"/>
      <c r="N2166" s="54"/>
      <c r="O2166" s="336"/>
      <c r="P2166" s="334"/>
      <c r="Q2166" s="335"/>
      <c r="R2166" s="336"/>
      <c r="S2166" s="337"/>
    </row>
    <row r="2167" spans="1:21" ht="30" customHeight="1" x14ac:dyDescent="0.25">
      <c r="A2167" s="365" t="s">
        <v>406</v>
      </c>
      <c r="B2167" s="1214" t="s">
        <v>1351</v>
      </c>
      <c r="C2167" s="1215"/>
      <c r="D2167" s="1215"/>
      <c r="E2167" s="247">
        <v>3.2</v>
      </c>
      <c r="F2167" s="661" t="s">
        <v>205</v>
      </c>
      <c r="G2167" s="366"/>
      <c r="H2167" s="662"/>
      <c r="I2167" s="365">
        <v>1.01</v>
      </c>
      <c r="J2167" s="706"/>
      <c r="K2167" s="247">
        <f>+E2167*I2167</f>
        <v>3.2320000000000002</v>
      </c>
      <c r="L2167" s="365" t="s">
        <v>205</v>
      </c>
      <c r="M2167" s="54"/>
      <c r="N2167" s="54"/>
      <c r="O2167" s="336"/>
      <c r="P2167" s="334"/>
      <c r="Q2167" s="335"/>
      <c r="R2167" s="336"/>
      <c r="S2167" s="337"/>
    </row>
    <row r="2168" spans="1:21" ht="30" customHeight="1" x14ac:dyDescent="0.25">
      <c r="A2168" s="365"/>
      <c r="B2168" s="1281"/>
      <c r="C2168" s="1281"/>
      <c r="D2168" s="1281"/>
      <c r="E2168" s="247"/>
      <c r="F2168" s="365"/>
      <c r="G2168" s="366"/>
      <c r="H2168" s="662"/>
      <c r="I2168" s="365"/>
      <c r="J2168" s="365" t="s">
        <v>343</v>
      </c>
      <c r="K2168" s="247">
        <f>SUM(K2166:K2167)</f>
        <v>81.60799999999999</v>
      </c>
      <c r="L2168" s="365" t="s">
        <v>205</v>
      </c>
      <c r="M2168" s="54"/>
      <c r="N2168" s="54"/>
      <c r="O2168" s="336"/>
      <c r="P2168" s="334"/>
      <c r="Q2168" s="335"/>
      <c r="R2168" s="336"/>
      <c r="S2168" s="337"/>
    </row>
    <row r="2169" spans="1:21" ht="30" customHeight="1" x14ac:dyDescent="0.25">
      <c r="A2169" s="365"/>
      <c r="B2169" s="578"/>
      <c r="C2169" s="578"/>
      <c r="D2169" s="578"/>
      <c r="E2169" s="247"/>
      <c r="F2169" s="1272" t="s">
        <v>303</v>
      </c>
      <c r="G2169" s="1283" t="s">
        <v>304</v>
      </c>
      <c r="H2169" s="1283"/>
      <c r="I2169" s="1283"/>
      <c r="J2169" s="1283"/>
      <c r="K2169" s="250">
        <v>1.1000000000000001</v>
      </c>
      <c r="L2169" s="365"/>
      <c r="M2169" s="54"/>
      <c r="N2169" s="54"/>
      <c r="O2169" s="336"/>
      <c r="P2169" s="334"/>
      <c r="Q2169" s="335"/>
      <c r="R2169" s="336"/>
      <c r="S2169" s="337"/>
    </row>
    <row r="2170" spans="1:21" ht="30" customHeight="1" x14ac:dyDescent="0.25">
      <c r="A2170" s="365"/>
      <c r="B2170" s="578"/>
      <c r="C2170" s="578"/>
      <c r="D2170" s="578"/>
      <c r="E2170" s="247"/>
      <c r="F2170" s="1273"/>
      <c r="G2170" s="1284" t="s">
        <v>438</v>
      </c>
      <c r="H2170" s="1284"/>
      <c r="I2170" s="1284"/>
      <c r="J2170" s="1284"/>
      <c r="K2170" s="250">
        <v>1.08</v>
      </c>
      <c r="L2170" s="365"/>
      <c r="M2170" s="54"/>
      <c r="N2170" s="54"/>
      <c r="O2170" s="336"/>
      <c r="P2170" s="334"/>
      <c r="Q2170" s="335"/>
      <c r="R2170" s="336"/>
      <c r="S2170" s="337"/>
    </row>
    <row r="2171" spans="1:21" ht="30" customHeight="1" x14ac:dyDescent="0.25">
      <c r="A2171" s="365"/>
      <c r="B2171" s="365"/>
      <c r="C2171" s="366"/>
      <c r="D2171" s="366"/>
      <c r="E2171" s="366"/>
      <c r="F2171" s="366"/>
      <c r="G2171" s="366"/>
      <c r="H2171" s="366"/>
      <c r="I2171" s="366"/>
      <c r="J2171" s="366" t="s">
        <v>72</v>
      </c>
      <c r="K2171" s="246">
        <f>+K2168*K2169/K2170</f>
        <v>83.119259259259252</v>
      </c>
      <c r="L2171" s="365" t="s">
        <v>205</v>
      </c>
      <c r="M2171" s="54"/>
      <c r="N2171" s="54"/>
      <c r="O2171" s="336"/>
      <c r="P2171" s="334"/>
      <c r="Q2171" s="335"/>
      <c r="R2171" s="336"/>
      <c r="S2171" s="337"/>
    </row>
    <row r="2172" spans="1:21" ht="30" customHeight="1" x14ac:dyDescent="0.25">
      <c r="A2172" s="365"/>
      <c r="B2172" s="365"/>
      <c r="C2172" s="366"/>
      <c r="D2172" s="366"/>
      <c r="E2172" s="366"/>
      <c r="F2172" s="366"/>
      <c r="G2172" s="580" t="s">
        <v>306</v>
      </c>
      <c r="H2172" s="366"/>
      <c r="I2172" s="366"/>
      <c r="J2172" s="521">
        <f>VLOOKUP(B2164,'Mil Cost Premiums for PUCs'!$A$4:$R$277,18,FALSE)</f>
        <v>1.1932356231980656</v>
      </c>
      <c r="K2172" s="246">
        <f>+K2171*J2172</f>
        <v>99.180861121983796</v>
      </c>
      <c r="L2172" s="365" t="s">
        <v>205</v>
      </c>
      <c r="M2172" s="54"/>
      <c r="O2172" s="336"/>
      <c r="P2172" s="334"/>
      <c r="Q2172" s="335"/>
      <c r="R2172" s="336"/>
      <c r="S2172" s="337"/>
    </row>
    <row r="2173" spans="1:21" ht="30" customHeight="1" thickBot="1" x14ac:dyDescent="0.3">
      <c r="A2173" s="835"/>
      <c r="B2173" s="835"/>
      <c r="C2173" s="840"/>
      <c r="D2173" s="840"/>
      <c r="E2173" s="850"/>
      <c r="F2173" s="1278" t="s">
        <v>1148</v>
      </c>
      <c r="G2173" s="1278"/>
      <c r="H2173" s="1278"/>
      <c r="I2173" s="1278"/>
      <c r="J2173" s="845">
        <v>1.0833999999999999</v>
      </c>
      <c r="K2173" s="544">
        <f>K2172*J2173</f>
        <v>107.45254493955724</v>
      </c>
      <c r="L2173" s="369" t="s">
        <v>205</v>
      </c>
      <c r="N2173" s="54"/>
      <c r="O2173" s="336"/>
      <c r="P2173" s="334"/>
      <c r="Q2173" s="335"/>
      <c r="R2173" s="336"/>
      <c r="S2173" s="337"/>
    </row>
    <row r="2174" spans="1:21" ht="30" customHeight="1" thickBot="1" x14ac:dyDescent="0.3">
      <c r="A2174" s="1180"/>
      <c r="B2174" s="1181"/>
      <c r="C2174" s="1181"/>
      <c r="D2174" s="1181"/>
      <c r="E2174" s="1181"/>
      <c r="F2174" s="1181"/>
      <c r="G2174" s="1181"/>
      <c r="H2174" s="1181"/>
      <c r="I2174" s="1181"/>
      <c r="J2174" s="1181"/>
      <c r="K2174" s="1181"/>
      <c r="L2174" s="1182"/>
      <c r="M2174" s="54"/>
      <c r="N2174" s="54"/>
      <c r="O2174" s="543"/>
      <c r="P2174" s="344"/>
      <c r="Q2174" s="345"/>
      <c r="R2174" s="345"/>
      <c r="S2174" s="345"/>
      <c r="T2174" s="345"/>
    </row>
    <row r="2175" spans="1:21" ht="30" customHeight="1" x14ac:dyDescent="0.25">
      <c r="A2175" s="327" t="s">
        <v>5</v>
      </c>
      <c r="B2175" s="328">
        <v>2281</v>
      </c>
      <c r="C2175" s="1251" t="s">
        <v>1380</v>
      </c>
      <c r="D2175" s="1252"/>
      <c r="E2175" s="331" t="s">
        <v>8</v>
      </c>
      <c r="F2175" s="332" t="s">
        <v>205</v>
      </c>
      <c r="G2175" s="342" t="s">
        <v>74</v>
      </c>
      <c r="H2175" s="653">
        <v>6551</v>
      </c>
      <c r="I2175" s="331" t="s">
        <v>10</v>
      </c>
      <c r="J2175" s="1220" t="s">
        <v>3388</v>
      </c>
      <c r="K2175" s="1220"/>
      <c r="L2175" s="1221"/>
      <c r="M2175" s="54"/>
      <c r="N2175" s="54"/>
      <c r="O2175" s="543"/>
      <c r="P2175" s="344"/>
      <c r="Q2175" s="345"/>
      <c r="R2175" s="345"/>
      <c r="S2175" s="345"/>
      <c r="T2175" s="345"/>
      <c r="U2175" s="345"/>
    </row>
    <row r="2176" spans="1:21" ht="30" customHeight="1" x14ac:dyDescent="0.25">
      <c r="A2176" s="359" t="s">
        <v>295</v>
      </c>
      <c r="B2176" s="1222" t="s">
        <v>326</v>
      </c>
      <c r="C2176" s="1235"/>
      <c r="D2176" s="1223"/>
      <c r="E2176" s="577" t="s">
        <v>116</v>
      </c>
      <c r="F2176" s="577" t="s">
        <v>117</v>
      </c>
      <c r="G2176" s="1194" t="s">
        <v>118</v>
      </c>
      <c r="H2176" s="1195"/>
      <c r="I2176" s="356" t="s">
        <v>296</v>
      </c>
      <c r="J2176" s="356"/>
      <c r="K2176" s="1236" t="s">
        <v>285</v>
      </c>
      <c r="L2176" s="1237"/>
      <c r="M2176" s="54"/>
      <c r="N2176" s="54"/>
      <c r="O2176" s="543"/>
      <c r="P2176" s="344"/>
      <c r="Q2176" s="345"/>
      <c r="R2176" s="345"/>
      <c r="S2176" s="345"/>
      <c r="T2176" s="345"/>
      <c r="U2176" s="345"/>
    </row>
    <row r="2177" spans="1:25" ht="30" customHeight="1" x14ac:dyDescent="0.25">
      <c r="A2177" s="365" t="s">
        <v>1102</v>
      </c>
      <c r="B2177" s="1209" t="s">
        <v>1379</v>
      </c>
      <c r="C2177" s="1210"/>
      <c r="D2177" s="1211"/>
      <c r="E2177" s="247">
        <f>80-2.4</f>
        <v>77.599999999999994</v>
      </c>
      <c r="F2177" s="365" t="s">
        <v>205</v>
      </c>
      <c r="G2177" s="365"/>
      <c r="H2177" s="365"/>
      <c r="I2177" s="365">
        <v>1.01</v>
      </c>
      <c r="J2177" s="706"/>
      <c r="K2177" s="247">
        <f>+E2177*I2177</f>
        <v>78.375999999999991</v>
      </c>
      <c r="L2177" s="365" t="s">
        <v>205</v>
      </c>
      <c r="M2177" s="54"/>
      <c r="N2177" s="54"/>
      <c r="O2177" s="544"/>
      <c r="U2177" s="345"/>
      <c r="V2177" s="345"/>
      <c r="W2177" s="345"/>
      <c r="X2177" s="345"/>
      <c r="Y2177" s="345"/>
    </row>
    <row r="2178" spans="1:25" s="345" customFormat="1" ht="30" customHeight="1" x14ac:dyDescent="0.25">
      <c r="A2178" s="365" t="s">
        <v>520</v>
      </c>
      <c r="B2178" s="1209" t="s">
        <v>1381</v>
      </c>
      <c r="C2178" s="1210"/>
      <c r="D2178" s="1211"/>
      <c r="E2178" s="246">
        <v>141000</v>
      </c>
      <c r="F2178" s="365" t="s">
        <v>76</v>
      </c>
      <c r="G2178" s="846">
        <f>+H2175</f>
        <v>6551</v>
      </c>
      <c r="H2178" s="662" t="s">
        <v>1269</v>
      </c>
      <c r="I2178" s="365">
        <v>1.02</v>
      </c>
      <c r="J2178" s="706"/>
      <c r="K2178" s="247">
        <f>+E2178/G2178*I2178</f>
        <v>21.953900167913297</v>
      </c>
      <c r="L2178" s="365" t="s">
        <v>205</v>
      </c>
      <c r="M2178" s="54"/>
      <c r="N2178" s="54"/>
      <c r="O2178" s="334"/>
      <c r="P2178" s="340"/>
      <c r="Q2178" s="334"/>
      <c r="R2178" s="334"/>
      <c r="S2178" s="334"/>
      <c r="T2178" s="334"/>
      <c r="U2178" s="334"/>
      <c r="V2178" s="334"/>
      <c r="W2178" s="334"/>
      <c r="X2178" s="334"/>
      <c r="Y2178" s="334"/>
    </row>
    <row r="2179" spans="1:25" ht="30" customHeight="1" x14ac:dyDescent="0.25">
      <c r="A2179" s="365" t="s">
        <v>520</v>
      </c>
      <c r="B2179" s="1209" t="s">
        <v>1382</v>
      </c>
      <c r="C2179" s="1210"/>
      <c r="D2179" s="1211"/>
      <c r="E2179" s="247">
        <f>+(244+267)/2</f>
        <v>255.5</v>
      </c>
      <c r="F2179" s="661" t="s">
        <v>40</v>
      </c>
      <c r="G2179" s="171">
        <v>288</v>
      </c>
      <c r="H2179" s="589" t="s">
        <v>1140</v>
      </c>
      <c r="I2179" s="365">
        <v>1.02</v>
      </c>
      <c r="J2179" s="365"/>
      <c r="K2179" s="247">
        <f>+E2179/G2179*I2179</f>
        <v>0.90489583333333334</v>
      </c>
      <c r="L2179" s="365" t="s">
        <v>205</v>
      </c>
      <c r="M2179" s="54"/>
      <c r="N2179" s="54"/>
      <c r="V2179" s="345"/>
      <c r="W2179" s="345"/>
      <c r="X2179" s="345"/>
      <c r="Y2179" s="345"/>
    </row>
    <row r="2180" spans="1:25" s="345" customFormat="1" ht="30" customHeight="1" x14ac:dyDescent="0.25">
      <c r="A2180" s="365" t="s">
        <v>520</v>
      </c>
      <c r="B2180" s="1209" t="s">
        <v>1358</v>
      </c>
      <c r="C2180" s="1210"/>
      <c r="D2180" s="1211"/>
      <c r="E2180" s="247">
        <f>(23.75+47.75)/2</f>
        <v>35.75</v>
      </c>
      <c r="F2180" s="1108" t="s">
        <v>40</v>
      </c>
      <c r="G2180" s="171">
        <v>288</v>
      </c>
      <c r="H2180" s="1106" t="s">
        <v>1140</v>
      </c>
      <c r="I2180" s="365">
        <v>1.02</v>
      </c>
      <c r="J2180" s="706"/>
      <c r="K2180" s="247">
        <f>+E2180/G2180*I2180</f>
        <v>0.12661458333333334</v>
      </c>
      <c r="L2180" s="365" t="s">
        <v>205</v>
      </c>
      <c r="M2180" s="54"/>
      <c r="N2180" s="54"/>
      <c r="O2180" s="334"/>
      <c r="P2180" s="340"/>
      <c r="Q2180" s="334"/>
      <c r="R2180" s="334"/>
      <c r="S2180" s="334"/>
      <c r="T2180" s="334"/>
      <c r="U2180" s="334"/>
    </row>
    <row r="2181" spans="1:25" s="345" customFormat="1" ht="30" customHeight="1" x14ac:dyDescent="0.25">
      <c r="A2181" s="365" t="s">
        <v>406</v>
      </c>
      <c r="B2181" s="1214" t="s">
        <v>1366</v>
      </c>
      <c r="C2181" s="1215"/>
      <c r="D2181" s="1215"/>
      <c r="E2181" s="247">
        <v>4.38</v>
      </c>
      <c r="F2181" s="661" t="s">
        <v>205</v>
      </c>
      <c r="G2181" s="366"/>
      <c r="H2181" s="662"/>
      <c r="I2181" s="365">
        <v>1.01</v>
      </c>
      <c r="J2181" s="706"/>
      <c r="K2181" s="247">
        <f>+E2181*I2181</f>
        <v>4.4238</v>
      </c>
      <c r="L2181" s="365" t="s">
        <v>205</v>
      </c>
      <c r="M2181" s="54"/>
      <c r="N2181" s="54"/>
      <c r="O2181" s="334"/>
      <c r="P2181" s="340"/>
      <c r="Q2181" s="334"/>
      <c r="R2181" s="334"/>
      <c r="S2181" s="334"/>
      <c r="T2181" s="10"/>
      <c r="U2181" s="334"/>
    </row>
    <row r="2182" spans="1:25" ht="30" customHeight="1" x14ac:dyDescent="0.25">
      <c r="A2182" s="365"/>
      <c r="B2182" s="1281"/>
      <c r="C2182" s="1281"/>
      <c r="D2182" s="1281"/>
      <c r="E2182" s="247"/>
      <c r="F2182" s="365"/>
      <c r="G2182" s="366"/>
      <c r="H2182" s="662"/>
      <c r="I2182" s="365"/>
      <c r="J2182" s="365" t="s">
        <v>343</v>
      </c>
      <c r="K2182" s="247">
        <f>SUM(K2177:K2181)</f>
        <v>105.78521058457994</v>
      </c>
      <c r="L2182" s="365" t="s">
        <v>205</v>
      </c>
      <c r="M2182" s="54"/>
      <c r="O2182" s="336"/>
      <c r="P2182" s="334"/>
      <c r="Q2182" s="335"/>
      <c r="R2182" s="336"/>
      <c r="S2182" s="337"/>
    </row>
    <row r="2183" spans="1:25" s="345" customFormat="1" ht="30" customHeight="1" x14ac:dyDescent="0.25">
      <c r="A2183" s="365"/>
      <c r="B2183" s="578"/>
      <c r="C2183" s="578"/>
      <c r="D2183" s="578"/>
      <c r="E2183" s="247"/>
      <c r="F2183" s="1272" t="s">
        <v>303</v>
      </c>
      <c r="G2183" s="1283" t="s">
        <v>304</v>
      </c>
      <c r="H2183" s="1283"/>
      <c r="I2183" s="1283"/>
      <c r="J2183" s="1283"/>
      <c r="K2183" s="250">
        <v>1.1000000000000001</v>
      </c>
      <c r="L2183" s="365"/>
      <c r="M2183" s="54"/>
      <c r="N2183" s="54"/>
      <c r="O2183" s="334"/>
      <c r="P2183" s="340"/>
      <c r="Q2183" s="334"/>
      <c r="R2183" s="334"/>
      <c r="S2183" s="334"/>
      <c r="T2183" s="10"/>
      <c r="U2183" s="10"/>
      <c r="V2183" s="334"/>
      <c r="W2183" s="334"/>
      <c r="X2183" s="334"/>
      <c r="Y2183" s="334"/>
    </row>
    <row r="2184" spans="1:25" ht="30" customHeight="1" x14ac:dyDescent="0.25">
      <c r="A2184" s="365"/>
      <c r="B2184" s="578"/>
      <c r="C2184" s="578"/>
      <c r="D2184" s="578"/>
      <c r="E2184" s="247"/>
      <c r="F2184" s="1273"/>
      <c r="G2184" s="1284" t="s">
        <v>438</v>
      </c>
      <c r="H2184" s="1284"/>
      <c r="I2184" s="1284"/>
      <c r="J2184" s="1284"/>
      <c r="K2184" s="250">
        <v>1.08</v>
      </c>
      <c r="L2184" s="365"/>
      <c r="M2184" s="54"/>
      <c r="N2184" s="54"/>
      <c r="O2184" s="543"/>
      <c r="P2184" s="344"/>
      <c r="Q2184" s="345"/>
      <c r="R2184" s="345"/>
      <c r="S2184" s="345"/>
      <c r="T2184" s="345"/>
      <c r="U2184" s="10"/>
    </row>
    <row r="2185" spans="1:25" ht="30" customHeight="1" x14ac:dyDescent="0.25">
      <c r="A2185" s="365"/>
      <c r="B2185" s="365"/>
      <c r="C2185" s="366"/>
      <c r="D2185" s="366"/>
      <c r="E2185" s="366"/>
      <c r="F2185" s="366"/>
      <c r="G2185" s="366"/>
      <c r="H2185" s="366"/>
      <c r="I2185" s="366"/>
      <c r="J2185" s="366" t="s">
        <v>72</v>
      </c>
      <c r="K2185" s="246">
        <f>+K2182*K2183/K2184</f>
        <v>107.74419596577587</v>
      </c>
      <c r="L2185" s="365" t="s">
        <v>205</v>
      </c>
      <c r="M2185" s="54"/>
      <c r="N2185" s="54"/>
      <c r="O2185" s="543"/>
      <c r="P2185" s="344"/>
      <c r="Q2185" s="345"/>
      <c r="R2185" s="345"/>
      <c r="S2185" s="345"/>
      <c r="T2185" s="345"/>
      <c r="U2185" s="345"/>
    </row>
    <row r="2186" spans="1:25" ht="30" customHeight="1" x14ac:dyDescent="0.25">
      <c r="A2186" s="365"/>
      <c r="B2186" s="365"/>
      <c r="C2186" s="366"/>
      <c r="D2186" s="366"/>
      <c r="E2186" s="366"/>
      <c r="F2186" s="366"/>
      <c r="G2186" s="580" t="s">
        <v>306</v>
      </c>
      <c r="H2186" s="366"/>
      <c r="I2186" s="366"/>
      <c r="J2186" s="521">
        <f>VLOOKUP(B2175,'Mil Cost Premiums for PUCs'!$A$4:$R$277,18,FALSE)</f>
        <v>1.1932356231980656</v>
      </c>
      <c r="K2186" s="246">
        <f>+K2185*J2186</f>
        <v>128.56421281919708</v>
      </c>
      <c r="L2186" s="365" t="s">
        <v>205</v>
      </c>
      <c r="M2186" s="54"/>
      <c r="N2186" s="54"/>
      <c r="O2186" s="554"/>
      <c r="P2186" s="344"/>
      <c r="Q2186" s="345"/>
      <c r="R2186" s="345"/>
      <c r="S2186" s="345"/>
      <c r="T2186" s="345"/>
      <c r="U2186" s="345"/>
    </row>
    <row r="2187" spans="1:25" ht="30" customHeight="1" thickBot="1" x14ac:dyDescent="0.3">
      <c r="A2187" s="835"/>
      <c r="B2187" s="835"/>
      <c r="C2187" s="840"/>
      <c r="D2187" s="840"/>
      <c r="E2187" s="850"/>
      <c r="F2187" s="1278" t="s">
        <v>1148</v>
      </c>
      <c r="G2187" s="1278"/>
      <c r="H2187" s="1278"/>
      <c r="I2187" s="1278"/>
      <c r="J2187" s="845">
        <v>1.0833999999999999</v>
      </c>
      <c r="K2187" s="544">
        <f>K2186*J2187</f>
        <v>139.28646816831809</v>
      </c>
      <c r="L2187" s="369" t="s">
        <v>205</v>
      </c>
      <c r="N2187" s="111"/>
      <c r="O2187" s="554"/>
      <c r="U2187" s="345"/>
      <c r="V2187" s="345"/>
      <c r="W2187" s="345"/>
      <c r="X2187" s="345"/>
      <c r="Y2187" s="345"/>
    </row>
    <row r="2188" spans="1:25" s="345" customFormat="1" ht="30" customHeight="1" thickBot="1" x14ac:dyDescent="0.3">
      <c r="A2188" s="1180"/>
      <c r="B2188" s="1181"/>
      <c r="C2188" s="1181"/>
      <c r="D2188" s="1181"/>
      <c r="E2188" s="1181"/>
      <c r="F2188" s="1181"/>
      <c r="G2188" s="1181"/>
      <c r="H2188" s="1181"/>
      <c r="I2188" s="1181"/>
      <c r="J2188" s="1181"/>
      <c r="K2188" s="1181"/>
      <c r="L2188" s="1182"/>
      <c r="M2188" s="54"/>
      <c r="N2188" s="54"/>
      <c r="O2188" s="554"/>
      <c r="P2188" s="340"/>
      <c r="Q2188" s="334"/>
      <c r="R2188" s="334"/>
      <c r="S2188" s="334"/>
      <c r="T2188" s="334"/>
      <c r="U2188" s="334"/>
      <c r="V2188" s="334"/>
      <c r="W2188" s="334"/>
      <c r="X2188" s="334"/>
      <c r="Y2188" s="334"/>
    </row>
    <row r="2189" spans="1:25" ht="30" customHeight="1" x14ac:dyDescent="0.25">
      <c r="A2189" s="327" t="s">
        <v>5</v>
      </c>
      <c r="B2189" s="328">
        <v>2291</v>
      </c>
      <c r="C2189" s="1251" t="s">
        <v>1383</v>
      </c>
      <c r="D2189" s="1252"/>
      <c r="E2189" s="331" t="s">
        <v>8</v>
      </c>
      <c r="F2189" s="332" t="s">
        <v>76</v>
      </c>
      <c r="G2189" s="333" t="s">
        <v>7</v>
      </c>
      <c r="H2189" s="576">
        <v>1</v>
      </c>
      <c r="I2189" s="331" t="s">
        <v>10</v>
      </c>
      <c r="J2189" s="1220" t="s">
        <v>1384</v>
      </c>
      <c r="K2189" s="1220"/>
      <c r="L2189" s="1221"/>
      <c r="M2189" s="54"/>
      <c r="N2189" s="54"/>
      <c r="V2189" s="345"/>
      <c r="W2189" s="345"/>
      <c r="X2189" s="345"/>
      <c r="Y2189" s="345"/>
    </row>
    <row r="2190" spans="1:25" s="345" customFormat="1" ht="30" customHeight="1" x14ac:dyDescent="0.25">
      <c r="A2190" s="359" t="s">
        <v>295</v>
      </c>
      <c r="B2190" s="1222" t="s">
        <v>326</v>
      </c>
      <c r="C2190" s="1235"/>
      <c r="D2190" s="1223"/>
      <c r="E2190" s="577" t="s">
        <v>116</v>
      </c>
      <c r="F2190" s="577" t="s">
        <v>117</v>
      </c>
      <c r="G2190" s="1194" t="s">
        <v>118</v>
      </c>
      <c r="H2190" s="1195"/>
      <c r="I2190" s="356" t="s">
        <v>296</v>
      </c>
      <c r="J2190" s="356" t="s">
        <v>1385</v>
      </c>
      <c r="K2190" s="1236" t="s">
        <v>285</v>
      </c>
      <c r="L2190" s="1237"/>
      <c r="M2190" s="54"/>
      <c r="N2190" s="54"/>
      <c r="O2190" s="334"/>
      <c r="P2190" s="340"/>
      <c r="Q2190" s="334"/>
      <c r="R2190" s="334"/>
      <c r="S2190" s="334"/>
      <c r="T2190" s="334"/>
      <c r="U2190" s="334"/>
    </row>
    <row r="2191" spans="1:25" s="345" customFormat="1" ht="30" customHeight="1" x14ac:dyDescent="0.25">
      <c r="A2191" s="365" t="s">
        <v>1386</v>
      </c>
      <c r="B2191" s="1209" t="s">
        <v>1387</v>
      </c>
      <c r="C2191" s="1210"/>
      <c r="D2191" s="1211"/>
      <c r="E2191" s="247">
        <f>+(7200+10800)/2</f>
        <v>9000</v>
      </c>
      <c r="F2191" s="365" t="s">
        <v>1388</v>
      </c>
      <c r="G2191" s="365">
        <v>180</v>
      </c>
      <c r="H2191" s="486" t="s">
        <v>1388</v>
      </c>
      <c r="I2191" s="365">
        <v>1.01</v>
      </c>
      <c r="J2191" s="851">
        <f>+'2022 MILCON Inflation Table'!F13</f>
        <v>1.2561273320332946</v>
      </c>
      <c r="K2191" s="247">
        <f>+E2191*I2191*G2191*J2191</f>
        <v>2055275.5406728766</v>
      </c>
      <c r="L2191" s="365" t="s">
        <v>76</v>
      </c>
      <c r="M2191" s="54"/>
      <c r="N2191" s="54"/>
      <c r="O2191" s="334"/>
      <c r="P2191" s="340"/>
      <c r="Q2191" s="334"/>
      <c r="R2191" s="334"/>
      <c r="S2191" s="334"/>
      <c r="T2191" s="10"/>
      <c r="U2191" s="334"/>
    </row>
    <row r="2192" spans="1:25" s="345" customFormat="1" ht="30" customHeight="1" x14ac:dyDescent="0.25">
      <c r="A2192" s="365"/>
      <c r="B2192" s="1281"/>
      <c r="C2192" s="1281"/>
      <c r="D2192" s="1281"/>
      <c r="E2192" s="247"/>
      <c r="F2192" s="365"/>
      <c r="G2192" s="366"/>
      <c r="H2192" s="662"/>
      <c r="I2192" s="365"/>
      <c r="J2192" s="365" t="s">
        <v>343</v>
      </c>
      <c r="K2192" s="247">
        <f>SUM(K2191:K2191)</f>
        <v>2055275.5406728766</v>
      </c>
      <c r="L2192" s="365" t="s">
        <v>76</v>
      </c>
      <c r="M2192" s="54"/>
      <c r="N2192" s="54"/>
      <c r="O2192" s="334"/>
      <c r="P2192" s="340"/>
      <c r="Q2192" s="334"/>
      <c r="R2192" s="334"/>
      <c r="S2192" s="334"/>
      <c r="T2192" s="10"/>
      <c r="U2192" s="10"/>
      <c r="V2192" s="334"/>
      <c r="W2192" s="334"/>
      <c r="X2192" s="334"/>
      <c r="Y2192" s="334"/>
    </row>
    <row r="2193" spans="1:21" ht="30" customHeight="1" x14ac:dyDescent="0.25">
      <c r="A2193" s="365"/>
      <c r="B2193" s="578"/>
      <c r="C2193" s="578"/>
      <c r="D2193" s="578"/>
      <c r="E2193" s="247"/>
      <c r="F2193" s="1272" t="s">
        <v>303</v>
      </c>
      <c r="G2193" s="1283" t="s">
        <v>304</v>
      </c>
      <c r="H2193" s="1283"/>
      <c r="I2193" s="1283"/>
      <c r="J2193" s="1283"/>
      <c r="K2193" s="365">
        <v>1.07</v>
      </c>
      <c r="L2193" s="365"/>
      <c r="M2193" s="54"/>
      <c r="N2193" s="54"/>
      <c r="O2193" s="336"/>
      <c r="P2193" s="334"/>
      <c r="Q2193" s="335"/>
      <c r="R2193" s="336"/>
      <c r="S2193" s="337"/>
      <c r="U2193" s="10"/>
    </row>
    <row r="2194" spans="1:21" ht="30" customHeight="1" x14ac:dyDescent="0.25">
      <c r="A2194" s="365"/>
      <c r="B2194" s="578"/>
      <c r="C2194" s="578"/>
      <c r="D2194" s="578"/>
      <c r="E2194" s="247"/>
      <c r="F2194" s="1273"/>
      <c r="G2194" s="1284" t="s">
        <v>438</v>
      </c>
      <c r="H2194" s="1284"/>
      <c r="I2194" s="1284"/>
      <c r="J2194" s="1284"/>
      <c r="K2194" s="250">
        <v>1.08</v>
      </c>
      <c r="L2194" s="365"/>
      <c r="M2194" s="54"/>
      <c r="O2194" s="336"/>
      <c r="P2194" s="334"/>
      <c r="Q2194" s="335"/>
      <c r="R2194" s="336"/>
      <c r="S2194" s="337"/>
    </row>
    <row r="2195" spans="1:21" ht="30" customHeight="1" x14ac:dyDescent="0.25">
      <c r="A2195" s="365"/>
      <c r="B2195" s="365"/>
      <c r="C2195" s="366"/>
      <c r="D2195" s="366"/>
      <c r="E2195" s="366"/>
      <c r="F2195" s="366"/>
      <c r="G2195" s="366"/>
      <c r="H2195" s="366"/>
      <c r="I2195" s="366"/>
      <c r="J2195" s="366" t="s">
        <v>72</v>
      </c>
      <c r="K2195" s="246">
        <f>+K2192*K2193/K2194</f>
        <v>2036245.2115925723</v>
      </c>
      <c r="L2195" s="365" t="s">
        <v>76</v>
      </c>
      <c r="M2195" s="54"/>
      <c r="N2195" s="54"/>
      <c r="O2195" s="336"/>
      <c r="P2195" s="334"/>
      <c r="Q2195" s="335"/>
      <c r="R2195" s="336"/>
      <c r="S2195" s="337"/>
    </row>
    <row r="2196" spans="1:21" ht="30" customHeight="1" thickBot="1" x14ac:dyDescent="0.3">
      <c r="A2196" s="365"/>
      <c r="B2196" s="365"/>
      <c r="C2196" s="366"/>
      <c r="D2196" s="366"/>
      <c r="E2196" s="366"/>
      <c r="F2196" s="366"/>
      <c r="G2196" s="580" t="s">
        <v>306</v>
      </c>
      <c r="H2196" s="366"/>
      <c r="I2196" s="366"/>
      <c r="J2196" s="521">
        <f>VLOOKUP(B2189,'Mil Cost Premiums for PUCs'!$A$4:$R$277,18,FALSE)</f>
        <v>1.1233553701921195</v>
      </c>
      <c r="K2196" s="246">
        <f>+K2195*J2196</f>
        <v>2287426.9934705049</v>
      </c>
      <c r="L2196" s="365" t="s">
        <v>76</v>
      </c>
      <c r="M2196" s="54"/>
      <c r="N2196" s="54"/>
      <c r="P2196" s="335"/>
      <c r="Q2196" s="336"/>
      <c r="R2196" s="337"/>
    </row>
    <row r="2197" spans="1:21" ht="30" customHeight="1" thickBot="1" x14ac:dyDescent="0.3">
      <c r="A2197" s="1180"/>
      <c r="B2197" s="1181"/>
      <c r="C2197" s="1181"/>
      <c r="D2197" s="1181"/>
      <c r="E2197" s="1181"/>
      <c r="F2197" s="1181"/>
      <c r="G2197" s="1181"/>
      <c r="H2197" s="1181"/>
      <c r="I2197" s="1181"/>
      <c r="J2197" s="1181"/>
      <c r="K2197" s="1181"/>
      <c r="L2197" s="1182"/>
      <c r="M2197" s="54"/>
      <c r="N2197" s="54"/>
      <c r="P2197" s="335"/>
      <c r="Q2197" s="336"/>
      <c r="R2197" s="337"/>
    </row>
    <row r="2198" spans="1:21" ht="30" customHeight="1" x14ac:dyDescent="0.25">
      <c r="A2198" s="327" t="s">
        <v>5</v>
      </c>
      <c r="B2198" s="328">
        <v>3101</v>
      </c>
      <c r="C2198" s="1251" t="s">
        <v>1389</v>
      </c>
      <c r="D2198" s="1252"/>
      <c r="E2198" s="331" t="s">
        <v>8</v>
      </c>
      <c r="F2198" s="332" t="s">
        <v>205</v>
      </c>
      <c r="G2198" s="342" t="s">
        <v>74</v>
      </c>
      <c r="H2198" s="653">
        <v>16490</v>
      </c>
      <c r="I2198" s="331" t="s">
        <v>10</v>
      </c>
      <c r="J2198" s="1220" t="s">
        <v>3388</v>
      </c>
      <c r="K2198" s="1220"/>
      <c r="L2198" s="1221"/>
      <c r="M2198" s="54"/>
      <c r="N2198" s="54"/>
      <c r="P2198" s="335"/>
      <c r="Q2198" s="336"/>
      <c r="R2198" s="337"/>
    </row>
    <row r="2199" spans="1:21" ht="30" customHeight="1" x14ac:dyDescent="0.25">
      <c r="A2199" s="359" t="s">
        <v>295</v>
      </c>
      <c r="B2199" s="1222" t="s">
        <v>326</v>
      </c>
      <c r="C2199" s="1235"/>
      <c r="D2199" s="1223"/>
      <c r="E2199" s="577" t="s">
        <v>116</v>
      </c>
      <c r="F2199" s="577" t="s">
        <v>117</v>
      </c>
      <c r="G2199" s="1194" t="s">
        <v>118</v>
      </c>
      <c r="H2199" s="1195"/>
      <c r="I2199" s="356" t="s">
        <v>296</v>
      </c>
      <c r="J2199" s="356"/>
      <c r="K2199" s="1236" t="s">
        <v>285</v>
      </c>
      <c r="L2199" s="1237"/>
      <c r="M2199" s="54"/>
      <c r="N2199" s="54"/>
      <c r="P2199" s="335"/>
      <c r="Q2199" s="336"/>
      <c r="R2199" s="337"/>
    </row>
    <row r="2200" spans="1:21" ht="30" customHeight="1" x14ac:dyDescent="0.25">
      <c r="A2200" s="365" t="s">
        <v>411</v>
      </c>
      <c r="B2200" s="1209" t="s">
        <v>1390</v>
      </c>
      <c r="C2200" s="1210"/>
      <c r="D2200" s="1211"/>
      <c r="E2200" s="247">
        <v>242</v>
      </c>
      <c r="F2200" s="365" t="s">
        <v>205</v>
      </c>
      <c r="G2200" s="365"/>
      <c r="H2200" s="365"/>
      <c r="I2200" s="365">
        <v>1.01</v>
      </c>
      <c r="J2200" s="706"/>
      <c r="K2200" s="247">
        <f>+E2200*I2200</f>
        <v>244.42000000000002</v>
      </c>
      <c r="L2200" s="365" t="s">
        <v>205</v>
      </c>
      <c r="M2200" s="54"/>
      <c r="N2200" s="54"/>
      <c r="P2200" s="335"/>
      <c r="Q2200" s="336"/>
      <c r="R2200" s="337"/>
    </row>
    <row r="2201" spans="1:21" ht="30" customHeight="1" x14ac:dyDescent="0.25">
      <c r="A2201" s="365" t="s">
        <v>411</v>
      </c>
      <c r="B2201" s="1214" t="s">
        <v>1391</v>
      </c>
      <c r="C2201" s="1215"/>
      <c r="D2201" s="1216"/>
      <c r="E2201" s="247">
        <v>37.5</v>
      </c>
      <c r="F2201" s="661" t="s">
        <v>205</v>
      </c>
      <c r="G2201" s="366"/>
      <c r="H2201" s="662"/>
      <c r="I2201" s="365">
        <v>1.01</v>
      </c>
      <c r="J2201" s="706"/>
      <c r="K2201" s="247">
        <f>+E2201*I2201</f>
        <v>37.875</v>
      </c>
      <c r="L2201" s="365" t="s">
        <v>205</v>
      </c>
      <c r="M2201" s="111"/>
      <c r="N2201" s="54"/>
      <c r="P2201" s="335"/>
      <c r="Q2201" s="336"/>
      <c r="R2201" s="337"/>
    </row>
    <row r="2202" spans="1:21" ht="30" customHeight="1" x14ac:dyDescent="0.25">
      <c r="A2202" s="365" t="s">
        <v>406</v>
      </c>
      <c r="B2202" s="1214" t="s">
        <v>1392</v>
      </c>
      <c r="C2202" s="1215"/>
      <c r="D2202" s="1216"/>
      <c r="E2202" s="247">
        <v>3.85</v>
      </c>
      <c r="F2202" s="661" t="s">
        <v>205</v>
      </c>
      <c r="G2202" s="366"/>
      <c r="H2202" s="662"/>
      <c r="I2202" s="365">
        <v>1.01</v>
      </c>
      <c r="J2202" s="706"/>
      <c r="K2202" s="247">
        <f>+E2202*I2202</f>
        <v>3.8885000000000001</v>
      </c>
      <c r="L2202" s="365" t="s">
        <v>205</v>
      </c>
      <c r="M2202" s="54"/>
      <c r="P2202" s="335"/>
      <c r="Q2202" s="336"/>
      <c r="R2202" s="337"/>
    </row>
    <row r="2203" spans="1:21" ht="30" customHeight="1" x14ac:dyDescent="0.25">
      <c r="A2203" s="365"/>
      <c r="B2203" s="365"/>
      <c r="C2203" s="662"/>
      <c r="D2203" s="662"/>
      <c r="E2203" s="662"/>
      <c r="F2203" s="247"/>
      <c r="G2203" s="365"/>
      <c r="H2203" s="366"/>
      <c r="I2203" s="365"/>
      <c r="J2203" s="365" t="s">
        <v>343</v>
      </c>
      <c r="K2203" s="247">
        <f>SUM(K2200:K2202)</f>
        <v>286.18350000000004</v>
      </c>
      <c r="L2203" s="365" t="s">
        <v>205</v>
      </c>
      <c r="M2203" s="54"/>
      <c r="N2203" s="54"/>
      <c r="P2203" s="335"/>
      <c r="Q2203" s="336"/>
      <c r="R2203" s="337"/>
    </row>
    <row r="2204" spans="1:21" ht="30" customHeight="1" x14ac:dyDescent="0.25">
      <c r="A2204" s="365"/>
      <c r="B2204" s="578"/>
      <c r="C2204" s="578"/>
      <c r="D2204" s="578"/>
      <c r="E2204" s="247"/>
      <c r="F2204" s="1272" t="s">
        <v>303</v>
      </c>
      <c r="G2204" s="1283" t="s">
        <v>304</v>
      </c>
      <c r="H2204" s="1283"/>
      <c r="I2204" s="1283"/>
      <c r="J2204" s="1283"/>
      <c r="K2204" s="706">
        <f>(1.08+1.1)/2</f>
        <v>1.0900000000000001</v>
      </c>
      <c r="L2204" s="365"/>
      <c r="M2204" s="54"/>
      <c r="N2204" s="54"/>
      <c r="P2204" s="335"/>
      <c r="Q2204" s="336"/>
      <c r="R2204" s="337"/>
    </row>
    <row r="2205" spans="1:21" ht="30" customHeight="1" x14ac:dyDescent="0.25">
      <c r="A2205" s="365"/>
      <c r="B2205" s="578"/>
      <c r="C2205" s="578"/>
      <c r="D2205" s="578"/>
      <c r="E2205" s="247"/>
      <c r="F2205" s="1273"/>
      <c r="G2205" s="1284" t="s">
        <v>438</v>
      </c>
      <c r="H2205" s="1284"/>
      <c r="I2205" s="1284"/>
      <c r="J2205" s="1284"/>
      <c r="K2205" s="250">
        <v>1.08</v>
      </c>
      <c r="L2205" s="365"/>
      <c r="M2205" s="54"/>
      <c r="N2205" s="54"/>
      <c r="P2205" s="335"/>
      <c r="Q2205" s="336"/>
      <c r="R2205" s="337"/>
    </row>
    <row r="2206" spans="1:21" ht="30" customHeight="1" x14ac:dyDescent="0.25">
      <c r="A2206" s="365"/>
      <c r="B2206" s="365"/>
      <c r="C2206" s="365"/>
      <c r="D2206" s="366"/>
      <c r="E2206" s="366"/>
      <c r="F2206" s="366"/>
      <c r="G2206" s="366"/>
      <c r="H2206" s="366"/>
      <c r="I2206" s="366"/>
      <c r="J2206" s="365" t="s">
        <v>72</v>
      </c>
      <c r="K2206" s="246">
        <f>+K2203*K2204/K2205</f>
        <v>288.83334722222224</v>
      </c>
      <c r="L2206" s="365" t="s">
        <v>205</v>
      </c>
      <c r="M2206" s="54"/>
      <c r="N2206" s="54"/>
      <c r="P2206" s="335"/>
      <c r="Q2206" s="336"/>
      <c r="R2206" s="337"/>
    </row>
    <row r="2207" spans="1:21" ht="30" customHeight="1" x14ac:dyDescent="0.25">
      <c r="A2207" s="365"/>
      <c r="B2207" s="365"/>
      <c r="C2207" s="365"/>
      <c r="D2207" s="366"/>
      <c r="E2207" s="366"/>
      <c r="F2207" s="366"/>
      <c r="G2207" s="398" t="s">
        <v>414</v>
      </c>
      <c r="H2207" s="366"/>
      <c r="I2207" s="366"/>
      <c r="J2207" s="521">
        <f>VLOOKUP(B2198,'Mil Cost Premiums for PUCs'!$A$4:$R$277,18,FALSE)</f>
        <v>1.3319480854780448</v>
      </c>
      <c r="K2207" s="246">
        <f>+K2206*J2207</f>
        <v>384.71102385485426</v>
      </c>
      <c r="L2207" s="365" t="s">
        <v>205</v>
      </c>
      <c r="M2207" s="54"/>
      <c r="N2207" s="54"/>
      <c r="O2207" s="340"/>
      <c r="P2207" s="335"/>
      <c r="Q2207" s="336"/>
      <c r="R2207" s="337"/>
    </row>
    <row r="2208" spans="1:21" ht="30" customHeight="1" x14ac:dyDescent="0.25">
      <c r="A2208" s="835"/>
      <c r="B2208" s="835"/>
      <c r="C2208" s="840"/>
      <c r="D2208" s="840"/>
      <c r="E2208" s="850"/>
      <c r="F2208" s="1278" t="s">
        <v>1148</v>
      </c>
      <c r="G2208" s="1278"/>
      <c r="H2208" s="1278"/>
      <c r="I2208" s="1278"/>
      <c r="J2208" s="845">
        <v>1.0833999999999999</v>
      </c>
      <c r="K2208" s="544">
        <f>K2207*J2208</f>
        <v>416.79592324434907</v>
      </c>
      <c r="L2208" s="369" t="s">
        <v>205</v>
      </c>
      <c r="N2208" s="54"/>
      <c r="P2208" s="335"/>
      <c r="Q2208" s="336"/>
      <c r="R2208" s="337"/>
    </row>
    <row r="2209" spans="1:19" ht="75" customHeight="1" x14ac:dyDescent="0.25">
      <c r="A2209" s="1230" t="s">
        <v>307</v>
      </c>
      <c r="B2209" s="1231"/>
      <c r="C2209" s="1231"/>
      <c r="D2209" s="1231"/>
      <c r="E2209" s="1231"/>
      <c r="F2209" s="1231"/>
      <c r="G2209" s="1231"/>
      <c r="H2209" s="1231"/>
      <c r="I2209" s="1231"/>
      <c r="J2209" s="1231"/>
      <c r="K2209" s="1231"/>
      <c r="L2209" s="1232"/>
      <c r="M2209" s="54"/>
      <c r="N2209" s="54"/>
      <c r="O2209" s="336"/>
      <c r="P2209" s="334"/>
      <c r="Q2209" s="335"/>
      <c r="R2209" s="336"/>
      <c r="S2209" s="337"/>
    </row>
    <row r="2210" spans="1:19" ht="30" customHeight="1" x14ac:dyDescent="0.25">
      <c r="A2210" s="1268" t="s">
        <v>308</v>
      </c>
      <c r="B2210" s="1167"/>
      <c r="C2210" s="1168"/>
      <c r="D2210" s="1230" t="s">
        <v>1393</v>
      </c>
      <c r="E2210" s="1231"/>
      <c r="F2210" s="1231"/>
      <c r="G2210" s="1231"/>
      <c r="H2210" s="1231"/>
      <c r="I2210" s="1231"/>
      <c r="J2210" s="1231"/>
      <c r="K2210" s="1231"/>
      <c r="L2210" s="1232"/>
      <c r="M2210" s="54"/>
      <c r="N2210" s="54"/>
      <c r="O2210" s="336"/>
      <c r="P2210" s="334"/>
      <c r="Q2210" s="335"/>
      <c r="R2210" s="336"/>
      <c r="S2210" s="337"/>
    </row>
    <row r="2211" spans="1:19" ht="45" customHeight="1" x14ac:dyDescent="0.25">
      <c r="A2211" s="1268" t="s">
        <v>310</v>
      </c>
      <c r="B2211" s="1167"/>
      <c r="C2211" s="1168"/>
      <c r="D2211" s="1230" t="s">
        <v>1394</v>
      </c>
      <c r="E2211" s="1231"/>
      <c r="F2211" s="1231"/>
      <c r="G2211" s="1231"/>
      <c r="H2211" s="1231"/>
      <c r="I2211" s="1231"/>
      <c r="J2211" s="1231"/>
      <c r="K2211" s="1231"/>
      <c r="L2211" s="1232"/>
      <c r="M2211" s="54"/>
      <c r="N2211" s="54"/>
      <c r="P2211" s="335"/>
      <c r="Q2211" s="336"/>
      <c r="R2211" s="337"/>
    </row>
    <row r="2212" spans="1:19" ht="30" customHeight="1" x14ac:dyDescent="0.25">
      <c r="A2212" s="1268" t="s">
        <v>312</v>
      </c>
      <c r="B2212" s="1167"/>
      <c r="C2212" s="1168"/>
      <c r="D2212" s="1230" t="s">
        <v>1395</v>
      </c>
      <c r="E2212" s="1231"/>
      <c r="F2212" s="1231"/>
      <c r="G2212" s="1231"/>
      <c r="H2212" s="1231"/>
      <c r="I2212" s="1231"/>
      <c r="J2212" s="1231"/>
      <c r="K2212" s="1231"/>
      <c r="L2212" s="1232"/>
      <c r="M2212" s="54"/>
      <c r="N2212" s="54"/>
      <c r="P2212" s="335"/>
      <c r="Q2212" s="336"/>
      <c r="R2212" s="337"/>
    </row>
    <row r="2213" spans="1:19" ht="45" customHeight="1" x14ac:dyDescent="0.25">
      <c r="A2213" s="1268" t="s">
        <v>314</v>
      </c>
      <c r="B2213" s="1167"/>
      <c r="C2213" s="1168"/>
      <c r="D2213" s="1230" t="s">
        <v>1396</v>
      </c>
      <c r="E2213" s="1231"/>
      <c r="F2213" s="1231"/>
      <c r="G2213" s="1231"/>
      <c r="H2213" s="1231"/>
      <c r="I2213" s="1231"/>
      <c r="J2213" s="1231"/>
      <c r="K2213" s="1231"/>
      <c r="L2213" s="1232"/>
      <c r="M2213" s="54"/>
      <c r="N2213" s="54"/>
      <c r="O2213" s="336"/>
      <c r="P2213" s="334"/>
      <c r="Q2213" s="335"/>
      <c r="R2213" s="336"/>
      <c r="S2213" s="337"/>
    </row>
    <row r="2214" spans="1:19" ht="30" customHeight="1" x14ac:dyDescent="0.25">
      <c r="A2214" s="1268" t="s">
        <v>316</v>
      </c>
      <c r="B2214" s="1167"/>
      <c r="C2214" s="1168"/>
      <c r="D2214" s="1230" t="s">
        <v>1397</v>
      </c>
      <c r="E2214" s="1231"/>
      <c r="F2214" s="1231"/>
      <c r="G2214" s="1231"/>
      <c r="H2214" s="1231"/>
      <c r="I2214" s="1231"/>
      <c r="J2214" s="1231"/>
      <c r="K2214" s="1231"/>
      <c r="L2214" s="1232"/>
      <c r="M2214" s="54"/>
      <c r="N2214" s="54"/>
      <c r="O2214" s="336"/>
      <c r="P2214" s="334"/>
      <c r="Q2214" s="335"/>
      <c r="R2214" s="336"/>
      <c r="S2214" s="337"/>
    </row>
    <row r="2215" spans="1:19" ht="30" customHeight="1" x14ac:dyDescent="0.25">
      <c r="A2215" s="1268" t="s">
        <v>318</v>
      </c>
      <c r="B2215" s="1167"/>
      <c r="C2215" s="1168"/>
      <c r="D2215" s="1230" t="s">
        <v>319</v>
      </c>
      <c r="E2215" s="1231"/>
      <c r="F2215" s="1231"/>
      <c r="G2215" s="1231"/>
      <c r="H2215" s="1231"/>
      <c r="I2215" s="1231"/>
      <c r="J2215" s="1231"/>
      <c r="K2215" s="1231"/>
      <c r="L2215" s="1232"/>
      <c r="M2215" s="54"/>
      <c r="N2215" s="54"/>
      <c r="O2215" s="336"/>
      <c r="P2215" s="334"/>
      <c r="Q2215" s="335"/>
      <c r="R2215" s="336"/>
      <c r="S2215" s="337"/>
    </row>
    <row r="2216" spans="1:19" ht="30" customHeight="1" x14ac:dyDescent="0.25">
      <c r="A2216" s="1268" t="s">
        <v>320</v>
      </c>
      <c r="B2216" s="1167"/>
      <c r="C2216" s="1168"/>
      <c r="D2216" s="1230" t="s">
        <v>1398</v>
      </c>
      <c r="E2216" s="1231"/>
      <c r="F2216" s="1231"/>
      <c r="G2216" s="1231"/>
      <c r="H2216" s="1231"/>
      <c r="I2216" s="1231"/>
      <c r="J2216" s="1231"/>
      <c r="K2216" s="1231"/>
      <c r="L2216" s="1232"/>
      <c r="M2216" s="54"/>
      <c r="N2216" s="54"/>
      <c r="O2216" s="336"/>
      <c r="P2216" s="334"/>
      <c r="Q2216" s="335"/>
      <c r="R2216" s="336"/>
      <c r="S2216" s="337"/>
    </row>
    <row r="2217" spans="1:19" ht="75" customHeight="1" x14ac:dyDescent="0.25">
      <c r="A2217" s="1268" t="s">
        <v>322</v>
      </c>
      <c r="B2217" s="1167"/>
      <c r="C2217" s="1168"/>
      <c r="D2217" s="1230" t="s">
        <v>422</v>
      </c>
      <c r="E2217" s="1231"/>
      <c r="F2217" s="1231"/>
      <c r="G2217" s="1231"/>
      <c r="H2217" s="1231"/>
      <c r="I2217" s="1231"/>
      <c r="J2217" s="1231"/>
      <c r="K2217" s="1231"/>
      <c r="L2217" s="1232"/>
      <c r="N2217" s="54"/>
      <c r="O2217" s="336"/>
      <c r="P2217" s="334"/>
      <c r="Q2217" s="335"/>
      <c r="R2217" s="336"/>
      <c r="S2217" s="337"/>
    </row>
    <row r="2218" spans="1:19" ht="45" customHeight="1" thickBot="1" x14ac:dyDescent="0.3">
      <c r="A2218" s="1268" t="s">
        <v>1399</v>
      </c>
      <c r="B2218" s="1167"/>
      <c r="C2218" s="1168"/>
      <c r="D2218" s="1291" t="s">
        <v>3407</v>
      </c>
      <c r="E2218" s="1292"/>
      <c r="F2218" s="1292"/>
      <c r="G2218" s="1292"/>
      <c r="H2218" s="1292"/>
      <c r="I2218" s="1292"/>
      <c r="J2218" s="1292"/>
      <c r="K2218" s="1292"/>
      <c r="L2218" s="1293"/>
      <c r="M2218" s="54"/>
      <c r="N2218" s="54"/>
      <c r="O2218" s="336"/>
      <c r="P2218" s="334"/>
      <c r="Q2218" s="335"/>
      <c r="R2218" s="336"/>
      <c r="S2218" s="337"/>
    </row>
    <row r="2219" spans="1:19" ht="30" customHeight="1" thickBot="1" x14ac:dyDescent="0.3">
      <c r="A2219" s="1180"/>
      <c r="B2219" s="1181"/>
      <c r="C2219" s="1181"/>
      <c r="D2219" s="1181"/>
      <c r="E2219" s="1181"/>
      <c r="F2219" s="1181"/>
      <c r="G2219" s="1181"/>
      <c r="H2219" s="1181"/>
      <c r="I2219" s="1181"/>
      <c r="J2219" s="1181"/>
      <c r="K2219" s="1181"/>
      <c r="L2219" s="1182"/>
      <c r="M2219" s="54"/>
      <c r="N2219" s="54"/>
      <c r="O2219" s="336"/>
      <c r="P2219" s="334"/>
      <c r="Q2219" s="335"/>
      <c r="R2219" s="336"/>
      <c r="S2219" s="337"/>
    </row>
    <row r="2220" spans="1:19" ht="30" customHeight="1" x14ac:dyDescent="0.25">
      <c r="A2220" s="327" t="s">
        <v>5</v>
      </c>
      <c r="B2220" s="328">
        <v>3102</v>
      </c>
      <c r="C2220" s="1366" t="s">
        <v>1400</v>
      </c>
      <c r="D2220" s="1367"/>
      <c r="E2220" s="331" t="s">
        <v>8</v>
      </c>
      <c r="F2220" s="332" t="s">
        <v>205</v>
      </c>
      <c r="G2220" s="342" t="s">
        <v>74</v>
      </c>
      <c r="H2220" s="653">
        <v>35389</v>
      </c>
      <c r="I2220" s="331" t="s">
        <v>10</v>
      </c>
      <c r="J2220" s="1220" t="s">
        <v>294</v>
      </c>
      <c r="K2220" s="1220"/>
      <c r="L2220" s="1221"/>
      <c r="M2220" s="54"/>
      <c r="N2220" s="54"/>
      <c r="O2220" s="336"/>
      <c r="P2220" s="334"/>
      <c r="Q2220" s="335"/>
      <c r="R2220" s="336"/>
      <c r="S2220" s="337"/>
    </row>
    <row r="2221" spans="1:19" ht="30" customHeight="1" x14ac:dyDescent="0.25">
      <c r="A2221" s="359" t="s">
        <v>295</v>
      </c>
      <c r="B2221" s="1222" t="s">
        <v>326</v>
      </c>
      <c r="C2221" s="1235"/>
      <c r="D2221" s="1223"/>
      <c r="E2221" s="577" t="s">
        <v>116</v>
      </c>
      <c r="F2221" s="577" t="s">
        <v>117</v>
      </c>
      <c r="G2221" s="1194" t="s">
        <v>118</v>
      </c>
      <c r="H2221" s="1195"/>
      <c r="I2221" s="356" t="s">
        <v>296</v>
      </c>
      <c r="J2221" s="356"/>
      <c r="K2221" s="1236" t="s">
        <v>285</v>
      </c>
      <c r="L2221" s="1237"/>
      <c r="M2221" s="54"/>
      <c r="N2221" s="54"/>
      <c r="O2221" s="336"/>
      <c r="P2221" s="334"/>
      <c r="Q2221" s="335"/>
      <c r="R2221" s="336"/>
      <c r="S2221" s="337"/>
    </row>
    <row r="2222" spans="1:19" ht="30" customHeight="1" x14ac:dyDescent="0.25">
      <c r="A2222" s="365" t="s">
        <v>411</v>
      </c>
      <c r="B2222" s="1209" t="s">
        <v>1390</v>
      </c>
      <c r="C2222" s="1210"/>
      <c r="D2222" s="1211"/>
      <c r="E2222" s="247">
        <v>242</v>
      </c>
      <c r="F2222" s="365" t="s">
        <v>205</v>
      </c>
      <c r="G2222" s="365"/>
      <c r="H2222" s="365"/>
      <c r="I2222" s="852">
        <f>(1.16+1.19)/2</f>
        <v>1.1749999999999998</v>
      </c>
      <c r="J2222" s="706"/>
      <c r="K2222" s="247">
        <f>+E2222*I2222</f>
        <v>284.34999999999997</v>
      </c>
      <c r="L2222" s="365" t="s">
        <v>205</v>
      </c>
      <c r="M2222" s="54"/>
      <c r="N2222" s="54"/>
      <c r="O2222" s="336"/>
      <c r="P2222" s="334"/>
      <c r="Q2222" s="335"/>
      <c r="R2222" s="336"/>
      <c r="S2222" s="337"/>
    </row>
    <row r="2223" spans="1:19" ht="30" customHeight="1" x14ac:dyDescent="0.25">
      <c r="A2223" s="365" t="s">
        <v>411</v>
      </c>
      <c r="B2223" s="1214" t="s">
        <v>1391</v>
      </c>
      <c r="C2223" s="1215"/>
      <c r="D2223" s="1215"/>
      <c r="E2223" s="247">
        <v>37.5</v>
      </c>
      <c r="F2223" s="661" t="s">
        <v>205</v>
      </c>
      <c r="G2223" s="366"/>
      <c r="H2223" s="662"/>
      <c r="I2223" s="852">
        <f>(1.16+1.19)/2</f>
        <v>1.1749999999999998</v>
      </c>
      <c r="J2223" s="706"/>
      <c r="K2223" s="247">
        <f>+E2223*I2223</f>
        <v>44.062499999999993</v>
      </c>
      <c r="L2223" s="365" t="s">
        <v>205</v>
      </c>
      <c r="M2223" s="54"/>
      <c r="N2223" s="54"/>
      <c r="O2223" s="336"/>
      <c r="P2223" s="334"/>
      <c r="Q2223" s="335"/>
      <c r="R2223" s="336"/>
      <c r="S2223" s="337"/>
    </row>
    <row r="2224" spans="1:19" ht="30" customHeight="1" x14ac:dyDescent="0.25">
      <c r="A2224" s="365" t="s">
        <v>411</v>
      </c>
      <c r="B2224" s="1214" t="s">
        <v>1401</v>
      </c>
      <c r="C2224" s="1215"/>
      <c r="D2224" s="1216"/>
      <c r="E2224" s="247">
        <v>37.5</v>
      </c>
      <c r="F2224" s="661" t="s">
        <v>205</v>
      </c>
      <c r="G2224" s="366"/>
      <c r="H2224" s="662"/>
      <c r="I2224" s="852">
        <f>(1.16+1.19)/2</f>
        <v>1.1749999999999998</v>
      </c>
      <c r="J2224" s="706"/>
      <c r="K2224" s="247">
        <f>+E2224*I2224</f>
        <v>44.062499999999993</v>
      </c>
      <c r="L2224" s="365" t="s">
        <v>205</v>
      </c>
      <c r="M2224" s="54"/>
      <c r="N2224" s="54"/>
      <c r="P2224" s="335"/>
      <c r="Q2224" s="336"/>
      <c r="R2224" s="337"/>
    </row>
    <row r="2225" spans="1:19" ht="30" customHeight="1" x14ac:dyDescent="0.25">
      <c r="A2225" s="365" t="s">
        <v>406</v>
      </c>
      <c r="B2225" s="1214" t="s">
        <v>1402</v>
      </c>
      <c r="C2225" s="1215"/>
      <c r="D2225" s="1215"/>
      <c r="E2225" s="247">
        <v>3.44</v>
      </c>
      <c r="F2225" s="661" t="s">
        <v>205</v>
      </c>
      <c r="G2225" s="366"/>
      <c r="H2225" s="662"/>
      <c r="I2225" s="852">
        <f>(1.16+1.19)/2</f>
        <v>1.1749999999999998</v>
      </c>
      <c r="J2225" s="706"/>
      <c r="K2225" s="247">
        <f>+E2225*I2225</f>
        <v>4.0419999999999989</v>
      </c>
      <c r="L2225" s="365" t="s">
        <v>205</v>
      </c>
      <c r="M2225" s="54"/>
      <c r="N2225" s="54"/>
      <c r="P2225" s="335"/>
      <c r="Q2225" s="336"/>
      <c r="R2225" s="337"/>
    </row>
    <row r="2226" spans="1:19" ht="30" customHeight="1" x14ac:dyDescent="0.25">
      <c r="A2226" s="365"/>
      <c r="B2226" s="1281"/>
      <c r="C2226" s="1281"/>
      <c r="D2226" s="1281"/>
      <c r="E2226" s="247"/>
      <c r="F2226" s="365"/>
      <c r="G2226" s="366"/>
      <c r="H2226" s="662"/>
      <c r="I2226" s="365"/>
      <c r="J2226" s="365" t="s">
        <v>343</v>
      </c>
      <c r="K2226" s="247">
        <f>SUM(K2222:K2225)</f>
        <v>376.51699999999994</v>
      </c>
      <c r="L2226" s="365" t="s">
        <v>205</v>
      </c>
      <c r="M2226" s="54"/>
      <c r="N2226" s="111"/>
      <c r="P2226" s="335"/>
      <c r="Q2226" s="336"/>
      <c r="R2226" s="337"/>
    </row>
    <row r="2227" spans="1:19" ht="30" customHeight="1" x14ac:dyDescent="0.25">
      <c r="A2227" s="365"/>
      <c r="B2227" s="578"/>
      <c r="C2227" s="578"/>
      <c r="D2227" s="578"/>
      <c r="E2227" s="247"/>
      <c r="F2227" s="1272" t="s">
        <v>303</v>
      </c>
      <c r="G2227" s="1283" t="s">
        <v>304</v>
      </c>
      <c r="H2227" s="1283"/>
      <c r="I2227" s="1283"/>
      <c r="J2227" s="1283"/>
      <c r="K2227" s="706">
        <f>(1.05+1.08)/2</f>
        <v>1.0649999999999999</v>
      </c>
      <c r="L2227" s="365"/>
      <c r="M2227" s="54"/>
      <c r="N2227" s="54"/>
      <c r="P2227" s="335"/>
      <c r="Q2227" s="336"/>
      <c r="R2227" s="337"/>
    </row>
    <row r="2228" spans="1:19" ht="30" customHeight="1" x14ac:dyDescent="0.25">
      <c r="A2228" s="365"/>
      <c r="B2228" s="578"/>
      <c r="C2228" s="578"/>
      <c r="D2228" s="578"/>
      <c r="E2228" s="247"/>
      <c r="F2228" s="1273"/>
      <c r="G2228" s="1284" t="s">
        <v>305</v>
      </c>
      <c r="H2228" s="1284"/>
      <c r="I2228" s="1284"/>
      <c r="J2228" s="1284"/>
      <c r="K2228" s="251">
        <v>1.06</v>
      </c>
      <c r="L2228" s="365"/>
      <c r="M2228" s="54"/>
      <c r="N2228" s="54"/>
      <c r="P2228" s="335"/>
      <c r="Q2228" s="336"/>
      <c r="R2228" s="337"/>
    </row>
    <row r="2229" spans="1:19" ht="30" customHeight="1" x14ac:dyDescent="0.25">
      <c r="A2229" s="365"/>
      <c r="B2229" s="365"/>
      <c r="C2229" s="366"/>
      <c r="D2229" s="366"/>
      <c r="E2229" s="366"/>
      <c r="F2229" s="366"/>
      <c r="G2229" s="366"/>
      <c r="H2229" s="366"/>
      <c r="I2229" s="366"/>
      <c r="J2229" s="365" t="s">
        <v>72</v>
      </c>
      <c r="K2229" s="246">
        <f>+K2226*K2227/K2228</f>
        <v>378.29302358490554</v>
      </c>
      <c r="L2229" s="365" t="s">
        <v>205</v>
      </c>
      <c r="M2229" s="54"/>
      <c r="N2229" s="54"/>
      <c r="P2229" s="335"/>
      <c r="Q2229" s="336"/>
      <c r="R2229" s="337"/>
    </row>
    <row r="2230" spans="1:19" ht="30" customHeight="1" x14ac:dyDescent="0.25">
      <c r="A2230" s="365"/>
      <c r="B2230" s="365"/>
      <c r="C2230" s="366"/>
      <c r="D2230" s="366"/>
      <c r="E2230" s="366"/>
      <c r="F2230" s="366"/>
      <c r="G2230" s="398" t="s">
        <v>414</v>
      </c>
      <c r="H2230" s="398"/>
      <c r="I2230" s="366"/>
      <c r="J2230" s="521">
        <f>VLOOKUP(B2220,'Mil Cost Premiums for PUCs'!$A$4:$R$277,18,FALSE)</f>
        <v>1.3319480854780448</v>
      </c>
      <c r="K2230" s="246">
        <f>+K2229*J2230</f>
        <v>503.86666851361576</v>
      </c>
      <c r="L2230" s="365" t="s">
        <v>205</v>
      </c>
      <c r="M2230" s="54"/>
      <c r="N2230" s="54"/>
      <c r="P2230" s="335"/>
      <c r="Q2230" s="336"/>
      <c r="R2230" s="337"/>
    </row>
    <row r="2231" spans="1:19" ht="75" customHeight="1" x14ac:dyDescent="0.25">
      <c r="A2231" s="1230" t="s">
        <v>307</v>
      </c>
      <c r="B2231" s="1231"/>
      <c r="C2231" s="1231"/>
      <c r="D2231" s="1231"/>
      <c r="E2231" s="1231"/>
      <c r="F2231" s="1231"/>
      <c r="G2231" s="1231"/>
      <c r="H2231" s="1231"/>
      <c r="I2231" s="1231"/>
      <c r="J2231" s="1231"/>
      <c r="K2231" s="1231"/>
      <c r="L2231" s="1232"/>
      <c r="M2231" s="54"/>
      <c r="N2231" s="54"/>
      <c r="P2231" s="335"/>
      <c r="Q2231" s="336"/>
      <c r="R2231" s="337"/>
    </row>
    <row r="2232" spans="1:19" ht="30" customHeight="1" x14ac:dyDescent="0.25">
      <c r="A2232" s="1268" t="s">
        <v>308</v>
      </c>
      <c r="B2232" s="1167"/>
      <c r="C2232" s="1168"/>
      <c r="D2232" s="1230" t="s">
        <v>1393</v>
      </c>
      <c r="E2232" s="1231"/>
      <c r="F2232" s="1231"/>
      <c r="G2232" s="1231"/>
      <c r="H2232" s="1231"/>
      <c r="I2232" s="1231"/>
      <c r="J2232" s="1231"/>
      <c r="K2232" s="1231"/>
      <c r="L2232" s="1232"/>
      <c r="M2232" s="54"/>
      <c r="N2232" s="54"/>
      <c r="P2232" s="335"/>
      <c r="Q2232" s="336"/>
      <c r="R2232" s="337"/>
    </row>
    <row r="2233" spans="1:19" ht="45" customHeight="1" x14ac:dyDescent="0.25">
      <c r="A2233" s="1268" t="s">
        <v>310</v>
      </c>
      <c r="B2233" s="1167"/>
      <c r="C2233" s="1168"/>
      <c r="D2233" s="1230" t="s">
        <v>1403</v>
      </c>
      <c r="E2233" s="1231"/>
      <c r="F2233" s="1231"/>
      <c r="G2233" s="1231"/>
      <c r="H2233" s="1231"/>
      <c r="I2233" s="1231"/>
      <c r="J2233" s="1231"/>
      <c r="K2233" s="1231"/>
      <c r="L2233" s="1232"/>
      <c r="M2233" s="54"/>
      <c r="N2233" s="54"/>
      <c r="P2233" s="335"/>
      <c r="Q2233" s="336"/>
      <c r="R2233" s="337"/>
    </row>
    <row r="2234" spans="1:19" ht="30" customHeight="1" x14ac:dyDescent="0.25">
      <c r="A2234" s="1268" t="s">
        <v>312</v>
      </c>
      <c r="B2234" s="1167"/>
      <c r="C2234" s="1168"/>
      <c r="D2234" s="1230" t="s">
        <v>1404</v>
      </c>
      <c r="E2234" s="1231"/>
      <c r="F2234" s="1231"/>
      <c r="G2234" s="1231"/>
      <c r="H2234" s="1231"/>
      <c r="I2234" s="1231"/>
      <c r="J2234" s="1231"/>
      <c r="K2234" s="1231"/>
      <c r="L2234" s="1232"/>
      <c r="M2234" s="54"/>
      <c r="N2234" s="54"/>
      <c r="P2234" s="335"/>
      <c r="Q2234" s="336"/>
      <c r="R2234" s="337"/>
    </row>
    <row r="2235" spans="1:19" ht="45" customHeight="1" x14ac:dyDescent="0.25">
      <c r="A2235" s="1268" t="s">
        <v>314</v>
      </c>
      <c r="B2235" s="1167"/>
      <c r="C2235" s="1168"/>
      <c r="D2235" s="1230" t="s">
        <v>1405</v>
      </c>
      <c r="E2235" s="1231"/>
      <c r="F2235" s="1231"/>
      <c r="G2235" s="1231"/>
      <c r="H2235" s="1231"/>
      <c r="I2235" s="1231"/>
      <c r="J2235" s="1231"/>
      <c r="K2235" s="1231"/>
      <c r="L2235" s="1232"/>
      <c r="M2235" s="54"/>
      <c r="N2235" s="54"/>
      <c r="P2235" s="335"/>
      <c r="Q2235" s="336"/>
      <c r="R2235" s="337"/>
    </row>
    <row r="2236" spans="1:19" ht="45" customHeight="1" x14ac:dyDescent="0.25">
      <c r="A2236" s="1268" t="s">
        <v>316</v>
      </c>
      <c r="B2236" s="1167"/>
      <c r="C2236" s="1168"/>
      <c r="D2236" s="1230" t="s">
        <v>1406</v>
      </c>
      <c r="E2236" s="1231"/>
      <c r="F2236" s="1231"/>
      <c r="G2236" s="1231"/>
      <c r="H2236" s="1231"/>
      <c r="I2236" s="1231"/>
      <c r="J2236" s="1231"/>
      <c r="K2236" s="1231"/>
      <c r="L2236" s="1232"/>
      <c r="M2236" s="54"/>
      <c r="N2236" s="54"/>
      <c r="P2236" s="335"/>
      <c r="Q2236" s="336"/>
      <c r="R2236" s="337"/>
    </row>
    <row r="2237" spans="1:19" ht="30" customHeight="1" x14ac:dyDescent="0.25">
      <c r="A2237" s="1268" t="s">
        <v>318</v>
      </c>
      <c r="B2237" s="1167"/>
      <c r="C2237" s="1168"/>
      <c r="D2237" s="1230" t="s">
        <v>1047</v>
      </c>
      <c r="E2237" s="1231"/>
      <c r="F2237" s="1231"/>
      <c r="G2237" s="1231"/>
      <c r="H2237" s="1231"/>
      <c r="I2237" s="1231"/>
      <c r="J2237" s="1231"/>
      <c r="K2237" s="1231"/>
      <c r="L2237" s="1232"/>
      <c r="M2237" s="54"/>
      <c r="N2237" s="54"/>
      <c r="O2237" s="336"/>
      <c r="P2237" s="334"/>
      <c r="Q2237" s="335"/>
      <c r="R2237" s="336"/>
      <c r="S2237" s="337"/>
    </row>
    <row r="2238" spans="1:19" ht="30" customHeight="1" x14ac:dyDescent="0.25">
      <c r="A2238" s="1268" t="s">
        <v>320</v>
      </c>
      <c r="B2238" s="1167"/>
      <c r="C2238" s="1168"/>
      <c r="D2238" s="1230" t="s">
        <v>1407</v>
      </c>
      <c r="E2238" s="1231"/>
      <c r="F2238" s="1231"/>
      <c r="G2238" s="1231"/>
      <c r="H2238" s="1231"/>
      <c r="I2238" s="1231"/>
      <c r="J2238" s="1231"/>
      <c r="K2238" s="1231"/>
      <c r="L2238" s="1232"/>
      <c r="M2238" s="54"/>
      <c r="O2238" s="336"/>
      <c r="P2238" s="334"/>
      <c r="Q2238" s="335"/>
      <c r="R2238" s="336"/>
      <c r="S2238" s="337"/>
    </row>
    <row r="2239" spans="1:19" ht="75" customHeight="1" x14ac:dyDescent="0.25">
      <c r="A2239" s="1268" t="s">
        <v>322</v>
      </c>
      <c r="B2239" s="1167"/>
      <c r="C2239" s="1168"/>
      <c r="D2239" s="1230" t="s">
        <v>422</v>
      </c>
      <c r="E2239" s="1231"/>
      <c r="F2239" s="1231"/>
      <c r="G2239" s="1231"/>
      <c r="H2239" s="1231"/>
      <c r="I2239" s="1231"/>
      <c r="J2239" s="1231"/>
      <c r="K2239" s="1231"/>
      <c r="L2239" s="1232"/>
      <c r="M2239" s="54"/>
      <c r="N2239" s="54"/>
      <c r="O2239" s="336"/>
      <c r="P2239" s="334"/>
      <c r="Q2239" s="335"/>
      <c r="R2239" s="336"/>
      <c r="S2239" s="337"/>
    </row>
    <row r="2240" spans="1:19" ht="45" customHeight="1" thickBot="1" x14ac:dyDescent="0.3">
      <c r="A2240" s="1268" t="s">
        <v>350</v>
      </c>
      <c r="B2240" s="1167"/>
      <c r="C2240" s="1168"/>
      <c r="D2240" s="1291" t="s">
        <v>3407</v>
      </c>
      <c r="E2240" s="1292"/>
      <c r="F2240" s="1292"/>
      <c r="G2240" s="1292"/>
      <c r="H2240" s="1292"/>
      <c r="I2240" s="1292"/>
      <c r="J2240" s="1292"/>
      <c r="K2240" s="1292"/>
      <c r="L2240" s="1293"/>
      <c r="M2240" s="54"/>
      <c r="N2240" s="54"/>
      <c r="P2240" s="335"/>
      <c r="Q2240" s="336"/>
      <c r="R2240" s="337"/>
    </row>
    <row r="2241" spans="1:19" ht="30" customHeight="1" thickBot="1" x14ac:dyDescent="0.3">
      <c r="A2241" s="1180"/>
      <c r="B2241" s="1181"/>
      <c r="C2241" s="1181"/>
      <c r="D2241" s="1181"/>
      <c r="E2241" s="1181"/>
      <c r="F2241" s="1181"/>
      <c r="G2241" s="1181"/>
      <c r="H2241" s="1181"/>
      <c r="I2241" s="1181"/>
      <c r="J2241" s="1181"/>
      <c r="K2241" s="1181"/>
      <c r="L2241" s="1182"/>
      <c r="M2241" s="111"/>
      <c r="N2241" s="54"/>
      <c r="P2241" s="335"/>
      <c r="Q2241" s="336"/>
      <c r="R2241" s="337"/>
    </row>
    <row r="2242" spans="1:19" ht="30" customHeight="1" x14ac:dyDescent="0.25">
      <c r="A2242" s="327" t="s">
        <v>5</v>
      </c>
      <c r="B2242" s="328">
        <v>3103</v>
      </c>
      <c r="C2242" s="1251" t="s">
        <v>1408</v>
      </c>
      <c r="D2242" s="1252"/>
      <c r="E2242" s="331" t="s">
        <v>8</v>
      </c>
      <c r="F2242" s="332" t="s">
        <v>205</v>
      </c>
      <c r="G2242" s="342" t="s">
        <v>74</v>
      </c>
      <c r="H2242" s="653">
        <v>8154</v>
      </c>
      <c r="I2242" s="331" t="s">
        <v>10</v>
      </c>
      <c r="J2242" s="1220" t="s">
        <v>3388</v>
      </c>
      <c r="K2242" s="1220"/>
      <c r="L2242" s="1221"/>
      <c r="M2242" s="54"/>
      <c r="N2242" s="54"/>
      <c r="O2242" s="336"/>
      <c r="P2242" s="334"/>
      <c r="Q2242" s="335"/>
      <c r="R2242" s="336"/>
      <c r="S2242" s="337"/>
    </row>
    <row r="2243" spans="1:19" ht="30" customHeight="1" x14ac:dyDescent="0.25">
      <c r="A2243" s="359" t="s">
        <v>295</v>
      </c>
      <c r="B2243" s="1222" t="s">
        <v>326</v>
      </c>
      <c r="C2243" s="1235"/>
      <c r="D2243" s="1223"/>
      <c r="E2243" s="577" t="s">
        <v>116</v>
      </c>
      <c r="F2243" s="577" t="s">
        <v>117</v>
      </c>
      <c r="G2243" s="1194" t="s">
        <v>118</v>
      </c>
      <c r="H2243" s="1195"/>
      <c r="I2243" s="356" t="s">
        <v>296</v>
      </c>
      <c r="J2243" s="356"/>
      <c r="K2243" s="1236" t="s">
        <v>285</v>
      </c>
      <c r="L2243" s="1237"/>
      <c r="M2243" s="54"/>
      <c r="N2243" s="54"/>
      <c r="P2243" s="335"/>
      <c r="Q2243" s="336"/>
      <c r="R2243" s="337"/>
    </row>
    <row r="2244" spans="1:19" ht="30" customHeight="1" x14ac:dyDescent="0.25">
      <c r="A2244" s="365" t="s">
        <v>411</v>
      </c>
      <c r="B2244" s="1209" t="s">
        <v>1409</v>
      </c>
      <c r="C2244" s="1210"/>
      <c r="D2244" s="1211"/>
      <c r="E2244" s="247">
        <f>242-2.64</f>
        <v>239.36</v>
      </c>
      <c r="F2244" s="365" t="s">
        <v>205</v>
      </c>
      <c r="G2244" s="661"/>
      <c r="H2244" s="698"/>
      <c r="I2244" s="365">
        <v>1.01</v>
      </c>
      <c r="J2244" s="706"/>
      <c r="K2244" s="247">
        <f>+E2244*I2244</f>
        <v>241.75360000000001</v>
      </c>
      <c r="L2244" s="365" t="s">
        <v>205</v>
      </c>
      <c r="M2244" s="54"/>
      <c r="N2244" s="54"/>
      <c r="P2244" s="335"/>
      <c r="Q2244" s="336"/>
      <c r="R2244" s="337"/>
    </row>
    <row r="2245" spans="1:19" ht="30" customHeight="1" x14ac:dyDescent="0.25">
      <c r="A2245" s="365" t="s">
        <v>411</v>
      </c>
      <c r="B2245" s="1214" t="s">
        <v>1410</v>
      </c>
      <c r="C2245" s="1215"/>
      <c r="D2245" s="1215"/>
      <c r="E2245" s="247">
        <v>37.5</v>
      </c>
      <c r="F2245" s="661" t="s">
        <v>205</v>
      </c>
      <c r="G2245" s="452"/>
      <c r="H2245" s="589"/>
      <c r="I2245" s="365">
        <v>1.01</v>
      </c>
      <c r="J2245" s="706"/>
      <c r="K2245" s="247">
        <f>+E2245*I2245</f>
        <v>37.875</v>
      </c>
      <c r="L2245" s="365" t="s">
        <v>205</v>
      </c>
      <c r="M2245" s="54"/>
      <c r="N2245" s="54"/>
      <c r="P2245" s="335"/>
      <c r="Q2245" s="336"/>
      <c r="R2245" s="337"/>
    </row>
    <row r="2246" spans="1:19" ht="30" customHeight="1" x14ac:dyDescent="0.25">
      <c r="A2246" s="365" t="s">
        <v>1411</v>
      </c>
      <c r="B2246" s="1209" t="s">
        <v>1412</v>
      </c>
      <c r="C2246" s="1210"/>
      <c r="D2246" s="1210"/>
      <c r="E2246" s="247">
        <v>165000</v>
      </c>
      <c r="F2246" s="661" t="s">
        <v>76</v>
      </c>
      <c r="G2246" s="704">
        <f>+H2242</f>
        <v>8154</v>
      </c>
      <c r="H2246" s="589" t="s">
        <v>1269</v>
      </c>
      <c r="I2246" s="706">
        <v>1.02</v>
      </c>
      <c r="J2246" s="706"/>
      <c r="K2246" s="247">
        <f>+(E2246*6)/G2246*I2246</f>
        <v>123.841059602649</v>
      </c>
      <c r="L2246" s="365" t="s">
        <v>205</v>
      </c>
      <c r="M2246" s="54"/>
      <c r="N2246" s="54"/>
      <c r="P2246" s="335"/>
      <c r="Q2246" s="336"/>
      <c r="R2246" s="337"/>
    </row>
    <row r="2247" spans="1:19" ht="30" customHeight="1" x14ac:dyDescent="0.25">
      <c r="A2247" s="365" t="s">
        <v>406</v>
      </c>
      <c r="B2247" s="1214" t="s">
        <v>1366</v>
      </c>
      <c r="C2247" s="1215"/>
      <c r="D2247" s="1215"/>
      <c r="E2247" s="247">
        <v>4.38</v>
      </c>
      <c r="F2247" s="661" t="s">
        <v>205</v>
      </c>
      <c r="G2247" s="452"/>
      <c r="H2247" s="589"/>
      <c r="I2247" s="365">
        <v>1.01</v>
      </c>
      <c r="J2247" s="706"/>
      <c r="K2247" s="247">
        <f>+E2247*I2247</f>
        <v>4.4238</v>
      </c>
      <c r="L2247" s="365" t="s">
        <v>205</v>
      </c>
      <c r="M2247" s="54"/>
      <c r="N2247" s="54"/>
      <c r="P2247" s="335"/>
      <c r="Q2247" s="336"/>
      <c r="R2247" s="337"/>
    </row>
    <row r="2248" spans="1:19" ht="30" customHeight="1" x14ac:dyDescent="0.25">
      <c r="A2248" s="365"/>
      <c r="B2248" s="1281"/>
      <c r="C2248" s="1281"/>
      <c r="D2248" s="1281"/>
      <c r="E2248" s="247"/>
      <c r="F2248" s="365"/>
      <c r="G2248" s="366"/>
      <c r="H2248" s="662"/>
      <c r="I2248" s="365"/>
      <c r="J2248" s="365" t="s">
        <v>343</v>
      </c>
      <c r="K2248" s="247">
        <f>SUM(K2244:K2247)</f>
        <v>407.89345960264905</v>
      </c>
      <c r="L2248" s="365" t="s">
        <v>205</v>
      </c>
      <c r="M2248" s="54"/>
      <c r="N2248" s="54"/>
      <c r="P2248" s="335"/>
      <c r="Q2248" s="336"/>
      <c r="R2248" s="337"/>
    </row>
    <row r="2249" spans="1:19" ht="30" customHeight="1" x14ac:dyDescent="0.25">
      <c r="A2249" s="365"/>
      <c r="B2249" s="578"/>
      <c r="C2249" s="578"/>
      <c r="D2249" s="578"/>
      <c r="E2249" s="247"/>
      <c r="F2249" s="1272" t="s">
        <v>303</v>
      </c>
      <c r="G2249" s="1283" t="s">
        <v>304</v>
      </c>
      <c r="H2249" s="1283"/>
      <c r="I2249" s="1283"/>
      <c r="J2249" s="1283"/>
      <c r="K2249" s="706">
        <f>(1.08+1.1)/2</f>
        <v>1.0900000000000001</v>
      </c>
      <c r="L2249" s="365"/>
      <c r="M2249" s="54"/>
      <c r="N2249" s="54"/>
      <c r="P2249" s="335"/>
      <c r="Q2249" s="336"/>
      <c r="R2249" s="337"/>
    </row>
    <row r="2250" spans="1:19" ht="30" customHeight="1" x14ac:dyDescent="0.25">
      <c r="A2250" s="365"/>
      <c r="B2250" s="578"/>
      <c r="C2250" s="578"/>
      <c r="D2250" s="578"/>
      <c r="E2250" s="247"/>
      <c r="F2250" s="1273"/>
      <c r="G2250" s="1284" t="s">
        <v>438</v>
      </c>
      <c r="H2250" s="1284"/>
      <c r="I2250" s="1284"/>
      <c r="J2250" s="1284"/>
      <c r="K2250" s="251">
        <v>1.08</v>
      </c>
      <c r="L2250" s="365"/>
      <c r="M2250" s="54"/>
      <c r="N2250" s="54"/>
      <c r="P2250" s="335"/>
      <c r="Q2250" s="336"/>
      <c r="R2250" s="337"/>
    </row>
    <row r="2251" spans="1:19" ht="30" customHeight="1" x14ac:dyDescent="0.25">
      <c r="A2251" s="365"/>
      <c r="B2251" s="1398"/>
      <c r="C2251" s="1399"/>
      <c r="D2251" s="1400"/>
      <c r="E2251" s="366"/>
      <c r="F2251" s="366"/>
      <c r="G2251" s="366"/>
      <c r="H2251" s="366"/>
      <c r="I2251" s="366"/>
      <c r="J2251" s="366" t="s">
        <v>72</v>
      </c>
      <c r="K2251" s="246">
        <f>+K2248*K2249/K2250</f>
        <v>411.67025089526618</v>
      </c>
      <c r="L2251" s="365" t="s">
        <v>205</v>
      </c>
      <c r="M2251" s="54"/>
      <c r="O2251" s="336"/>
      <c r="P2251" s="334"/>
      <c r="Q2251" s="335"/>
      <c r="R2251" s="336"/>
      <c r="S2251" s="337"/>
    </row>
    <row r="2252" spans="1:19" ht="30" customHeight="1" x14ac:dyDescent="0.25">
      <c r="A2252" s="365"/>
      <c r="B2252" s="365"/>
      <c r="C2252" s="366"/>
      <c r="D2252" s="366"/>
      <c r="E2252" s="366"/>
      <c r="F2252" s="366"/>
      <c r="G2252" s="580" t="s">
        <v>306</v>
      </c>
      <c r="H2252" s="366"/>
      <c r="I2252" s="366"/>
      <c r="J2252" s="521">
        <f>VLOOKUP(B2242,'Mil Cost Premiums for PUCs'!$A$4:$R$277,18,FALSE)</f>
        <v>1.3319480854780448</v>
      </c>
      <c r="K2252" s="246">
        <f>+K2251*J2252</f>
        <v>548.32340252821609</v>
      </c>
      <c r="L2252" s="365" t="s">
        <v>205</v>
      </c>
      <c r="M2252" s="54"/>
      <c r="N2252" s="54"/>
      <c r="P2252" s="335"/>
      <c r="Q2252" s="336"/>
      <c r="R2252" s="337"/>
    </row>
    <row r="2253" spans="1:19" ht="30" customHeight="1" thickBot="1" x14ac:dyDescent="0.3">
      <c r="A2253" s="835"/>
      <c r="B2253" s="835"/>
      <c r="C2253" s="840"/>
      <c r="D2253" s="840"/>
      <c r="E2253" s="850"/>
      <c r="F2253" s="1278" t="s">
        <v>1148</v>
      </c>
      <c r="G2253" s="1278"/>
      <c r="H2253" s="1278"/>
      <c r="I2253" s="1278"/>
      <c r="J2253" s="845">
        <v>1.0833999999999999</v>
      </c>
      <c r="K2253" s="544">
        <f>K2252*J2253</f>
        <v>594.05357429906928</v>
      </c>
      <c r="L2253" s="369" t="s">
        <v>205</v>
      </c>
      <c r="N2253" s="54"/>
      <c r="P2253" s="335"/>
      <c r="Q2253" s="336"/>
      <c r="R2253" s="337"/>
    </row>
    <row r="2254" spans="1:19" ht="30" customHeight="1" thickBot="1" x14ac:dyDescent="0.3">
      <c r="A2254" s="1180"/>
      <c r="B2254" s="1181"/>
      <c r="C2254" s="1181"/>
      <c r="D2254" s="1181"/>
      <c r="E2254" s="1181"/>
      <c r="F2254" s="1181"/>
      <c r="G2254" s="1181"/>
      <c r="H2254" s="1181"/>
      <c r="I2254" s="1181"/>
      <c r="J2254" s="1181"/>
      <c r="K2254" s="1181"/>
      <c r="L2254" s="1182"/>
      <c r="M2254" s="54"/>
      <c r="N2254" s="54"/>
      <c r="P2254" s="335"/>
      <c r="Q2254" s="336"/>
      <c r="R2254" s="337"/>
    </row>
    <row r="2255" spans="1:19" ht="30" customHeight="1" x14ac:dyDescent="0.25">
      <c r="A2255" s="327" t="s">
        <v>5</v>
      </c>
      <c r="B2255" s="328">
        <v>3104</v>
      </c>
      <c r="C2255" s="1251" t="s">
        <v>1413</v>
      </c>
      <c r="D2255" s="1252"/>
      <c r="E2255" s="331" t="s">
        <v>8</v>
      </c>
      <c r="F2255" s="332" t="s">
        <v>205</v>
      </c>
      <c r="G2255" s="342" t="s">
        <v>74</v>
      </c>
      <c r="H2255" s="576">
        <v>417</v>
      </c>
      <c r="I2255" s="331" t="s">
        <v>10</v>
      </c>
      <c r="J2255" s="1220" t="s">
        <v>3388</v>
      </c>
      <c r="K2255" s="1220"/>
      <c r="L2255" s="1221"/>
      <c r="M2255" s="54"/>
      <c r="N2255" s="54"/>
      <c r="P2255" s="335"/>
      <c r="Q2255" s="336"/>
      <c r="R2255" s="337"/>
    </row>
    <row r="2256" spans="1:19" ht="30" customHeight="1" x14ac:dyDescent="0.25">
      <c r="A2256" s="359" t="s">
        <v>295</v>
      </c>
      <c r="B2256" s="1222" t="s">
        <v>326</v>
      </c>
      <c r="C2256" s="1235"/>
      <c r="D2256" s="1223"/>
      <c r="E2256" s="577" t="s">
        <v>116</v>
      </c>
      <c r="F2256" s="577" t="s">
        <v>117</v>
      </c>
      <c r="G2256" s="1194" t="s">
        <v>118</v>
      </c>
      <c r="H2256" s="1195"/>
      <c r="I2256" s="356" t="s">
        <v>296</v>
      </c>
      <c r="J2256" s="356"/>
      <c r="K2256" s="1236" t="s">
        <v>285</v>
      </c>
      <c r="L2256" s="1237"/>
      <c r="M2256" s="54"/>
      <c r="N2256" s="54"/>
      <c r="P2256" s="335"/>
      <c r="Q2256" s="336"/>
      <c r="R2256" s="337"/>
    </row>
    <row r="2257" spans="1:19" ht="30" customHeight="1" x14ac:dyDescent="0.25">
      <c r="A2257" s="365" t="s">
        <v>411</v>
      </c>
      <c r="B2257" s="1209" t="s">
        <v>1409</v>
      </c>
      <c r="C2257" s="1210"/>
      <c r="D2257" s="1211"/>
      <c r="E2257" s="247">
        <f>242-2.64</f>
        <v>239.36</v>
      </c>
      <c r="F2257" s="365" t="s">
        <v>205</v>
      </c>
      <c r="G2257" s="661"/>
      <c r="H2257" s="698"/>
      <c r="I2257" s="365">
        <v>1.01</v>
      </c>
      <c r="J2257" s="706"/>
      <c r="K2257" s="247">
        <f>+E2257*I2257</f>
        <v>241.75360000000001</v>
      </c>
      <c r="L2257" s="365" t="s">
        <v>205</v>
      </c>
      <c r="M2257" s="54"/>
      <c r="N2257" s="54"/>
      <c r="P2257" s="335"/>
      <c r="Q2257" s="336"/>
      <c r="R2257" s="337"/>
    </row>
    <row r="2258" spans="1:19" ht="30" customHeight="1" x14ac:dyDescent="0.25">
      <c r="A2258" s="365" t="s">
        <v>411</v>
      </c>
      <c r="B2258" s="1214" t="s">
        <v>1410</v>
      </c>
      <c r="C2258" s="1215"/>
      <c r="D2258" s="1215"/>
      <c r="E2258" s="247">
        <v>37.5</v>
      </c>
      <c r="F2258" s="661" t="s">
        <v>205</v>
      </c>
      <c r="G2258" s="452"/>
      <c r="H2258" s="589"/>
      <c r="I2258" s="365">
        <v>1.01</v>
      </c>
      <c r="J2258" s="706"/>
      <c r="K2258" s="247">
        <f>+E2258*I2258</f>
        <v>37.875</v>
      </c>
      <c r="L2258" s="365" t="s">
        <v>205</v>
      </c>
      <c r="M2258" s="54"/>
      <c r="N2258" s="54"/>
      <c r="P2258" s="335"/>
      <c r="Q2258" s="336"/>
      <c r="R2258" s="337"/>
    </row>
    <row r="2259" spans="1:19" ht="30" customHeight="1" x14ac:dyDescent="0.25">
      <c r="A2259" s="365" t="s">
        <v>1411</v>
      </c>
      <c r="B2259" s="1209" t="s">
        <v>1414</v>
      </c>
      <c r="C2259" s="1210"/>
      <c r="D2259" s="1211"/>
      <c r="E2259" s="247">
        <v>117000</v>
      </c>
      <c r="F2259" s="661" t="s">
        <v>76</v>
      </c>
      <c r="G2259" s="452">
        <f>+H2255</f>
        <v>417</v>
      </c>
      <c r="H2259" s="589" t="s">
        <v>1269</v>
      </c>
      <c r="I2259" s="706">
        <v>1.02</v>
      </c>
      <c r="J2259" s="706"/>
      <c r="K2259" s="247">
        <f>+(E2259*1)/G2259*I2259</f>
        <v>286.18705035971226</v>
      </c>
      <c r="L2259" s="365" t="s">
        <v>205</v>
      </c>
      <c r="M2259" s="112"/>
      <c r="N2259" s="54"/>
      <c r="P2259" s="335"/>
      <c r="Q2259" s="336"/>
      <c r="R2259" s="337"/>
    </row>
    <row r="2260" spans="1:19" ht="30" customHeight="1" x14ac:dyDescent="0.25">
      <c r="A2260" s="365" t="s">
        <v>406</v>
      </c>
      <c r="B2260" s="1214" t="s">
        <v>1415</v>
      </c>
      <c r="C2260" s="1215"/>
      <c r="D2260" s="1216"/>
      <c r="E2260" s="247">
        <v>5.52</v>
      </c>
      <c r="F2260" s="661" t="s">
        <v>205</v>
      </c>
      <c r="G2260" s="452"/>
      <c r="H2260" s="589"/>
      <c r="I2260" s="365">
        <v>1.01</v>
      </c>
      <c r="J2260" s="706"/>
      <c r="K2260" s="247">
        <f>+E2260*I2260</f>
        <v>5.5751999999999997</v>
      </c>
      <c r="L2260" s="365" t="s">
        <v>205</v>
      </c>
      <c r="M2260" s="54"/>
      <c r="N2260" s="54"/>
      <c r="P2260" s="335"/>
      <c r="Q2260" s="336"/>
      <c r="R2260" s="337"/>
    </row>
    <row r="2261" spans="1:19" ht="30" customHeight="1" x14ac:dyDescent="0.25">
      <c r="A2261" s="365"/>
      <c r="B2261" s="1281"/>
      <c r="C2261" s="1281"/>
      <c r="D2261" s="1281"/>
      <c r="E2261" s="247"/>
      <c r="F2261" s="365"/>
      <c r="G2261" s="366"/>
      <c r="H2261" s="662"/>
      <c r="I2261" s="365"/>
      <c r="J2261" s="365" t="s">
        <v>343</v>
      </c>
      <c r="K2261" s="247">
        <f>SUM(K2257:K2260)</f>
        <v>571.3908503597122</v>
      </c>
      <c r="L2261" s="365" t="s">
        <v>205</v>
      </c>
      <c r="M2261" s="54"/>
      <c r="N2261" s="54"/>
      <c r="P2261" s="335"/>
      <c r="Q2261" s="336"/>
      <c r="R2261" s="337"/>
    </row>
    <row r="2262" spans="1:19" ht="30" customHeight="1" x14ac:dyDescent="0.25">
      <c r="A2262" s="365"/>
      <c r="B2262" s="1398" t="s">
        <v>1416</v>
      </c>
      <c r="C2262" s="1210"/>
      <c r="D2262" s="1211"/>
      <c r="E2262" s="247"/>
      <c r="F2262" s="1272" t="s">
        <v>303</v>
      </c>
      <c r="G2262" s="1283" t="s">
        <v>304</v>
      </c>
      <c r="H2262" s="1283"/>
      <c r="I2262" s="1283"/>
      <c r="J2262" s="1283"/>
      <c r="K2262" s="706">
        <f>(1.08+1.1)/2</f>
        <v>1.0900000000000001</v>
      </c>
      <c r="L2262" s="365"/>
      <c r="M2262" s="54"/>
      <c r="N2262" s="54"/>
      <c r="O2262" s="336"/>
      <c r="P2262" s="334"/>
      <c r="Q2262" s="335"/>
      <c r="R2262" s="336"/>
      <c r="S2262" s="337"/>
    </row>
    <row r="2263" spans="1:19" ht="30" customHeight="1" x14ac:dyDescent="0.25">
      <c r="A2263" s="365"/>
      <c r="B2263" s="578"/>
      <c r="C2263" s="578"/>
      <c r="D2263" s="578"/>
      <c r="E2263" s="247"/>
      <c r="F2263" s="1273"/>
      <c r="G2263" s="1284" t="s">
        <v>438</v>
      </c>
      <c r="H2263" s="1284"/>
      <c r="I2263" s="1284"/>
      <c r="J2263" s="1284"/>
      <c r="K2263" s="251">
        <v>1.08</v>
      </c>
      <c r="L2263" s="365"/>
      <c r="M2263" s="54"/>
      <c r="N2263" s="54"/>
      <c r="P2263" s="335"/>
      <c r="Q2263" s="336"/>
      <c r="R2263" s="337"/>
    </row>
    <row r="2264" spans="1:19" ht="30" customHeight="1" x14ac:dyDescent="0.25">
      <c r="A2264" s="365"/>
      <c r="B2264" s="1389"/>
      <c r="C2264" s="1387"/>
      <c r="D2264" s="1240"/>
      <c r="E2264" s="366"/>
      <c r="F2264" s="366"/>
      <c r="G2264" s="366"/>
      <c r="H2264" s="366"/>
      <c r="I2264" s="366"/>
      <c r="J2264" s="366" t="s">
        <v>72</v>
      </c>
      <c r="K2264" s="246">
        <f>+K2261*K2262/K2263</f>
        <v>576.68150638156146</v>
      </c>
      <c r="L2264" s="365" t="s">
        <v>205</v>
      </c>
      <c r="M2264" s="54"/>
      <c r="N2264" s="54"/>
      <c r="P2264" s="335"/>
      <c r="Q2264" s="336"/>
      <c r="R2264" s="337"/>
    </row>
    <row r="2265" spans="1:19" ht="30" customHeight="1" x14ac:dyDescent="0.25">
      <c r="A2265" s="365"/>
      <c r="B2265" s="365"/>
      <c r="C2265" s="366"/>
      <c r="D2265" s="366"/>
      <c r="E2265" s="366"/>
      <c r="F2265" s="366"/>
      <c r="G2265" s="580" t="s">
        <v>306</v>
      </c>
      <c r="H2265" s="366"/>
      <c r="I2265" s="366"/>
      <c r="J2265" s="521">
        <f>VLOOKUP(B2255,'Mil Cost Premiums for PUCs'!$A$4:$R$277,18,FALSE)</f>
        <v>1.3319480854780448</v>
      </c>
      <c r="K2265" s="246">
        <f>+K2264*J2265</f>
        <v>768.10982835551567</v>
      </c>
      <c r="L2265" s="365" t="s">
        <v>205</v>
      </c>
      <c r="M2265" s="54"/>
      <c r="N2265" s="54"/>
      <c r="O2265" s="336"/>
      <c r="P2265" s="334"/>
      <c r="Q2265" s="335"/>
      <c r="R2265" s="336"/>
      <c r="S2265" s="337"/>
    </row>
    <row r="2266" spans="1:19" ht="30" customHeight="1" thickBot="1" x14ac:dyDescent="0.3">
      <c r="A2266" s="835"/>
      <c r="B2266" s="835"/>
      <c r="C2266" s="840"/>
      <c r="D2266" s="840"/>
      <c r="E2266" s="850"/>
      <c r="F2266" s="1278" t="s">
        <v>1148</v>
      </c>
      <c r="G2266" s="1278"/>
      <c r="H2266" s="1278"/>
      <c r="I2266" s="1278"/>
      <c r="J2266" s="845">
        <v>1.0833999999999999</v>
      </c>
      <c r="K2266" s="544">
        <f>K2265*J2266</f>
        <v>832.17018804036559</v>
      </c>
      <c r="L2266" s="369" t="s">
        <v>205</v>
      </c>
      <c r="N2266" s="54"/>
      <c r="O2266" s="336"/>
      <c r="P2266" s="334"/>
      <c r="Q2266" s="335"/>
      <c r="R2266" s="336"/>
      <c r="S2266" s="337"/>
    </row>
    <row r="2267" spans="1:19" ht="30" customHeight="1" thickBot="1" x14ac:dyDescent="0.3">
      <c r="A2267" s="1180"/>
      <c r="B2267" s="1181"/>
      <c r="C2267" s="1181"/>
      <c r="D2267" s="1181"/>
      <c r="E2267" s="1181"/>
      <c r="F2267" s="1181"/>
      <c r="G2267" s="1181"/>
      <c r="H2267" s="1181"/>
      <c r="I2267" s="1181"/>
      <c r="J2267" s="1181"/>
      <c r="K2267" s="1181"/>
      <c r="L2267" s="1182"/>
      <c r="M2267" s="54"/>
      <c r="N2267" s="54"/>
      <c r="O2267" s="336"/>
      <c r="P2267" s="334"/>
      <c r="Q2267" s="335"/>
      <c r="R2267" s="336"/>
      <c r="S2267" s="337"/>
    </row>
    <row r="2268" spans="1:19" ht="30" customHeight="1" x14ac:dyDescent="0.25">
      <c r="A2268" s="327" t="s">
        <v>5</v>
      </c>
      <c r="B2268" s="328">
        <v>3111</v>
      </c>
      <c r="C2268" s="1218" t="s">
        <v>1417</v>
      </c>
      <c r="D2268" s="1219"/>
      <c r="E2268" s="331" t="s">
        <v>8</v>
      </c>
      <c r="F2268" s="332" t="s">
        <v>205</v>
      </c>
      <c r="G2268" s="342" t="s">
        <v>74</v>
      </c>
      <c r="H2268" s="160">
        <v>20473</v>
      </c>
      <c r="I2268" s="331" t="s">
        <v>10</v>
      </c>
      <c r="J2268" s="1220" t="s">
        <v>1418</v>
      </c>
      <c r="K2268" s="1220"/>
      <c r="L2268" s="1221"/>
      <c r="M2268" s="112"/>
      <c r="N2268" s="54"/>
      <c r="O2268" s="336"/>
      <c r="P2268" s="334"/>
      <c r="Q2268" s="335"/>
      <c r="R2268" s="336"/>
      <c r="S2268" s="337"/>
    </row>
    <row r="2269" spans="1:19" ht="30" customHeight="1" x14ac:dyDescent="0.25">
      <c r="A2269" s="356" t="s">
        <v>282</v>
      </c>
      <c r="B2269" s="1163" t="s">
        <v>13</v>
      </c>
      <c r="C2269" s="1163"/>
      <c r="D2269" s="1163"/>
      <c r="E2269" s="546" t="s">
        <v>116</v>
      </c>
      <c r="F2269" s="356" t="s">
        <v>283</v>
      </c>
      <c r="G2269" s="1314" t="s">
        <v>15</v>
      </c>
      <c r="H2269" s="1315"/>
      <c r="I2269" s="1276" t="s">
        <v>284</v>
      </c>
      <c r="J2269" s="1277"/>
      <c r="K2269" s="1236" t="s">
        <v>285</v>
      </c>
      <c r="L2269" s="1237"/>
      <c r="M2269" s="112"/>
      <c r="N2269" s="54"/>
      <c r="O2269" s="336"/>
      <c r="P2269" s="334"/>
      <c r="Q2269" s="335"/>
      <c r="R2269" s="336"/>
      <c r="S2269" s="337"/>
    </row>
    <row r="2270" spans="1:19" ht="30" customHeight="1" x14ac:dyDescent="0.25">
      <c r="A2270" s="365">
        <v>31010</v>
      </c>
      <c r="B2270" s="1214" t="s">
        <v>1419</v>
      </c>
      <c r="C2270" s="1215"/>
      <c r="D2270" s="1216"/>
      <c r="E2270" s="247">
        <v>247</v>
      </c>
      <c r="F2270" s="257">
        <v>9000</v>
      </c>
      <c r="G2270" s="365" t="s">
        <v>205</v>
      </c>
      <c r="H2270" s="367"/>
      <c r="I2270" s="1378">
        <f>+'2022 MILCON Inflation Table'!F8</f>
        <v>1.4916874213561331</v>
      </c>
      <c r="J2270" s="1379"/>
      <c r="K2270" s="270">
        <f>+E2270*I2270</f>
        <v>368.44679307496489</v>
      </c>
      <c r="L2270" s="367" t="s">
        <v>205</v>
      </c>
      <c r="M2270" s="54"/>
      <c r="N2270" s="54"/>
      <c r="O2270" s="336"/>
      <c r="P2270" s="334"/>
      <c r="Q2270" s="335"/>
      <c r="R2270" s="336"/>
      <c r="S2270" s="337"/>
    </row>
    <row r="2271" spans="1:19" ht="30" customHeight="1" x14ac:dyDescent="0.25">
      <c r="A2271" s="365">
        <v>21110</v>
      </c>
      <c r="B2271" s="1209" t="s">
        <v>1420</v>
      </c>
      <c r="C2271" s="1210"/>
      <c r="D2271" s="1211"/>
      <c r="E2271" s="247">
        <v>417</v>
      </c>
      <c r="F2271" s="257">
        <v>110000</v>
      </c>
      <c r="G2271" s="365" t="s">
        <v>205</v>
      </c>
      <c r="H2271" s="367"/>
      <c r="I2271" s="1378">
        <v>0.9405</v>
      </c>
      <c r="J2271" s="1379"/>
      <c r="K2271" s="270">
        <f>+E2271*I2271</f>
        <v>392.18849999999998</v>
      </c>
      <c r="L2271" s="367" t="s">
        <v>205</v>
      </c>
      <c r="M2271" s="54"/>
      <c r="N2271" s="54"/>
      <c r="O2271" s="336"/>
      <c r="P2271" s="334"/>
      <c r="Q2271" s="335"/>
      <c r="R2271" s="336"/>
      <c r="S2271" s="337"/>
    </row>
    <row r="2272" spans="1:19" ht="30" customHeight="1" x14ac:dyDescent="0.25">
      <c r="A2272" s="365">
        <v>21120</v>
      </c>
      <c r="B2272" s="1209" t="s">
        <v>1421</v>
      </c>
      <c r="C2272" s="1210"/>
      <c r="D2272" s="1211"/>
      <c r="E2272" s="247">
        <v>267.67</v>
      </c>
      <c r="F2272" s="257">
        <v>32000</v>
      </c>
      <c r="G2272" s="365" t="s">
        <v>205</v>
      </c>
      <c r="H2272" s="367"/>
      <c r="I2272" s="1183">
        <f>+'2022 MILCON Inflation Table'!F13</f>
        <v>1.2561273320332946</v>
      </c>
      <c r="J2272" s="1184"/>
      <c r="K2272" s="270">
        <f>+E2272*I2272</f>
        <v>336.22760296535199</v>
      </c>
      <c r="L2272" s="367" t="s">
        <v>205</v>
      </c>
      <c r="M2272" s="54"/>
      <c r="N2272" s="54"/>
      <c r="O2272" s="336"/>
      <c r="P2272" s="334"/>
      <c r="Q2272" s="335"/>
      <c r="R2272" s="336"/>
      <c r="S2272" s="337"/>
    </row>
    <row r="2273" spans="1:19" ht="30" customHeight="1" x14ac:dyDescent="0.25">
      <c r="A2273" s="365">
        <v>21140</v>
      </c>
      <c r="B2273" s="1209" t="s">
        <v>1422</v>
      </c>
      <c r="C2273" s="1210"/>
      <c r="D2273" s="1211"/>
      <c r="E2273" s="247">
        <v>229</v>
      </c>
      <c r="F2273" s="257">
        <v>26000</v>
      </c>
      <c r="G2273" s="365" t="s">
        <v>205</v>
      </c>
      <c r="H2273" s="367"/>
      <c r="I2273" s="1378">
        <f>+'2022 MILCON Inflation Table'!F10</f>
        <v>1.4125755730404082</v>
      </c>
      <c r="J2273" s="1379"/>
      <c r="K2273" s="270">
        <f>+E2273*I2273</f>
        <v>323.47980622625346</v>
      </c>
      <c r="L2273" s="367" t="s">
        <v>205</v>
      </c>
      <c r="M2273" s="54"/>
      <c r="N2273" s="54"/>
      <c r="O2273" s="336"/>
      <c r="P2273" s="334"/>
      <c r="Q2273" s="335"/>
      <c r="R2273" s="336"/>
      <c r="S2273" s="337"/>
    </row>
    <row r="2274" spans="1:19" ht="30" customHeight="1" x14ac:dyDescent="0.25">
      <c r="A2274" s="365"/>
      <c r="B2274" s="738"/>
      <c r="C2274" s="591"/>
      <c r="D2274" s="589"/>
      <c r="E2274" s="153"/>
      <c r="F2274" s="172"/>
      <c r="G2274" s="711"/>
      <c r="H2274" s="341"/>
      <c r="I2274" s="853"/>
      <c r="J2274" s="854" t="s">
        <v>300</v>
      </c>
      <c r="K2274" s="270">
        <f>AVERAGE(K2270:K2273)</f>
        <v>355.08567556664258</v>
      </c>
      <c r="L2274" s="367" t="s">
        <v>205</v>
      </c>
      <c r="M2274" s="54"/>
      <c r="N2274" s="54"/>
      <c r="O2274" s="336"/>
      <c r="P2274" s="334"/>
      <c r="Q2274" s="335"/>
      <c r="R2274" s="336"/>
      <c r="S2274" s="337"/>
    </row>
    <row r="2275" spans="1:19" ht="30" customHeight="1" thickBot="1" x14ac:dyDescent="0.3">
      <c r="A2275" s="365"/>
      <c r="B2275" s="1214"/>
      <c r="C2275" s="1215"/>
      <c r="D2275" s="1216"/>
      <c r="E2275" s="333"/>
      <c r="F2275" s="744"/>
      <c r="G2275" s="333"/>
      <c r="H2275" s="729"/>
      <c r="I2275" s="366"/>
      <c r="J2275" s="359" t="s">
        <v>72</v>
      </c>
      <c r="K2275" s="270">
        <f>+K2274</f>
        <v>355.08567556664258</v>
      </c>
      <c r="L2275" s="367" t="s">
        <v>205</v>
      </c>
      <c r="M2275" s="54"/>
      <c r="O2275" s="336"/>
      <c r="P2275" s="334"/>
      <c r="Q2275" s="335"/>
      <c r="R2275" s="336"/>
      <c r="S2275" s="337"/>
    </row>
    <row r="2276" spans="1:19" ht="30" customHeight="1" thickBot="1" x14ac:dyDescent="0.3">
      <c r="A2276" s="1180"/>
      <c r="B2276" s="1181"/>
      <c r="C2276" s="1181"/>
      <c r="D2276" s="1181"/>
      <c r="E2276" s="1181"/>
      <c r="F2276" s="1181"/>
      <c r="G2276" s="1181"/>
      <c r="H2276" s="1181"/>
      <c r="I2276" s="1181"/>
      <c r="J2276" s="1181"/>
      <c r="K2276" s="1181"/>
      <c r="L2276" s="1182"/>
      <c r="M2276" s="54"/>
      <c r="N2276" s="54"/>
      <c r="O2276" s="336"/>
      <c r="P2276" s="334"/>
      <c r="Q2276" s="335"/>
      <c r="R2276" s="336"/>
      <c r="S2276" s="337"/>
    </row>
    <row r="2277" spans="1:19" ht="30" customHeight="1" x14ac:dyDescent="0.25">
      <c r="A2277" s="327" t="s">
        <v>5</v>
      </c>
      <c r="B2277" s="328">
        <v>3121</v>
      </c>
      <c r="C2277" s="1218" t="s">
        <v>1423</v>
      </c>
      <c r="D2277" s="1219"/>
      <c r="E2277" s="331" t="s">
        <v>8</v>
      </c>
      <c r="F2277" s="1123" t="s">
        <v>205</v>
      </c>
      <c r="G2277" s="342" t="s">
        <v>74</v>
      </c>
      <c r="H2277" s="160">
        <v>12019</v>
      </c>
      <c r="I2277" s="331" t="s">
        <v>10</v>
      </c>
      <c r="J2277" s="1220" t="s">
        <v>1418</v>
      </c>
      <c r="K2277" s="1220"/>
      <c r="L2277" s="1221"/>
      <c r="M2277" s="54"/>
      <c r="N2277" s="54"/>
      <c r="O2277" s="336"/>
      <c r="P2277" s="334"/>
      <c r="Q2277" s="335"/>
      <c r="R2277" s="336"/>
      <c r="S2277" s="337"/>
    </row>
    <row r="2278" spans="1:19" ht="30" customHeight="1" x14ac:dyDescent="0.25">
      <c r="A2278" s="356" t="s">
        <v>282</v>
      </c>
      <c r="B2278" s="1163" t="s">
        <v>13</v>
      </c>
      <c r="C2278" s="1163"/>
      <c r="D2278" s="1163"/>
      <c r="E2278" s="546" t="s">
        <v>116</v>
      </c>
      <c r="F2278" s="356" t="s">
        <v>283</v>
      </c>
      <c r="G2278" s="1314" t="s">
        <v>15</v>
      </c>
      <c r="H2278" s="1315"/>
      <c r="I2278" s="1276" t="s">
        <v>284</v>
      </c>
      <c r="J2278" s="1277"/>
      <c r="K2278" s="1236" t="s">
        <v>285</v>
      </c>
      <c r="L2278" s="1237"/>
      <c r="M2278" s="54"/>
      <c r="N2278" s="54"/>
      <c r="O2278" s="336"/>
      <c r="P2278" s="334"/>
      <c r="Q2278" s="335"/>
      <c r="R2278" s="336"/>
      <c r="S2278" s="337"/>
    </row>
    <row r="2279" spans="1:19" ht="30" customHeight="1" x14ac:dyDescent="0.25">
      <c r="A2279" s="365">
        <v>31010</v>
      </c>
      <c r="B2279" s="1214" t="s">
        <v>1419</v>
      </c>
      <c r="C2279" s="1215"/>
      <c r="D2279" s="1216"/>
      <c r="E2279" s="247">
        <v>247</v>
      </c>
      <c r="F2279" s="257">
        <v>9000</v>
      </c>
      <c r="G2279" s="365" t="s">
        <v>205</v>
      </c>
      <c r="H2279" s="367"/>
      <c r="I2279" s="1378">
        <f>+'2022 MILCON Inflation Table'!F8</f>
        <v>1.4916874213561331</v>
      </c>
      <c r="J2279" s="1379"/>
      <c r="K2279" s="252">
        <f>+E2279*I2279</f>
        <v>368.44679307496489</v>
      </c>
      <c r="L2279" s="367" t="s">
        <v>205</v>
      </c>
      <c r="M2279" s="54"/>
      <c r="N2279" s="54"/>
      <c r="P2279" s="335"/>
      <c r="Q2279" s="336"/>
      <c r="R2279" s="337"/>
    </row>
    <row r="2280" spans="1:19" ht="30" customHeight="1" x14ac:dyDescent="0.25">
      <c r="A2280" s="365">
        <v>21110</v>
      </c>
      <c r="B2280" s="1209" t="s">
        <v>1420</v>
      </c>
      <c r="C2280" s="1210"/>
      <c r="D2280" s="1211"/>
      <c r="E2280" s="247">
        <v>417</v>
      </c>
      <c r="F2280" s="257">
        <v>110000</v>
      </c>
      <c r="G2280" s="365" t="s">
        <v>205</v>
      </c>
      <c r="H2280" s="367"/>
      <c r="I2280" s="1378">
        <v>0.9405</v>
      </c>
      <c r="J2280" s="1379"/>
      <c r="K2280" s="252">
        <f>+E2280*I2280</f>
        <v>392.18849999999998</v>
      </c>
      <c r="L2280" s="367" t="s">
        <v>205</v>
      </c>
      <c r="M2280" s="54"/>
      <c r="N2280" s="54"/>
      <c r="O2280" s="336"/>
      <c r="P2280" s="334"/>
      <c r="Q2280" s="335"/>
      <c r="R2280" s="336"/>
      <c r="S2280" s="337"/>
    </row>
    <row r="2281" spans="1:19" ht="30" customHeight="1" x14ac:dyDescent="0.25">
      <c r="A2281" s="365">
        <v>21120</v>
      </c>
      <c r="B2281" s="1209" t="s">
        <v>1421</v>
      </c>
      <c r="C2281" s="1210"/>
      <c r="D2281" s="1211"/>
      <c r="E2281" s="247">
        <v>267.67</v>
      </c>
      <c r="F2281" s="257">
        <v>32000</v>
      </c>
      <c r="G2281" s="365" t="s">
        <v>205</v>
      </c>
      <c r="H2281" s="367"/>
      <c r="I2281" s="1183">
        <f>+'2022 MILCON Inflation Table'!F13</f>
        <v>1.2561273320332946</v>
      </c>
      <c r="J2281" s="1184"/>
      <c r="K2281" s="252">
        <f>+E2281*I2281</f>
        <v>336.22760296535199</v>
      </c>
      <c r="L2281" s="367" t="s">
        <v>205</v>
      </c>
      <c r="M2281" s="54"/>
      <c r="N2281" s="54"/>
      <c r="O2281" s="336"/>
      <c r="P2281" s="334"/>
      <c r="Q2281" s="335"/>
      <c r="R2281" s="336"/>
      <c r="S2281" s="337"/>
    </row>
    <row r="2282" spans="1:19" ht="30" customHeight="1" x14ac:dyDescent="0.25">
      <c r="A2282" s="365">
        <v>21210</v>
      </c>
      <c r="B2282" s="1209" t="s">
        <v>1424</v>
      </c>
      <c r="C2282" s="1210"/>
      <c r="D2282" s="1211"/>
      <c r="E2282" s="247">
        <v>208</v>
      </c>
      <c r="F2282" s="257">
        <v>10300</v>
      </c>
      <c r="G2282" s="365" t="s">
        <v>205</v>
      </c>
      <c r="H2282" s="367"/>
      <c r="I2282" s="1378">
        <f>+'2022 MILCON Inflation Table'!F8</f>
        <v>1.4916874213561331</v>
      </c>
      <c r="J2282" s="1379"/>
      <c r="K2282" s="252">
        <f>+E2282*I2282</f>
        <v>310.27098364207569</v>
      </c>
      <c r="L2282" s="367" t="s">
        <v>205</v>
      </c>
      <c r="M2282" s="54"/>
      <c r="N2282" s="54"/>
      <c r="O2282" s="336"/>
      <c r="P2282" s="334"/>
      <c r="Q2282" s="335"/>
      <c r="R2282" s="336"/>
      <c r="S2282" s="337"/>
    </row>
    <row r="2283" spans="1:19" ht="30" customHeight="1" x14ac:dyDescent="0.25">
      <c r="A2283" s="365"/>
      <c r="B2283" s="738"/>
      <c r="C2283" s="591"/>
      <c r="D2283" s="589"/>
      <c r="E2283" s="153"/>
      <c r="F2283" s="172"/>
      <c r="G2283" s="711"/>
      <c r="H2283" s="341"/>
      <c r="I2283" s="730"/>
      <c r="J2283" s="782" t="s">
        <v>300</v>
      </c>
      <c r="K2283" s="252">
        <f>AVERAGE(K2279:K2282)</f>
        <v>351.78346992059812</v>
      </c>
      <c r="L2283" s="367" t="s">
        <v>205</v>
      </c>
      <c r="M2283" s="54"/>
      <c r="N2283" s="54"/>
      <c r="O2283" s="336"/>
      <c r="P2283" s="334"/>
      <c r="Q2283" s="335"/>
      <c r="R2283" s="336"/>
      <c r="S2283" s="337"/>
    </row>
    <row r="2284" spans="1:19" ht="30" customHeight="1" thickBot="1" x14ac:dyDescent="0.3">
      <c r="A2284" s="365"/>
      <c r="B2284" s="1214"/>
      <c r="C2284" s="1215"/>
      <c r="D2284" s="1216"/>
      <c r="E2284" s="333"/>
      <c r="F2284" s="744"/>
      <c r="G2284" s="333"/>
      <c r="H2284" s="729"/>
      <c r="I2284" s="366"/>
      <c r="J2284" s="359" t="s">
        <v>72</v>
      </c>
      <c r="K2284" s="252">
        <f>AVERAGE(K2279:K2282)</f>
        <v>351.78346992059812</v>
      </c>
      <c r="L2284" s="367" t="s">
        <v>205</v>
      </c>
      <c r="M2284" s="54"/>
      <c r="N2284" s="54"/>
      <c r="O2284" s="336"/>
      <c r="P2284" s="334"/>
      <c r="Q2284" s="335"/>
      <c r="R2284" s="336"/>
      <c r="S2284" s="337"/>
    </row>
    <row r="2285" spans="1:19" ht="30" customHeight="1" thickBot="1" x14ac:dyDescent="0.3">
      <c r="A2285" s="1180"/>
      <c r="B2285" s="1181"/>
      <c r="C2285" s="1181"/>
      <c r="D2285" s="1181"/>
      <c r="E2285" s="1181"/>
      <c r="F2285" s="1181"/>
      <c r="G2285" s="1181"/>
      <c r="H2285" s="1181"/>
      <c r="I2285" s="1181"/>
      <c r="J2285" s="1181"/>
      <c r="K2285" s="1181"/>
      <c r="L2285" s="1182"/>
      <c r="M2285" s="54"/>
      <c r="N2285" s="54"/>
      <c r="O2285" s="336"/>
      <c r="P2285" s="334"/>
      <c r="Q2285" s="335"/>
      <c r="R2285" s="336"/>
      <c r="S2285" s="337"/>
    </row>
    <row r="2286" spans="1:19" ht="30" customHeight="1" x14ac:dyDescent="0.25">
      <c r="A2286" s="327" t="s">
        <v>5</v>
      </c>
      <c r="B2286" s="328">
        <v>3131</v>
      </c>
      <c r="C2286" s="1406" t="s">
        <v>1425</v>
      </c>
      <c r="D2286" s="1406"/>
      <c r="E2286" s="331" t="s">
        <v>8</v>
      </c>
      <c r="F2286" s="332" t="s">
        <v>205</v>
      </c>
      <c r="G2286" s="342" t="s">
        <v>74</v>
      </c>
      <c r="H2286" s="820">
        <v>23353</v>
      </c>
      <c r="I2286" s="331" t="s">
        <v>10</v>
      </c>
      <c r="J2286" s="1220" t="s">
        <v>3388</v>
      </c>
      <c r="K2286" s="1220"/>
      <c r="L2286" s="1221"/>
      <c r="M2286" s="54"/>
      <c r="N2286" s="54"/>
      <c r="O2286" s="336"/>
      <c r="P2286" s="334"/>
      <c r="Q2286" s="335"/>
      <c r="R2286" s="336"/>
      <c r="S2286" s="337"/>
    </row>
    <row r="2287" spans="1:19" ht="30" customHeight="1" x14ac:dyDescent="0.25">
      <c r="A2287" s="359" t="s">
        <v>295</v>
      </c>
      <c r="B2287" s="1222" t="s">
        <v>326</v>
      </c>
      <c r="C2287" s="1235"/>
      <c r="D2287" s="1223"/>
      <c r="E2287" s="577" t="s">
        <v>116</v>
      </c>
      <c r="F2287" s="577" t="s">
        <v>117</v>
      </c>
      <c r="G2287" s="1236" t="s">
        <v>118</v>
      </c>
      <c r="H2287" s="1237"/>
      <c r="I2287" s="812" t="s">
        <v>1134</v>
      </c>
      <c r="J2287" s="356" t="s">
        <v>296</v>
      </c>
      <c r="K2287" s="1236" t="s">
        <v>285</v>
      </c>
      <c r="L2287" s="1237"/>
      <c r="M2287" s="54"/>
      <c r="N2287" s="54"/>
      <c r="O2287" s="336"/>
      <c r="P2287" s="334"/>
      <c r="Q2287" s="335"/>
      <c r="R2287" s="336"/>
      <c r="S2287" s="337"/>
    </row>
    <row r="2288" spans="1:19" ht="30" customHeight="1" x14ac:dyDescent="0.25">
      <c r="A2288" s="365" t="s">
        <v>1104</v>
      </c>
      <c r="B2288" s="1209" t="s">
        <v>1426</v>
      </c>
      <c r="C2288" s="1210"/>
      <c r="D2288" s="1211"/>
      <c r="E2288" s="247">
        <v>97.5</v>
      </c>
      <c r="F2288" s="365" t="s">
        <v>205</v>
      </c>
      <c r="G2288" s="689"/>
      <c r="H2288" s="690"/>
      <c r="I2288" s="65">
        <f>+E2288</f>
        <v>97.5</v>
      </c>
      <c r="J2288" s="365">
        <v>1.01</v>
      </c>
      <c r="K2288" s="247">
        <f>+I2288*J2288</f>
        <v>98.474999999999994</v>
      </c>
      <c r="L2288" s="365" t="s">
        <v>205</v>
      </c>
      <c r="M2288" s="54"/>
      <c r="N2288" s="54"/>
      <c r="O2288" s="336"/>
      <c r="P2288" s="334"/>
      <c r="Q2288" s="335"/>
      <c r="R2288" s="336"/>
      <c r="S2288" s="337"/>
    </row>
    <row r="2289" spans="1:19" ht="30" customHeight="1" x14ac:dyDescent="0.25">
      <c r="A2289" s="365" t="s">
        <v>406</v>
      </c>
      <c r="B2289" s="1209" t="s">
        <v>1176</v>
      </c>
      <c r="C2289" s="1210"/>
      <c r="D2289" s="1211"/>
      <c r="E2289" s="11">
        <v>3.61</v>
      </c>
      <c r="F2289" s="365" t="s">
        <v>205</v>
      </c>
      <c r="G2289" s="452"/>
      <c r="H2289" s="589"/>
      <c r="I2289" s="170">
        <f>+E2289</f>
        <v>3.61</v>
      </c>
      <c r="J2289" s="365">
        <v>1.01</v>
      </c>
      <c r="K2289" s="247">
        <f t="shared" ref="K2289:K2298" si="43">+I2289*J2289</f>
        <v>3.6461000000000001</v>
      </c>
      <c r="L2289" s="365" t="s">
        <v>205</v>
      </c>
      <c r="M2289" s="54"/>
      <c r="O2289" s="336"/>
      <c r="P2289" s="334"/>
      <c r="Q2289" s="335"/>
      <c r="R2289" s="336"/>
      <c r="S2289" s="337"/>
    </row>
    <row r="2290" spans="1:19" ht="30" customHeight="1" x14ac:dyDescent="0.25">
      <c r="A2290" s="365" t="s">
        <v>520</v>
      </c>
      <c r="B2290" s="1209" t="s">
        <v>1427</v>
      </c>
      <c r="C2290" s="1210"/>
      <c r="D2290" s="1211"/>
      <c r="E2290" s="247">
        <v>177000</v>
      </c>
      <c r="F2290" s="661" t="s">
        <v>76</v>
      </c>
      <c r="G2290" s="168">
        <f>+(E2290*2)/H2286</f>
        <v>15.158651993319916</v>
      </c>
      <c r="H2290" s="589" t="s">
        <v>1140</v>
      </c>
      <c r="I2290" s="170">
        <f>+E2290*2/H2286</f>
        <v>15.158651993319916</v>
      </c>
      <c r="J2290" s="365">
        <v>1.02</v>
      </c>
      <c r="K2290" s="247">
        <f t="shared" si="43"/>
        <v>15.461825033186315</v>
      </c>
      <c r="L2290" s="365" t="s">
        <v>205</v>
      </c>
      <c r="N2290" s="54"/>
      <c r="O2290" s="336"/>
      <c r="P2290" s="334"/>
      <c r="Q2290" s="335"/>
      <c r="R2290" s="336"/>
      <c r="S2290" s="337"/>
    </row>
    <row r="2291" spans="1:19" ht="30" customHeight="1" x14ac:dyDescent="0.25">
      <c r="A2291" s="365" t="s">
        <v>520</v>
      </c>
      <c r="B2291" s="1209" t="s">
        <v>1428</v>
      </c>
      <c r="C2291" s="1210"/>
      <c r="D2291" s="1211"/>
      <c r="E2291" s="247">
        <f>+(244+267)/2</f>
        <v>255.5</v>
      </c>
      <c r="F2291" s="661" t="s">
        <v>40</v>
      </c>
      <c r="G2291" s="168">
        <f>400/H2286</f>
        <v>1.7128420331434933E-2</v>
      </c>
      <c r="H2291" s="589" t="s">
        <v>1140</v>
      </c>
      <c r="I2291" s="170">
        <f>+E2291*G2291</f>
        <v>4.3763113946816254</v>
      </c>
      <c r="J2291" s="365">
        <v>1.02</v>
      </c>
      <c r="K2291" s="247">
        <f t="shared" si="43"/>
        <v>4.4638376225752578</v>
      </c>
      <c r="L2291" s="365" t="s">
        <v>205</v>
      </c>
      <c r="M2291" s="54"/>
      <c r="N2291" s="54"/>
      <c r="O2291" s="336"/>
      <c r="P2291" s="334"/>
      <c r="Q2291" s="335"/>
      <c r="R2291" s="336"/>
      <c r="S2291" s="337"/>
    </row>
    <row r="2292" spans="1:19" ht="30" customHeight="1" x14ac:dyDescent="0.25">
      <c r="A2292" s="365" t="s">
        <v>520</v>
      </c>
      <c r="B2292" s="1209" t="s">
        <v>1358</v>
      </c>
      <c r="C2292" s="1210"/>
      <c r="D2292" s="1211"/>
      <c r="E2292" s="247">
        <f>+(23.75+47.75)/2</f>
        <v>35.75</v>
      </c>
      <c r="F2292" s="661" t="s">
        <v>40</v>
      </c>
      <c r="G2292" s="168">
        <f>344/H2286</f>
        <v>1.4730441485034043E-2</v>
      </c>
      <c r="H2292" s="589" t="s">
        <v>1140</v>
      </c>
      <c r="I2292" s="170">
        <f>+E2292*G2292</f>
        <v>0.52661328308996702</v>
      </c>
      <c r="J2292" s="365">
        <v>1.02</v>
      </c>
      <c r="K2292" s="247">
        <f t="shared" si="43"/>
        <v>0.53714554875176634</v>
      </c>
      <c r="L2292" s="365" t="s">
        <v>205</v>
      </c>
      <c r="M2292" s="54"/>
      <c r="N2292" s="54"/>
      <c r="O2292" s="336"/>
      <c r="P2292" s="334"/>
      <c r="Q2292" s="335"/>
      <c r="R2292" s="336"/>
      <c r="S2292" s="337"/>
    </row>
    <row r="2293" spans="1:19" ht="30" customHeight="1" x14ac:dyDescent="0.25">
      <c r="A2293" s="365" t="s">
        <v>426</v>
      </c>
      <c r="B2293" s="1209" t="s">
        <v>1429</v>
      </c>
      <c r="C2293" s="1210"/>
      <c r="D2293" s="1211"/>
      <c r="E2293" s="247">
        <f>(20.3+31.5)/2</f>
        <v>25.9</v>
      </c>
      <c r="F2293" s="661" t="s">
        <v>428</v>
      </c>
      <c r="G2293" s="666">
        <f>3*81*E2293/H2286</f>
        <v>0.26950284759988008</v>
      </c>
      <c r="H2293" s="589" t="s">
        <v>1140</v>
      </c>
      <c r="I2293" s="170">
        <f>+G2293</f>
        <v>0.26950284759988008</v>
      </c>
      <c r="J2293" s="365">
        <v>1.03</v>
      </c>
      <c r="K2293" s="247">
        <f t="shared" si="43"/>
        <v>0.27758793302787649</v>
      </c>
      <c r="L2293" s="365" t="s">
        <v>205</v>
      </c>
      <c r="M2293" s="54"/>
      <c r="N2293" s="54"/>
      <c r="O2293" s="336"/>
      <c r="P2293" s="334"/>
      <c r="Q2293" s="335"/>
      <c r="R2293" s="336"/>
      <c r="S2293" s="337"/>
    </row>
    <row r="2294" spans="1:19" ht="30" customHeight="1" x14ac:dyDescent="0.25">
      <c r="A2294" s="365" t="s">
        <v>426</v>
      </c>
      <c r="B2294" s="1209" t="s">
        <v>1430</v>
      </c>
      <c r="C2294" s="1210"/>
      <c r="D2294" s="1211"/>
      <c r="E2294" s="247">
        <f>(1710+2420)/2</f>
        <v>2065</v>
      </c>
      <c r="F2294" s="661" t="s">
        <v>76</v>
      </c>
      <c r="G2294" s="666">
        <f>3*E2294/H2286</f>
        <v>0.26527640988309853</v>
      </c>
      <c r="H2294" s="589" t="s">
        <v>1140</v>
      </c>
      <c r="I2294" s="170">
        <f>+G2294</f>
        <v>0.26527640988309853</v>
      </c>
      <c r="J2294" s="365">
        <v>1.03</v>
      </c>
      <c r="K2294" s="247">
        <f t="shared" si="43"/>
        <v>0.2732347021795915</v>
      </c>
      <c r="L2294" s="365" t="s">
        <v>205</v>
      </c>
      <c r="M2294" s="54"/>
      <c r="N2294" s="54"/>
      <c r="O2294" s="336"/>
      <c r="P2294" s="334"/>
      <c r="Q2294" s="335"/>
      <c r="R2294" s="336"/>
      <c r="S2294" s="337"/>
    </row>
    <row r="2295" spans="1:19" ht="30" customHeight="1" x14ac:dyDescent="0.25">
      <c r="A2295" s="365" t="s">
        <v>430</v>
      </c>
      <c r="B2295" s="1209" t="s">
        <v>1431</v>
      </c>
      <c r="C2295" s="1210"/>
      <c r="D2295" s="1211"/>
      <c r="E2295" s="247">
        <f>+(34.5+782)</f>
        <v>816.5</v>
      </c>
      <c r="F2295" s="661" t="s">
        <v>40</v>
      </c>
      <c r="G2295" s="452">
        <v>30</v>
      </c>
      <c r="H2295" s="589" t="s">
        <v>1329</v>
      </c>
      <c r="I2295" s="170">
        <f>+E2295*G2295/H2286</f>
        <v>1.0489016400462468</v>
      </c>
      <c r="J2295" s="365">
        <v>1.03</v>
      </c>
      <c r="K2295" s="247">
        <f t="shared" si="43"/>
        <v>1.0803686892476341</v>
      </c>
      <c r="L2295" s="365" t="s">
        <v>205</v>
      </c>
      <c r="M2295" s="54"/>
      <c r="O2295" s="336"/>
      <c r="P2295" s="334"/>
      <c r="Q2295" s="335"/>
      <c r="R2295" s="336"/>
      <c r="S2295" s="337"/>
    </row>
    <row r="2296" spans="1:19" ht="30" customHeight="1" x14ac:dyDescent="0.25">
      <c r="A2296" s="365" t="s">
        <v>430</v>
      </c>
      <c r="B2296" s="1209" t="s">
        <v>1432</v>
      </c>
      <c r="C2296" s="1210"/>
      <c r="D2296" s="1211"/>
      <c r="E2296" s="247">
        <f>+(6450+12300)/2</f>
        <v>9375</v>
      </c>
      <c r="F2296" s="661" t="s">
        <v>76</v>
      </c>
      <c r="G2296" s="452">
        <v>3</v>
      </c>
      <c r="H2296" s="589" t="s">
        <v>1140</v>
      </c>
      <c r="I2296" s="170">
        <f>+E2296*3/H2286</f>
        <v>1.2043420545540187</v>
      </c>
      <c r="J2296" s="365">
        <v>1.03</v>
      </c>
      <c r="K2296" s="247">
        <f t="shared" si="43"/>
        <v>1.2404723161906392</v>
      </c>
      <c r="L2296" s="365" t="s">
        <v>205</v>
      </c>
      <c r="M2296" s="54"/>
      <c r="N2296" s="54"/>
      <c r="O2296" s="336"/>
      <c r="P2296" s="334"/>
      <c r="Q2296" s="335"/>
      <c r="R2296" s="336"/>
      <c r="S2296" s="337"/>
    </row>
    <row r="2297" spans="1:19" ht="30" customHeight="1" x14ac:dyDescent="0.25">
      <c r="A2297" s="365" t="s">
        <v>430</v>
      </c>
      <c r="B2297" s="1209" t="s">
        <v>1433</v>
      </c>
      <c r="C2297" s="1210"/>
      <c r="D2297" s="1211"/>
      <c r="E2297" s="11">
        <f>+(660+1010)/2</f>
        <v>835</v>
      </c>
      <c r="F2297" s="661" t="s">
        <v>76</v>
      </c>
      <c r="G2297" s="452">
        <v>3</v>
      </c>
      <c r="H2297" s="589" t="s">
        <v>1140</v>
      </c>
      <c r="I2297" s="170">
        <f>+E2297*3/H2286</f>
        <v>0.10726673232561126</v>
      </c>
      <c r="J2297" s="365">
        <v>1.03</v>
      </c>
      <c r="K2297" s="247">
        <f t="shared" si="43"/>
        <v>0.11048473429537961</v>
      </c>
      <c r="L2297" s="365" t="s">
        <v>205</v>
      </c>
      <c r="M2297" s="54"/>
      <c r="N2297" s="54"/>
      <c r="O2297" s="336"/>
      <c r="P2297" s="334"/>
      <c r="Q2297" s="335"/>
      <c r="R2297" s="336"/>
      <c r="S2297" s="337"/>
    </row>
    <row r="2298" spans="1:19" ht="30" customHeight="1" x14ac:dyDescent="0.25">
      <c r="A2298" s="365" t="s">
        <v>430</v>
      </c>
      <c r="B2298" s="1209" t="s">
        <v>1434</v>
      </c>
      <c r="C2298" s="1210"/>
      <c r="D2298" s="1211"/>
      <c r="E2298" s="247">
        <f>+(1160+3475)/2</f>
        <v>2317.5</v>
      </c>
      <c r="F2298" s="661" t="s">
        <v>76</v>
      </c>
      <c r="G2298" s="452">
        <v>3</v>
      </c>
      <c r="H2298" s="589" t="s">
        <v>1140</v>
      </c>
      <c r="I2298" s="170">
        <f>+E2298*3/H2286</f>
        <v>0.29771335588575343</v>
      </c>
      <c r="J2298" s="365">
        <v>1.03</v>
      </c>
      <c r="K2298" s="247">
        <f t="shared" si="43"/>
        <v>0.30664475656232604</v>
      </c>
      <c r="L2298" s="365" t="s">
        <v>205</v>
      </c>
      <c r="M2298" s="54"/>
      <c r="N2298" s="54"/>
      <c r="O2298" s="336"/>
      <c r="P2298" s="334"/>
      <c r="Q2298" s="335"/>
      <c r="R2298" s="336"/>
      <c r="S2298" s="337"/>
    </row>
    <row r="2299" spans="1:19" ht="30" customHeight="1" x14ac:dyDescent="0.25">
      <c r="A2299" s="365"/>
      <c r="B2299" s="1281"/>
      <c r="C2299" s="1281"/>
      <c r="D2299" s="1281"/>
      <c r="E2299" s="247"/>
      <c r="F2299" s="365"/>
      <c r="G2299" s="366"/>
      <c r="H2299" s="662"/>
      <c r="I2299" s="662"/>
      <c r="J2299" s="365" t="s">
        <v>408</v>
      </c>
      <c r="K2299" s="247">
        <f>SUM(K2288:K2298)</f>
        <v>125.87270133601677</v>
      </c>
      <c r="L2299" s="365" t="s">
        <v>205</v>
      </c>
      <c r="M2299" s="54"/>
      <c r="N2299" s="54"/>
      <c r="O2299" s="336"/>
      <c r="P2299" s="334"/>
      <c r="Q2299" s="335"/>
      <c r="R2299" s="336"/>
      <c r="S2299" s="337"/>
    </row>
    <row r="2300" spans="1:19" ht="30" customHeight="1" x14ac:dyDescent="0.25">
      <c r="A2300" s="365"/>
      <c r="B2300" s="578"/>
      <c r="C2300" s="578"/>
      <c r="D2300" s="578"/>
      <c r="E2300" s="578"/>
      <c r="F2300" s="1272" t="s">
        <v>303</v>
      </c>
      <c r="G2300" s="1562" t="s">
        <v>304</v>
      </c>
      <c r="H2300" s="1563"/>
      <c r="I2300" s="1563"/>
      <c r="J2300" s="1564"/>
      <c r="K2300" s="250">
        <v>1.1000000000000001</v>
      </c>
      <c r="L2300" s="365"/>
      <c r="M2300" s="54"/>
      <c r="N2300" s="54"/>
      <c r="O2300" s="336"/>
      <c r="P2300" s="334"/>
      <c r="Q2300" s="335"/>
      <c r="R2300" s="336"/>
      <c r="S2300" s="337"/>
    </row>
    <row r="2301" spans="1:19" ht="30" customHeight="1" x14ac:dyDescent="0.25">
      <c r="A2301" s="365"/>
      <c r="B2301" s="578"/>
      <c r="C2301" s="578"/>
      <c r="D2301" s="578"/>
      <c r="E2301" s="578"/>
      <c r="F2301" s="1273"/>
      <c r="G2301" s="1284" t="s">
        <v>438</v>
      </c>
      <c r="H2301" s="1284"/>
      <c r="I2301" s="1284"/>
      <c r="J2301" s="1284"/>
      <c r="K2301" s="250">
        <v>1.08</v>
      </c>
      <c r="L2301" s="365"/>
      <c r="M2301" s="54"/>
      <c r="N2301" s="54"/>
      <c r="O2301" s="336"/>
      <c r="P2301" s="334"/>
      <c r="Q2301" s="335"/>
      <c r="R2301" s="336"/>
      <c r="S2301" s="337"/>
    </row>
    <row r="2302" spans="1:19" ht="30" customHeight="1" x14ac:dyDescent="0.25">
      <c r="A2302" s="855"/>
      <c r="B2302" s="856"/>
      <c r="C2302" s="857"/>
      <c r="D2302" s="857"/>
      <c r="E2302" s="857"/>
      <c r="F2302" s="857"/>
      <c r="G2302" s="857"/>
      <c r="H2302" s="858"/>
      <c r="I2302" s="366"/>
      <c r="J2302" s="365" t="s">
        <v>72</v>
      </c>
      <c r="K2302" s="246">
        <f>+K2299*K2300/K2301</f>
        <v>128.20367728668376</v>
      </c>
      <c r="L2302" s="365" t="s">
        <v>205</v>
      </c>
      <c r="M2302" s="54"/>
      <c r="N2302" s="54"/>
      <c r="O2302" s="336"/>
      <c r="P2302" s="334"/>
      <c r="Q2302" s="335"/>
      <c r="R2302" s="336"/>
      <c r="S2302" s="337"/>
    </row>
    <row r="2303" spans="1:19" ht="30" customHeight="1" x14ac:dyDescent="0.25">
      <c r="A2303" s="855"/>
      <c r="B2303" s="856"/>
      <c r="C2303" s="857"/>
      <c r="D2303" s="857"/>
      <c r="E2303" s="857"/>
      <c r="F2303" s="857"/>
      <c r="H2303" s="366"/>
      <c r="I2303" s="815" t="s">
        <v>414</v>
      </c>
      <c r="J2303" s="521">
        <f>VLOOKUP(B2286,'Mil Cost Premiums for PUCs'!$A$4:$R$277,18,FALSE)</f>
        <v>1.3319480854780448</v>
      </c>
      <c r="K2303" s="246">
        <f>+K2302*J2303</f>
        <v>170.76064251324351</v>
      </c>
      <c r="L2303" s="365" t="s">
        <v>205</v>
      </c>
      <c r="M2303" s="54"/>
      <c r="N2303" s="54"/>
      <c r="P2303" s="335"/>
      <c r="Q2303" s="336"/>
      <c r="R2303" s="337"/>
    </row>
    <row r="2304" spans="1:19" ht="30" customHeight="1" x14ac:dyDescent="0.25">
      <c r="A2304" s="835"/>
      <c r="B2304" s="835"/>
      <c r="C2304" s="840"/>
      <c r="D2304" s="840"/>
      <c r="E2304" s="850"/>
      <c r="F2304" s="1278" t="s">
        <v>1148</v>
      </c>
      <c r="G2304" s="1278"/>
      <c r="H2304" s="1278"/>
      <c r="I2304" s="1278"/>
      <c r="J2304" s="845">
        <v>1.0833999999999999</v>
      </c>
      <c r="K2304" s="544">
        <f>K2303*J2304</f>
        <v>185.00208009884801</v>
      </c>
      <c r="L2304" s="369" t="s">
        <v>205</v>
      </c>
      <c r="N2304" s="54"/>
      <c r="P2304" s="335"/>
      <c r="Q2304" s="336"/>
      <c r="R2304" s="337"/>
    </row>
    <row r="2305" spans="1:19" ht="75" customHeight="1" x14ac:dyDescent="0.25">
      <c r="A2305" s="1230" t="s">
        <v>307</v>
      </c>
      <c r="B2305" s="1231"/>
      <c r="C2305" s="1231"/>
      <c r="D2305" s="1231"/>
      <c r="E2305" s="1231"/>
      <c r="F2305" s="1231"/>
      <c r="G2305" s="1231"/>
      <c r="H2305" s="1231"/>
      <c r="I2305" s="1231"/>
      <c r="J2305" s="1231"/>
      <c r="K2305" s="1231"/>
      <c r="L2305" s="1232"/>
      <c r="M2305" s="54"/>
      <c r="N2305" s="54"/>
      <c r="P2305" s="335"/>
      <c r="Q2305" s="336"/>
      <c r="R2305" s="337"/>
    </row>
    <row r="2306" spans="1:19" ht="30" customHeight="1" x14ac:dyDescent="0.25">
      <c r="A2306" s="1164" t="s">
        <v>308</v>
      </c>
      <c r="B2306" s="1164"/>
      <c r="C2306" s="1164"/>
      <c r="D2306" s="1230" t="s">
        <v>1435</v>
      </c>
      <c r="E2306" s="1231"/>
      <c r="F2306" s="1231"/>
      <c r="G2306" s="1231"/>
      <c r="H2306" s="1231"/>
      <c r="I2306" s="1231"/>
      <c r="J2306" s="1231"/>
      <c r="K2306" s="1231"/>
      <c r="L2306" s="1232"/>
      <c r="M2306" s="54"/>
      <c r="N2306" s="54"/>
      <c r="P2306" s="335"/>
      <c r="Q2306" s="336"/>
      <c r="R2306" s="337"/>
    </row>
    <row r="2307" spans="1:19" ht="30" customHeight="1" x14ac:dyDescent="0.25">
      <c r="A2307" s="1164" t="s">
        <v>310</v>
      </c>
      <c r="B2307" s="1164"/>
      <c r="C2307" s="1164"/>
      <c r="D2307" s="1230" t="s">
        <v>1436</v>
      </c>
      <c r="E2307" s="1231"/>
      <c r="F2307" s="1231"/>
      <c r="G2307" s="1231"/>
      <c r="H2307" s="1231"/>
      <c r="I2307" s="1231"/>
      <c r="J2307" s="1231"/>
      <c r="K2307" s="1231"/>
      <c r="L2307" s="1232"/>
      <c r="M2307" s="54"/>
      <c r="N2307" s="54"/>
      <c r="P2307" s="335"/>
      <c r="Q2307" s="336"/>
      <c r="R2307" s="337"/>
    </row>
    <row r="2308" spans="1:19" ht="30" customHeight="1" x14ac:dyDescent="0.25">
      <c r="A2308" s="1164" t="s">
        <v>312</v>
      </c>
      <c r="B2308" s="1164"/>
      <c r="C2308" s="1164"/>
      <c r="D2308" s="1230" t="s">
        <v>1437</v>
      </c>
      <c r="E2308" s="1231"/>
      <c r="F2308" s="1231"/>
      <c r="G2308" s="1231"/>
      <c r="H2308" s="1231"/>
      <c r="I2308" s="1231"/>
      <c r="J2308" s="1231"/>
      <c r="K2308" s="1231"/>
      <c r="L2308" s="1232"/>
      <c r="M2308" s="54"/>
      <c r="N2308" s="54"/>
      <c r="P2308" s="335"/>
      <c r="Q2308" s="336"/>
      <c r="R2308" s="337"/>
    </row>
    <row r="2309" spans="1:19" ht="30" customHeight="1" x14ac:dyDescent="0.25">
      <c r="A2309" s="1164" t="s">
        <v>314</v>
      </c>
      <c r="B2309" s="1164"/>
      <c r="C2309" s="1164"/>
      <c r="D2309" s="1230" t="s">
        <v>1438</v>
      </c>
      <c r="E2309" s="1231"/>
      <c r="F2309" s="1231"/>
      <c r="G2309" s="1231"/>
      <c r="H2309" s="1231"/>
      <c r="I2309" s="1231"/>
      <c r="J2309" s="1231"/>
      <c r="K2309" s="1231"/>
      <c r="L2309" s="1232"/>
      <c r="M2309" s="54"/>
      <c r="N2309" s="54"/>
      <c r="P2309" s="335"/>
      <c r="Q2309" s="336"/>
      <c r="R2309" s="337"/>
    </row>
    <row r="2310" spans="1:19" ht="75" customHeight="1" x14ac:dyDescent="0.25">
      <c r="A2310" s="1164" t="s">
        <v>316</v>
      </c>
      <c r="B2310" s="1164"/>
      <c r="C2310" s="1164"/>
      <c r="D2310" s="1230" t="s">
        <v>1439</v>
      </c>
      <c r="E2310" s="1231"/>
      <c r="F2310" s="1231"/>
      <c r="G2310" s="1231"/>
      <c r="H2310" s="1231"/>
      <c r="I2310" s="1231"/>
      <c r="J2310" s="1231"/>
      <c r="K2310" s="1231"/>
      <c r="L2310" s="1232"/>
      <c r="N2310" s="54"/>
      <c r="P2310" s="335"/>
      <c r="Q2310" s="336"/>
      <c r="R2310" s="337"/>
    </row>
    <row r="2311" spans="1:19" ht="30" customHeight="1" x14ac:dyDescent="0.25">
      <c r="A2311" s="1164" t="s">
        <v>318</v>
      </c>
      <c r="B2311" s="1164"/>
      <c r="C2311" s="1164"/>
      <c r="D2311" s="1230" t="s">
        <v>1440</v>
      </c>
      <c r="E2311" s="1231"/>
      <c r="F2311" s="1231"/>
      <c r="G2311" s="1231"/>
      <c r="H2311" s="1231"/>
      <c r="I2311" s="1231"/>
      <c r="J2311" s="1231"/>
      <c r="K2311" s="1231"/>
      <c r="L2311" s="1232"/>
      <c r="M2311" s="54"/>
      <c r="N2311" s="54"/>
      <c r="P2311" s="335"/>
      <c r="Q2311" s="336"/>
      <c r="R2311" s="337"/>
    </row>
    <row r="2312" spans="1:19" ht="30" customHeight="1" x14ac:dyDescent="0.25">
      <c r="A2312" s="1164" t="s">
        <v>320</v>
      </c>
      <c r="B2312" s="1164"/>
      <c r="C2312" s="1164"/>
      <c r="D2312" s="1230" t="s">
        <v>1048</v>
      </c>
      <c r="E2312" s="1231"/>
      <c r="F2312" s="1231"/>
      <c r="G2312" s="1231"/>
      <c r="H2312" s="1231"/>
      <c r="I2312" s="1231"/>
      <c r="J2312" s="1231"/>
      <c r="K2312" s="1231"/>
      <c r="L2312" s="1232"/>
      <c r="M2312" s="54"/>
      <c r="N2312" s="54"/>
      <c r="P2312" s="335"/>
      <c r="Q2312" s="336"/>
      <c r="R2312" s="337"/>
    </row>
    <row r="2313" spans="1:19" ht="75" customHeight="1" x14ac:dyDescent="0.25">
      <c r="A2313" s="1164" t="s">
        <v>322</v>
      </c>
      <c r="B2313" s="1164"/>
      <c r="C2313" s="1164"/>
      <c r="D2313" s="1230" t="s">
        <v>422</v>
      </c>
      <c r="E2313" s="1231"/>
      <c r="F2313" s="1231"/>
      <c r="G2313" s="1231"/>
      <c r="H2313" s="1231"/>
      <c r="I2313" s="1231"/>
      <c r="J2313" s="1231"/>
      <c r="K2313" s="1231"/>
      <c r="L2313" s="1232"/>
      <c r="M2313" s="54"/>
      <c r="N2313" s="54"/>
      <c r="P2313" s="335"/>
      <c r="Q2313" s="336"/>
      <c r="R2313" s="337"/>
    </row>
    <row r="2314" spans="1:19" ht="60" customHeight="1" thickBot="1" x14ac:dyDescent="0.3">
      <c r="A2314" s="1565" t="s">
        <v>350</v>
      </c>
      <c r="B2314" s="1565"/>
      <c r="C2314" s="1565"/>
      <c r="D2314" s="1291" t="s">
        <v>3408</v>
      </c>
      <c r="E2314" s="1292"/>
      <c r="F2314" s="1292"/>
      <c r="G2314" s="1292"/>
      <c r="H2314" s="1292"/>
      <c r="I2314" s="1292"/>
      <c r="J2314" s="1292"/>
      <c r="K2314" s="1292"/>
      <c r="L2314" s="1293"/>
      <c r="M2314" s="54"/>
      <c r="N2314" s="54"/>
      <c r="P2314" s="335"/>
      <c r="Q2314" s="336"/>
      <c r="R2314" s="337"/>
    </row>
    <row r="2315" spans="1:19" ht="30" customHeight="1" thickBot="1" x14ac:dyDescent="0.3">
      <c r="A2315" s="1180"/>
      <c r="B2315" s="1181"/>
      <c r="C2315" s="1181"/>
      <c r="D2315" s="1181"/>
      <c r="E2315" s="1181"/>
      <c r="F2315" s="1181"/>
      <c r="G2315" s="1181"/>
      <c r="H2315" s="1181"/>
      <c r="I2315" s="1181"/>
      <c r="J2315" s="1181"/>
      <c r="K2315" s="1181"/>
      <c r="L2315" s="1182"/>
      <c r="M2315" s="54"/>
      <c r="N2315" s="54"/>
      <c r="O2315" s="336"/>
      <c r="P2315" s="334"/>
      <c r="Q2315" s="335"/>
      <c r="R2315" s="336"/>
      <c r="S2315" s="337"/>
    </row>
    <row r="2316" spans="1:19" ht="30" customHeight="1" x14ac:dyDescent="0.25">
      <c r="A2316" s="327" t="s">
        <v>5</v>
      </c>
      <c r="B2316" s="328">
        <v>3141</v>
      </c>
      <c r="C2316" s="1406" t="s">
        <v>1441</v>
      </c>
      <c r="D2316" s="1406"/>
      <c r="E2316" s="331" t="s">
        <v>8</v>
      </c>
      <c r="F2316" s="332" t="s">
        <v>205</v>
      </c>
      <c r="G2316" s="342" t="s">
        <v>74</v>
      </c>
      <c r="H2316" s="820">
        <v>11285</v>
      </c>
      <c r="I2316" s="331" t="s">
        <v>10</v>
      </c>
      <c r="J2316" s="1220" t="s">
        <v>3388</v>
      </c>
      <c r="K2316" s="1220"/>
      <c r="L2316" s="1221"/>
      <c r="M2316" s="54"/>
      <c r="N2316" s="54"/>
      <c r="P2316" s="335"/>
      <c r="Q2316" s="336"/>
      <c r="R2316" s="337"/>
    </row>
    <row r="2317" spans="1:19" ht="30" customHeight="1" x14ac:dyDescent="0.25">
      <c r="A2317" s="359" t="s">
        <v>295</v>
      </c>
      <c r="B2317" s="1222" t="s">
        <v>326</v>
      </c>
      <c r="C2317" s="1235"/>
      <c r="D2317" s="1223"/>
      <c r="E2317" s="577" t="s">
        <v>116</v>
      </c>
      <c r="F2317" s="577" t="s">
        <v>117</v>
      </c>
      <c r="G2317" s="1236" t="s">
        <v>118</v>
      </c>
      <c r="H2317" s="1237"/>
      <c r="I2317" s="812" t="s">
        <v>1134</v>
      </c>
      <c r="J2317" s="356" t="s">
        <v>296</v>
      </c>
      <c r="K2317" s="1236" t="s">
        <v>285</v>
      </c>
      <c r="L2317" s="1237"/>
      <c r="M2317" s="54"/>
      <c r="N2317" s="54"/>
      <c r="P2317" s="335"/>
      <c r="Q2317" s="336"/>
      <c r="R2317" s="337"/>
    </row>
    <row r="2318" spans="1:19" ht="45" customHeight="1" x14ac:dyDescent="0.25">
      <c r="A2318" s="365" t="s">
        <v>1104</v>
      </c>
      <c r="B2318" s="1209" t="s">
        <v>1442</v>
      </c>
      <c r="C2318" s="1210"/>
      <c r="D2318" s="1211"/>
      <c r="E2318" s="247">
        <f>97.5-2.64</f>
        <v>94.86</v>
      </c>
      <c r="F2318" s="365" t="s">
        <v>205</v>
      </c>
      <c r="G2318" s="689"/>
      <c r="H2318" s="690"/>
      <c r="I2318" s="65">
        <f>+E2318</f>
        <v>94.86</v>
      </c>
      <c r="J2318" s="365">
        <v>1.01</v>
      </c>
      <c r="K2318" s="247">
        <f>+I2318*J2318</f>
        <v>95.808599999999998</v>
      </c>
      <c r="L2318" s="365" t="s">
        <v>205</v>
      </c>
      <c r="M2318" s="54"/>
      <c r="N2318" s="54"/>
      <c r="O2318" s="336"/>
      <c r="P2318" s="334"/>
      <c r="Q2318" s="335"/>
      <c r="R2318" s="336"/>
      <c r="S2318" s="337"/>
    </row>
    <row r="2319" spans="1:19" ht="30" customHeight="1" x14ac:dyDescent="0.25">
      <c r="A2319" s="365" t="s">
        <v>406</v>
      </c>
      <c r="B2319" s="1209" t="s">
        <v>1209</v>
      </c>
      <c r="C2319" s="1210"/>
      <c r="D2319" s="1211"/>
      <c r="E2319" s="11">
        <v>4.08</v>
      </c>
      <c r="F2319" s="365" t="s">
        <v>205</v>
      </c>
      <c r="G2319" s="452"/>
      <c r="H2319" s="589"/>
      <c r="I2319" s="170">
        <f>+E2319</f>
        <v>4.08</v>
      </c>
      <c r="J2319" s="365">
        <v>1.01</v>
      </c>
      <c r="K2319" s="247">
        <f t="shared" ref="K2319:K2328" si="44">+I2319*J2319</f>
        <v>4.1208</v>
      </c>
      <c r="L2319" s="365" t="s">
        <v>205</v>
      </c>
      <c r="M2319" s="54"/>
      <c r="O2319" s="336"/>
      <c r="P2319" s="334"/>
      <c r="Q2319" s="335"/>
      <c r="R2319" s="336"/>
      <c r="S2319" s="337"/>
    </row>
    <row r="2320" spans="1:19" ht="30" customHeight="1" x14ac:dyDescent="0.25">
      <c r="A2320" s="365" t="s">
        <v>520</v>
      </c>
      <c r="B2320" s="1209" t="s">
        <v>1443</v>
      </c>
      <c r="C2320" s="1210"/>
      <c r="D2320" s="1211"/>
      <c r="E2320" s="247">
        <v>177000</v>
      </c>
      <c r="F2320" s="661" t="s">
        <v>76</v>
      </c>
      <c r="G2320" s="168">
        <f>+E2320/H2316</f>
        <v>15.684536996012406</v>
      </c>
      <c r="H2320" s="589" t="s">
        <v>1140</v>
      </c>
      <c r="I2320" s="170">
        <f>+E2320/H2316</f>
        <v>15.684536996012406</v>
      </c>
      <c r="J2320" s="365">
        <v>1.02</v>
      </c>
      <c r="K2320" s="247">
        <f t="shared" si="44"/>
        <v>15.998227735932655</v>
      </c>
      <c r="L2320" s="365" t="s">
        <v>205</v>
      </c>
      <c r="M2320" s="54"/>
      <c r="N2320" s="54"/>
      <c r="O2320" s="336"/>
      <c r="P2320" s="334"/>
      <c r="Q2320" s="335"/>
      <c r="R2320" s="336"/>
      <c r="S2320" s="337"/>
    </row>
    <row r="2321" spans="1:19" ht="30" customHeight="1" x14ac:dyDescent="0.25">
      <c r="A2321" s="365" t="s">
        <v>520</v>
      </c>
      <c r="B2321" s="1209" t="s">
        <v>1444</v>
      </c>
      <c r="C2321" s="1210"/>
      <c r="D2321" s="1211"/>
      <c r="E2321" s="247">
        <f>+(244+267)/2</f>
        <v>255.5</v>
      </c>
      <c r="F2321" s="661" t="s">
        <v>40</v>
      </c>
      <c r="G2321" s="168">
        <f>344/H2316</f>
        <v>3.0482941958351793E-2</v>
      </c>
      <c r="H2321" s="589" t="s">
        <v>1140</v>
      </c>
      <c r="I2321" s="170">
        <f>+E2321*G2321</f>
        <v>7.7883916703588829</v>
      </c>
      <c r="J2321" s="365">
        <v>1.02</v>
      </c>
      <c r="K2321" s="247">
        <f t="shared" si="44"/>
        <v>7.9441595037660608</v>
      </c>
      <c r="L2321" s="365" t="s">
        <v>205</v>
      </c>
      <c r="M2321" s="54"/>
      <c r="N2321" s="54"/>
      <c r="O2321" s="336"/>
      <c r="P2321" s="334"/>
      <c r="Q2321" s="335"/>
      <c r="R2321" s="336"/>
      <c r="S2321" s="337"/>
    </row>
    <row r="2322" spans="1:19" ht="30" customHeight="1" x14ac:dyDescent="0.25">
      <c r="A2322" s="365" t="s">
        <v>520</v>
      </c>
      <c r="B2322" s="1209" t="s">
        <v>1358</v>
      </c>
      <c r="C2322" s="1210"/>
      <c r="D2322" s="1211"/>
      <c r="E2322" s="247">
        <f>+(23.75+47.75)/2</f>
        <v>35.75</v>
      </c>
      <c r="F2322" s="661" t="s">
        <v>40</v>
      </c>
      <c r="G2322" s="168">
        <f>344/H2316</f>
        <v>3.0482941958351793E-2</v>
      </c>
      <c r="H2322" s="589" t="s">
        <v>1140</v>
      </c>
      <c r="I2322" s="170">
        <f>+E2322*G2322</f>
        <v>1.0897651750110766</v>
      </c>
      <c r="J2322" s="365">
        <v>1.02</v>
      </c>
      <c r="K2322" s="247">
        <f t="shared" si="44"/>
        <v>1.1115604785112982</v>
      </c>
      <c r="L2322" s="365" t="s">
        <v>205</v>
      </c>
      <c r="M2322" s="54"/>
      <c r="N2322" s="54"/>
      <c r="O2322" s="336"/>
      <c r="P2322" s="334"/>
      <c r="Q2322" s="335"/>
      <c r="R2322" s="336"/>
      <c r="S2322" s="337"/>
    </row>
    <row r="2323" spans="1:19" ht="30" customHeight="1" x14ac:dyDescent="0.25">
      <c r="A2323" s="365" t="s">
        <v>426</v>
      </c>
      <c r="B2323" s="1209" t="s">
        <v>1445</v>
      </c>
      <c r="C2323" s="1210"/>
      <c r="D2323" s="1211"/>
      <c r="E2323" s="247">
        <f>(20.3+31.5)/2</f>
        <v>25.9</v>
      </c>
      <c r="F2323" s="661" t="s">
        <v>428</v>
      </c>
      <c r="G2323" s="666">
        <f>3*81*E2323/H2316</f>
        <v>0.55770491803278688</v>
      </c>
      <c r="H2323" s="589" t="s">
        <v>1140</v>
      </c>
      <c r="I2323" s="170">
        <f>+G2323</f>
        <v>0.55770491803278688</v>
      </c>
      <c r="J2323" s="365">
        <v>1.03</v>
      </c>
      <c r="K2323" s="247">
        <f t="shared" si="44"/>
        <v>0.57443606557377047</v>
      </c>
      <c r="L2323" s="365" t="s">
        <v>205</v>
      </c>
      <c r="M2323" s="54"/>
      <c r="N2323" s="54"/>
      <c r="O2323" s="336"/>
      <c r="P2323" s="334"/>
      <c r="Q2323" s="335"/>
      <c r="R2323" s="336"/>
      <c r="S2323" s="337"/>
    </row>
    <row r="2324" spans="1:19" ht="30" customHeight="1" x14ac:dyDescent="0.25">
      <c r="A2324" s="365" t="s">
        <v>426</v>
      </c>
      <c r="B2324" s="1209" t="s">
        <v>1446</v>
      </c>
      <c r="C2324" s="1210"/>
      <c r="D2324" s="1211"/>
      <c r="E2324" s="247">
        <f>(1710+2420)/2</f>
        <v>2065</v>
      </c>
      <c r="F2324" s="661" t="s">
        <v>76</v>
      </c>
      <c r="G2324" s="666">
        <f>3*E2324/H2316</f>
        <v>0.5489587948604342</v>
      </c>
      <c r="H2324" s="589" t="s">
        <v>1140</v>
      </c>
      <c r="I2324" s="170">
        <f>+G2324</f>
        <v>0.5489587948604342</v>
      </c>
      <c r="J2324" s="365">
        <v>1.03</v>
      </c>
      <c r="K2324" s="247">
        <f t="shared" si="44"/>
        <v>0.56542755870624728</v>
      </c>
      <c r="L2324" s="365" t="s">
        <v>205</v>
      </c>
      <c r="M2324" s="54"/>
      <c r="N2324" s="54"/>
      <c r="O2324" s="336"/>
      <c r="P2324" s="334"/>
      <c r="Q2324" s="335"/>
      <c r="R2324" s="336"/>
      <c r="S2324" s="337"/>
    </row>
    <row r="2325" spans="1:19" ht="30" customHeight="1" x14ac:dyDescent="0.25">
      <c r="A2325" s="365" t="s">
        <v>430</v>
      </c>
      <c r="B2325" s="1209" t="s">
        <v>1447</v>
      </c>
      <c r="C2325" s="1210"/>
      <c r="D2325" s="1211"/>
      <c r="E2325" s="247">
        <f>+(34.5+782)</f>
        <v>816.5</v>
      </c>
      <c r="F2325" s="661" t="s">
        <v>40</v>
      </c>
      <c r="G2325" s="452">
        <v>30</v>
      </c>
      <c r="H2325" s="589" t="s">
        <v>1329</v>
      </c>
      <c r="I2325" s="170">
        <f>+E2325*G2325/H2316</f>
        <v>2.1705804164820557</v>
      </c>
      <c r="J2325" s="365">
        <v>1.03</v>
      </c>
      <c r="K2325" s="247">
        <f t="shared" si="44"/>
        <v>2.2356978289765173</v>
      </c>
      <c r="L2325" s="365" t="s">
        <v>205</v>
      </c>
      <c r="M2325" s="54"/>
      <c r="N2325" s="54"/>
      <c r="O2325" s="336"/>
      <c r="P2325" s="334"/>
      <c r="Q2325" s="335"/>
      <c r="R2325" s="336"/>
      <c r="S2325" s="337"/>
    </row>
    <row r="2326" spans="1:19" ht="30" customHeight="1" x14ac:dyDescent="0.25">
      <c r="A2326" s="365" t="s">
        <v>430</v>
      </c>
      <c r="B2326" s="1209" t="s">
        <v>1432</v>
      </c>
      <c r="C2326" s="1210"/>
      <c r="D2326" s="1211"/>
      <c r="E2326" s="247">
        <f>+(6450+12300)/2</f>
        <v>9375</v>
      </c>
      <c r="F2326" s="661" t="s">
        <v>76</v>
      </c>
      <c r="G2326" s="452">
        <v>3</v>
      </c>
      <c r="H2326" s="589" t="s">
        <v>1140</v>
      </c>
      <c r="I2326" s="170">
        <f>+E2326*3/H2316</f>
        <v>2.4922463447053609</v>
      </c>
      <c r="J2326" s="365">
        <v>1.03</v>
      </c>
      <c r="K2326" s="247">
        <f t="shared" si="44"/>
        <v>2.5670137350465216</v>
      </c>
      <c r="L2326" s="365" t="s">
        <v>205</v>
      </c>
      <c r="M2326" s="54"/>
      <c r="N2326" s="54"/>
      <c r="O2326" s="336"/>
      <c r="P2326" s="334"/>
      <c r="Q2326" s="335"/>
      <c r="R2326" s="336"/>
      <c r="S2326" s="337"/>
    </row>
    <row r="2327" spans="1:19" ht="30" customHeight="1" x14ac:dyDescent="0.25">
      <c r="A2327" s="365" t="s">
        <v>430</v>
      </c>
      <c r="B2327" s="1209" t="s">
        <v>1433</v>
      </c>
      <c r="C2327" s="1210"/>
      <c r="D2327" s="1211"/>
      <c r="E2327" s="11">
        <f>+(660+1010)/2</f>
        <v>835</v>
      </c>
      <c r="F2327" s="661" t="s">
        <v>76</v>
      </c>
      <c r="G2327" s="452">
        <v>3</v>
      </c>
      <c r="H2327" s="589" t="s">
        <v>1140</v>
      </c>
      <c r="I2327" s="170">
        <f>+E2327*3/H2316</f>
        <v>0.22197607443509082</v>
      </c>
      <c r="J2327" s="365">
        <v>1.03</v>
      </c>
      <c r="K2327" s="247">
        <f t="shared" si="44"/>
        <v>0.22863535666814355</v>
      </c>
      <c r="L2327" s="365" t="s">
        <v>205</v>
      </c>
      <c r="M2327" s="54"/>
      <c r="N2327" s="54"/>
      <c r="O2327" s="336"/>
      <c r="P2327" s="334"/>
      <c r="Q2327" s="335"/>
      <c r="R2327" s="336"/>
      <c r="S2327" s="337"/>
    </row>
    <row r="2328" spans="1:19" ht="30" customHeight="1" x14ac:dyDescent="0.25">
      <c r="A2328" s="365" t="s">
        <v>430</v>
      </c>
      <c r="B2328" s="1209" t="s">
        <v>1434</v>
      </c>
      <c r="C2328" s="1210"/>
      <c r="D2328" s="1211"/>
      <c r="E2328" s="247">
        <f>+(1160+3475)/2</f>
        <v>2317.5</v>
      </c>
      <c r="F2328" s="661" t="s">
        <v>76</v>
      </c>
      <c r="G2328" s="452">
        <v>3</v>
      </c>
      <c r="H2328" s="589" t="s">
        <v>1140</v>
      </c>
      <c r="I2328" s="170">
        <f>+E2328*3/H2316</f>
        <v>0.61608329641116522</v>
      </c>
      <c r="J2328" s="365">
        <v>1.03</v>
      </c>
      <c r="K2328" s="247">
        <f t="shared" si="44"/>
        <v>0.63456579530350021</v>
      </c>
      <c r="L2328" s="365" t="s">
        <v>205</v>
      </c>
      <c r="M2328" s="54"/>
      <c r="N2328" s="54"/>
      <c r="O2328" s="336"/>
      <c r="P2328" s="334"/>
      <c r="Q2328" s="335"/>
      <c r="R2328" s="336"/>
      <c r="S2328" s="337"/>
    </row>
    <row r="2329" spans="1:19" ht="30" customHeight="1" x14ac:dyDescent="0.25">
      <c r="A2329" s="365"/>
      <c r="B2329" s="1281"/>
      <c r="C2329" s="1281"/>
      <c r="D2329" s="1281"/>
      <c r="E2329" s="247"/>
      <c r="F2329" s="365"/>
      <c r="G2329" s="366"/>
      <c r="H2329" s="662"/>
      <c r="I2329" s="662"/>
      <c r="J2329" s="365" t="s">
        <v>408</v>
      </c>
      <c r="K2329" s="247">
        <f>SUM(K2318:K2328)</f>
        <v>131.7891240584847</v>
      </c>
      <c r="L2329" s="365" t="s">
        <v>205</v>
      </c>
      <c r="M2329" s="54"/>
      <c r="N2329" s="54"/>
      <c r="O2329" s="336"/>
      <c r="P2329" s="334"/>
      <c r="Q2329" s="335"/>
      <c r="R2329" s="336"/>
      <c r="S2329" s="337"/>
    </row>
    <row r="2330" spans="1:19" ht="30" customHeight="1" x14ac:dyDescent="0.25">
      <c r="A2330" s="365"/>
      <c r="B2330" s="1398"/>
      <c r="C2330" s="1399"/>
      <c r="D2330" s="1400"/>
      <c r="E2330" s="578"/>
      <c r="F2330" s="1272" t="s">
        <v>303</v>
      </c>
      <c r="G2330" s="1562" t="s">
        <v>304</v>
      </c>
      <c r="H2330" s="1563"/>
      <c r="I2330" s="1563"/>
      <c r="J2330" s="1564"/>
      <c r="K2330" s="251">
        <v>1.1000000000000001</v>
      </c>
      <c r="L2330" s="365"/>
      <c r="M2330" s="54"/>
      <c r="N2330" s="54"/>
      <c r="P2330" s="335"/>
      <c r="Q2330" s="336"/>
      <c r="R2330" s="337"/>
    </row>
    <row r="2331" spans="1:19" ht="30" customHeight="1" x14ac:dyDescent="0.25">
      <c r="A2331" s="365"/>
      <c r="B2331" s="578"/>
      <c r="C2331" s="578"/>
      <c r="D2331" s="578"/>
      <c r="E2331" s="578"/>
      <c r="F2331" s="1273"/>
      <c r="G2331" s="1284" t="s">
        <v>438</v>
      </c>
      <c r="H2331" s="1284"/>
      <c r="I2331" s="1284"/>
      <c r="J2331" s="1284"/>
      <c r="K2331" s="251">
        <v>1.08</v>
      </c>
      <c r="L2331" s="365"/>
      <c r="M2331" s="54"/>
      <c r="N2331" s="54"/>
      <c r="P2331" s="335"/>
      <c r="Q2331" s="336"/>
      <c r="R2331" s="337"/>
    </row>
    <row r="2332" spans="1:19" ht="30" customHeight="1" x14ac:dyDescent="0.25">
      <c r="A2332" s="855"/>
      <c r="B2332" s="856"/>
      <c r="C2332" s="857"/>
      <c r="D2332" s="857"/>
      <c r="E2332" s="857"/>
      <c r="F2332" s="857"/>
      <c r="G2332" s="857"/>
      <c r="H2332" s="858"/>
      <c r="I2332" s="366"/>
      <c r="J2332" s="365" t="s">
        <v>72</v>
      </c>
      <c r="K2332" s="252">
        <f>+K2329*K2330/K2331</f>
        <v>134.22966339290107</v>
      </c>
      <c r="L2332" s="365" t="s">
        <v>205</v>
      </c>
      <c r="M2332" s="54"/>
      <c r="N2332" s="54"/>
      <c r="P2332" s="335"/>
      <c r="Q2332" s="336"/>
      <c r="R2332" s="337"/>
    </row>
    <row r="2333" spans="1:19" ht="30" customHeight="1" x14ac:dyDescent="0.25">
      <c r="A2333" s="855"/>
      <c r="B2333" s="856"/>
      <c r="C2333" s="857"/>
      <c r="D2333" s="857"/>
      <c r="E2333" s="857"/>
      <c r="F2333" s="857"/>
      <c r="G2333" s="858"/>
      <c r="I2333" s="815" t="s">
        <v>414</v>
      </c>
      <c r="J2333" s="521">
        <f>VLOOKUP(B2316,'Mil Cost Premiums for PUCs'!$A$4:$R$277,18,FALSE)</f>
        <v>1.3319480854780448</v>
      </c>
      <c r="K2333" s="1099">
        <f>+K2332*J2333</f>
        <v>178.78694317053697</v>
      </c>
      <c r="L2333" s="1127" t="s">
        <v>205</v>
      </c>
      <c r="M2333" s="54"/>
      <c r="N2333" s="54"/>
      <c r="P2333" s="335"/>
      <c r="Q2333" s="336"/>
      <c r="R2333" s="337"/>
    </row>
    <row r="2334" spans="1:19" ht="30" customHeight="1" thickBot="1" x14ac:dyDescent="0.3">
      <c r="A2334" s="844"/>
      <c r="B2334" s="844"/>
      <c r="C2334" s="471"/>
      <c r="D2334" s="471"/>
      <c r="E2334" s="850"/>
      <c r="F2334" s="1278" t="s">
        <v>1148</v>
      </c>
      <c r="G2334" s="1278"/>
      <c r="H2334" s="1278"/>
      <c r="I2334" s="1278"/>
      <c r="J2334" s="845">
        <v>1.0833999999999999</v>
      </c>
      <c r="K2334" s="1751">
        <f>K2333*J2334</f>
        <v>193.69777423095974</v>
      </c>
      <c r="L2334" s="1749" t="s">
        <v>205</v>
      </c>
      <c r="N2334" s="54"/>
      <c r="P2334" s="335"/>
      <c r="Q2334" s="336"/>
      <c r="R2334" s="337"/>
    </row>
    <row r="2335" spans="1:19" ht="30" customHeight="1" thickBot="1" x14ac:dyDescent="0.3">
      <c r="A2335" s="1180"/>
      <c r="B2335" s="1181"/>
      <c r="C2335" s="1181"/>
      <c r="D2335" s="1181"/>
      <c r="E2335" s="1181"/>
      <c r="F2335" s="1181"/>
      <c r="G2335" s="1181"/>
      <c r="H2335" s="1181"/>
      <c r="I2335" s="1181"/>
      <c r="J2335" s="1181"/>
      <c r="K2335" s="1181"/>
      <c r="L2335" s="1182"/>
      <c r="M2335" s="54"/>
      <c r="N2335" s="54"/>
      <c r="P2335" s="335"/>
      <c r="Q2335" s="336"/>
      <c r="R2335" s="337"/>
    </row>
    <row r="2336" spans="1:19" ht="30" customHeight="1" x14ac:dyDescent="0.25">
      <c r="A2336" s="327" t="s">
        <v>5</v>
      </c>
      <c r="B2336" s="328">
        <v>3151</v>
      </c>
      <c r="C2336" s="1251" t="s">
        <v>1448</v>
      </c>
      <c r="D2336" s="1252"/>
      <c r="E2336" s="331" t="s">
        <v>8</v>
      </c>
      <c r="F2336" s="332" t="s">
        <v>205</v>
      </c>
      <c r="G2336" s="342" t="s">
        <v>74</v>
      </c>
      <c r="H2336" s="859">
        <v>10754</v>
      </c>
      <c r="I2336" s="331" t="s">
        <v>10</v>
      </c>
      <c r="J2336" s="1220" t="s">
        <v>3388</v>
      </c>
      <c r="K2336" s="1220"/>
      <c r="L2336" s="1221"/>
      <c r="M2336" s="54"/>
      <c r="N2336" s="54"/>
      <c r="P2336" s="335"/>
      <c r="Q2336" s="336"/>
      <c r="R2336" s="337"/>
    </row>
    <row r="2337" spans="1:19" ht="30" customHeight="1" x14ac:dyDescent="0.25">
      <c r="A2337" s="359" t="s">
        <v>295</v>
      </c>
      <c r="B2337" s="1222" t="s">
        <v>326</v>
      </c>
      <c r="C2337" s="1235"/>
      <c r="D2337" s="1223"/>
      <c r="E2337" s="577" t="s">
        <v>116</v>
      </c>
      <c r="F2337" s="577" t="s">
        <v>117</v>
      </c>
      <c r="G2337" s="1194" t="s">
        <v>118</v>
      </c>
      <c r="H2337" s="1195"/>
      <c r="I2337" s="812" t="s">
        <v>1449</v>
      </c>
      <c r="J2337" s="356" t="s">
        <v>296</v>
      </c>
      <c r="K2337" s="1236" t="s">
        <v>285</v>
      </c>
      <c r="L2337" s="1237"/>
      <c r="M2337" s="54"/>
      <c r="N2337" s="54"/>
      <c r="P2337" s="335"/>
      <c r="Q2337" s="336"/>
      <c r="R2337" s="337"/>
    </row>
    <row r="2338" spans="1:19" ht="30" customHeight="1" x14ac:dyDescent="0.25">
      <c r="A2338" s="365" t="s">
        <v>411</v>
      </c>
      <c r="B2338" s="1209" t="s">
        <v>1450</v>
      </c>
      <c r="C2338" s="1210"/>
      <c r="D2338" s="1211"/>
      <c r="E2338" s="247">
        <v>242</v>
      </c>
      <c r="F2338" s="365" t="s">
        <v>205</v>
      </c>
      <c r="G2338" s="661"/>
      <c r="H2338" s="698"/>
      <c r="I2338" s="698"/>
      <c r="J2338" s="365">
        <v>1.01</v>
      </c>
      <c r="K2338" s="247">
        <f>+E2338*J2338</f>
        <v>244.42000000000002</v>
      </c>
      <c r="L2338" s="365" t="s">
        <v>205</v>
      </c>
      <c r="M2338" s="54"/>
      <c r="N2338" s="54"/>
      <c r="P2338" s="335"/>
      <c r="Q2338" s="336"/>
      <c r="R2338" s="337"/>
    </row>
    <row r="2339" spans="1:19" ht="30" customHeight="1" x14ac:dyDescent="0.25">
      <c r="A2339" s="365" t="s">
        <v>520</v>
      </c>
      <c r="B2339" s="1209" t="s">
        <v>1451</v>
      </c>
      <c r="C2339" s="1210"/>
      <c r="D2339" s="1211"/>
      <c r="E2339" s="247">
        <v>141000</v>
      </c>
      <c r="F2339" s="365" t="s">
        <v>76</v>
      </c>
      <c r="G2339" s="805">
        <f>+H2336</f>
        <v>10754</v>
      </c>
      <c r="H2339" s="662" t="s">
        <v>1269</v>
      </c>
      <c r="I2339" s="662"/>
      <c r="J2339" s="365">
        <v>1.02</v>
      </c>
      <c r="K2339" s="247">
        <f>+E2339/G2339*J2339</f>
        <v>13.373628417333085</v>
      </c>
      <c r="L2339" s="365" t="s">
        <v>205</v>
      </c>
      <c r="M2339" s="54"/>
      <c r="N2339" s="54"/>
      <c r="P2339" s="335"/>
      <c r="Q2339" s="336"/>
      <c r="R2339" s="337"/>
    </row>
    <row r="2340" spans="1:19" ht="30" customHeight="1" x14ac:dyDescent="0.25">
      <c r="A2340" s="365" t="s">
        <v>520</v>
      </c>
      <c r="B2340" s="1209" t="s">
        <v>1452</v>
      </c>
      <c r="C2340" s="1210"/>
      <c r="D2340" s="1211"/>
      <c r="E2340" s="247">
        <f>+(244+267)/2</f>
        <v>255.5</v>
      </c>
      <c r="F2340" s="661" t="s">
        <v>40</v>
      </c>
      <c r="G2340" s="521">
        <f>150/H2336</f>
        <v>1.3948298307606471E-2</v>
      </c>
      <c r="H2340" s="662" t="s">
        <v>1453</v>
      </c>
      <c r="I2340" s="662"/>
      <c r="J2340" s="365">
        <v>1.02</v>
      </c>
      <c r="K2340" s="247">
        <f>+E2340*G2340*J2340</f>
        <v>3.6350660219453226</v>
      </c>
      <c r="L2340" s="365" t="s">
        <v>205</v>
      </c>
      <c r="M2340" s="54"/>
      <c r="N2340" s="54"/>
      <c r="P2340" s="335"/>
      <c r="Q2340" s="336"/>
      <c r="R2340" s="337"/>
    </row>
    <row r="2341" spans="1:19" ht="30" customHeight="1" x14ac:dyDescent="0.25">
      <c r="A2341" s="365" t="s">
        <v>520</v>
      </c>
      <c r="B2341" s="1209" t="s">
        <v>522</v>
      </c>
      <c r="C2341" s="1210"/>
      <c r="D2341" s="1211"/>
      <c r="E2341" s="247">
        <f>+(23.75+47.75)/2</f>
        <v>35.75</v>
      </c>
      <c r="F2341" s="661" t="s">
        <v>40</v>
      </c>
      <c r="G2341" s="521">
        <f>150/H2336</f>
        <v>1.3948298307606471E-2</v>
      </c>
      <c r="H2341" s="662" t="s">
        <v>1453</v>
      </c>
      <c r="I2341" s="662"/>
      <c r="J2341" s="365">
        <v>1.02</v>
      </c>
      <c r="K2341" s="247">
        <f>+E2341*G2341*J2341</f>
        <v>0.50862469778686992</v>
      </c>
      <c r="L2341" s="365" t="s">
        <v>205</v>
      </c>
      <c r="M2341" s="54"/>
      <c r="O2341" s="336"/>
      <c r="P2341" s="334"/>
      <c r="Q2341" s="335"/>
      <c r="R2341" s="336"/>
      <c r="S2341" s="337"/>
    </row>
    <row r="2342" spans="1:19" ht="30" customHeight="1" x14ac:dyDescent="0.25">
      <c r="A2342" s="365" t="s">
        <v>426</v>
      </c>
      <c r="B2342" s="1209" t="s">
        <v>1454</v>
      </c>
      <c r="C2342" s="1210"/>
      <c r="D2342" s="1211"/>
      <c r="E2342" s="247">
        <f>(20.3+31.5)/2</f>
        <v>25.9</v>
      </c>
      <c r="F2342" s="661" t="s">
        <v>1455</v>
      </c>
      <c r="G2342" s="366">
        <v>81</v>
      </c>
      <c r="H2342" s="662" t="s">
        <v>1456</v>
      </c>
      <c r="I2342" s="271">
        <f t="shared" ref="I2342:I2347" si="45">+E2342*G2342/$H$2336</f>
        <v>0.19508090013018412</v>
      </c>
      <c r="J2342" s="365">
        <v>1.03</v>
      </c>
      <c r="K2342" s="247">
        <f t="shared" ref="K2342:K2347" si="46">+I2342*J2342</f>
        <v>0.20093332713408965</v>
      </c>
      <c r="L2342" s="365" t="s">
        <v>205</v>
      </c>
      <c r="M2342" s="54"/>
      <c r="N2342" s="54"/>
      <c r="P2342" s="335"/>
      <c r="Q2342" s="336"/>
      <c r="R2342" s="337"/>
    </row>
    <row r="2343" spans="1:19" ht="30" customHeight="1" x14ac:dyDescent="0.25">
      <c r="A2343" s="365" t="s">
        <v>426</v>
      </c>
      <c r="B2343" s="1209" t="s">
        <v>1446</v>
      </c>
      <c r="C2343" s="1210"/>
      <c r="D2343" s="1211"/>
      <c r="E2343" s="247">
        <f>(1710+2420)/2</f>
        <v>2065</v>
      </c>
      <c r="F2343" s="661" t="s">
        <v>76</v>
      </c>
      <c r="G2343" s="366">
        <v>1</v>
      </c>
      <c r="H2343" s="662"/>
      <c r="I2343" s="271">
        <f t="shared" si="45"/>
        <v>0.19202157336804909</v>
      </c>
      <c r="J2343" s="365">
        <v>1.03</v>
      </c>
      <c r="K2343" s="247">
        <f t="shared" si="46"/>
        <v>0.19778222056909056</v>
      </c>
      <c r="L2343" s="365" t="s">
        <v>205</v>
      </c>
      <c r="M2343" s="54"/>
      <c r="N2343" s="54"/>
      <c r="P2343" s="335"/>
      <c r="Q2343" s="336"/>
      <c r="R2343" s="337"/>
    </row>
    <row r="2344" spans="1:19" ht="30" customHeight="1" x14ac:dyDescent="0.25">
      <c r="A2344" s="365" t="s">
        <v>430</v>
      </c>
      <c r="B2344" s="1209" t="s">
        <v>1457</v>
      </c>
      <c r="C2344" s="1210"/>
      <c r="D2344" s="1211"/>
      <c r="E2344" s="247">
        <f>(32.75+78)/2</f>
        <v>55.375</v>
      </c>
      <c r="F2344" s="661" t="s">
        <v>40</v>
      </c>
      <c r="G2344" s="366">
        <v>10</v>
      </c>
      <c r="H2344" s="662"/>
      <c r="I2344" s="271">
        <f t="shared" si="45"/>
        <v>5.149246791891389E-2</v>
      </c>
      <c r="J2344" s="365">
        <v>1.03</v>
      </c>
      <c r="K2344" s="247">
        <f t="shared" si="46"/>
        <v>5.303724195648131E-2</v>
      </c>
      <c r="L2344" s="365" t="s">
        <v>205</v>
      </c>
      <c r="M2344" s="54"/>
      <c r="N2344" s="54"/>
      <c r="P2344" s="335"/>
      <c r="Q2344" s="336"/>
      <c r="R2344" s="337"/>
    </row>
    <row r="2345" spans="1:19" ht="30" customHeight="1" x14ac:dyDescent="0.25">
      <c r="A2345" s="365" t="s">
        <v>430</v>
      </c>
      <c r="B2345" s="1209" t="s">
        <v>1458</v>
      </c>
      <c r="C2345" s="1210"/>
      <c r="D2345" s="1211"/>
      <c r="E2345" s="247">
        <f>+(6150+11800)/2</f>
        <v>8975</v>
      </c>
      <c r="F2345" s="661" t="s">
        <v>76</v>
      </c>
      <c r="G2345" s="366">
        <v>1</v>
      </c>
      <c r="H2345" s="662"/>
      <c r="I2345" s="271">
        <f t="shared" si="45"/>
        <v>0.83457318207178721</v>
      </c>
      <c r="J2345" s="365">
        <v>1.03</v>
      </c>
      <c r="K2345" s="247">
        <f t="shared" si="46"/>
        <v>0.85961037753394087</v>
      </c>
      <c r="L2345" s="365" t="s">
        <v>205</v>
      </c>
      <c r="M2345" s="54"/>
      <c r="N2345" s="54"/>
      <c r="P2345" s="335"/>
      <c r="Q2345" s="336"/>
      <c r="R2345" s="337"/>
    </row>
    <row r="2346" spans="1:19" ht="30" customHeight="1" x14ac:dyDescent="0.25">
      <c r="A2346" s="365" t="s">
        <v>430</v>
      </c>
      <c r="B2346" s="1209" t="s">
        <v>1147</v>
      </c>
      <c r="C2346" s="1210"/>
      <c r="D2346" s="1211"/>
      <c r="E2346" s="11">
        <f>+(630+965)/2</f>
        <v>797.5</v>
      </c>
      <c r="F2346" s="661" t="s">
        <v>76</v>
      </c>
      <c r="G2346" s="366">
        <v>1</v>
      </c>
      <c r="H2346" s="662"/>
      <c r="I2346" s="271">
        <f t="shared" si="45"/>
        <v>7.4158452668774411E-2</v>
      </c>
      <c r="J2346" s="365">
        <v>1.03</v>
      </c>
      <c r="K2346" s="247">
        <f t="shared" si="46"/>
        <v>7.638320624883764E-2</v>
      </c>
      <c r="L2346" s="365" t="s">
        <v>205</v>
      </c>
      <c r="M2346" s="54"/>
      <c r="N2346" s="54"/>
      <c r="P2346" s="335"/>
      <c r="Q2346" s="336"/>
      <c r="R2346" s="337"/>
    </row>
    <row r="2347" spans="1:19" ht="30" customHeight="1" x14ac:dyDescent="0.25">
      <c r="A2347" s="365" t="s">
        <v>430</v>
      </c>
      <c r="B2347" s="1209" t="s">
        <v>435</v>
      </c>
      <c r="C2347" s="1210"/>
      <c r="D2347" s="1211"/>
      <c r="E2347" s="247">
        <f>+(1110+3300)/2</f>
        <v>2205</v>
      </c>
      <c r="F2347" s="661" t="s">
        <v>76</v>
      </c>
      <c r="G2347" s="366">
        <v>1</v>
      </c>
      <c r="H2347" s="662"/>
      <c r="I2347" s="271">
        <f t="shared" si="45"/>
        <v>0.20503998512181515</v>
      </c>
      <c r="J2347" s="365">
        <v>1.03</v>
      </c>
      <c r="K2347" s="247">
        <f t="shared" si="46"/>
        <v>0.2111911846754696</v>
      </c>
      <c r="L2347" s="365" t="s">
        <v>205</v>
      </c>
      <c r="M2347" s="54"/>
      <c r="N2347" s="54"/>
      <c r="P2347" s="335"/>
      <c r="Q2347" s="336"/>
      <c r="R2347" s="337"/>
    </row>
    <row r="2348" spans="1:19" ht="30" customHeight="1" x14ac:dyDescent="0.25">
      <c r="A2348" s="365" t="s">
        <v>406</v>
      </c>
      <c r="B2348" s="1214" t="s">
        <v>1366</v>
      </c>
      <c r="C2348" s="1215"/>
      <c r="D2348" s="1215"/>
      <c r="E2348" s="247">
        <v>4.38</v>
      </c>
      <c r="F2348" s="661" t="s">
        <v>205</v>
      </c>
      <c r="G2348" s="366"/>
      <c r="H2348" s="662"/>
      <c r="I2348" s="662"/>
      <c r="J2348" s="365">
        <v>1.01</v>
      </c>
      <c r="K2348" s="247">
        <f>+E2348*J2348</f>
        <v>4.4238</v>
      </c>
      <c r="L2348" s="365" t="s">
        <v>205</v>
      </c>
      <c r="M2348" s="54"/>
      <c r="N2348" s="54"/>
      <c r="P2348" s="335"/>
      <c r="Q2348" s="336"/>
      <c r="R2348" s="337"/>
    </row>
    <row r="2349" spans="1:19" ht="30" customHeight="1" x14ac:dyDescent="0.25">
      <c r="A2349" s="365" t="s">
        <v>406</v>
      </c>
      <c r="B2349" s="1209" t="s">
        <v>1459</v>
      </c>
      <c r="C2349" s="1210"/>
      <c r="D2349" s="1211"/>
      <c r="E2349" s="247">
        <f>E2348*0.15</f>
        <v>0.65699999999999992</v>
      </c>
      <c r="F2349" s="661" t="s">
        <v>205</v>
      </c>
      <c r="G2349" s="366"/>
      <c r="H2349" s="662"/>
      <c r="I2349" s="662"/>
      <c r="J2349" s="365">
        <v>1.01</v>
      </c>
      <c r="K2349" s="247">
        <f>+E2349*J2349</f>
        <v>0.66356999999999988</v>
      </c>
      <c r="L2349" s="365" t="s">
        <v>205</v>
      </c>
      <c r="M2349" s="54"/>
      <c r="N2349" s="54"/>
      <c r="O2349" s="336"/>
      <c r="P2349" s="334"/>
      <c r="Q2349" s="335"/>
      <c r="R2349" s="336"/>
      <c r="S2349" s="337"/>
    </row>
    <row r="2350" spans="1:19" ht="30" customHeight="1" x14ac:dyDescent="0.25">
      <c r="A2350" s="365" t="s">
        <v>406</v>
      </c>
      <c r="B2350" s="1209" t="s">
        <v>1255</v>
      </c>
      <c r="C2350" s="1210"/>
      <c r="D2350" s="1211"/>
      <c r="E2350" s="246">
        <f xml:space="preserve"> 0.58+((1.15+1.713)/2)</f>
        <v>2.0114999999999998</v>
      </c>
      <c r="F2350" s="661" t="s">
        <v>205</v>
      </c>
      <c r="G2350" s="366"/>
      <c r="H2350" s="662"/>
      <c r="I2350" s="662"/>
      <c r="J2350" s="365">
        <v>1.01</v>
      </c>
      <c r="K2350" s="247">
        <f>+E2350*J2350</f>
        <v>2.0316149999999999</v>
      </c>
      <c r="L2350" s="365" t="s">
        <v>205</v>
      </c>
      <c r="M2350" s="54"/>
      <c r="N2350" s="54"/>
      <c r="P2350" s="335"/>
      <c r="Q2350" s="336"/>
      <c r="R2350" s="337"/>
    </row>
    <row r="2351" spans="1:19" ht="30" customHeight="1" x14ac:dyDescent="0.25">
      <c r="A2351" s="365"/>
      <c r="B2351" s="1281"/>
      <c r="C2351" s="1281"/>
      <c r="D2351" s="1281"/>
      <c r="E2351" s="247"/>
      <c r="F2351" s="365"/>
      <c r="G2351" s="366"/>
      <c r="H2351" s="662"/>
      <c r="I2351" s="662"/>
      <c r="J2351" s="365" t="s">
        <v>343</v>
      </c>
      <c r="K2351" s="247">
        <f>SUM(K2338:K2350)</f>
        <v>270.65524169518307</v>
      </c>
      <c r="L2351" s="365" t="s">
        <v>205</v>
      </c>
      <c r="M2351" s="54"/>
      <c r="N2351" s="54"/>
      <c r="P2351" s="335"/>
      <c r="Q2351" s="336"/>
      <c r="R2351" s="337"/>
    </row>
    <row r="2352" spans="1:19" ht="30" customHeight="1" x14ac:dyDescent="0.25">
      <c r="A2352" s="365"/>
      <c r="B2352" s="578"/>
      <c r="C2352" s="578"/>
      <c r="D2352" s="578"/>
      <c r="E2352" s="578"/>
      <c r="F2352" s="1272" t="s">
        <v>303</v>
      </c>
      <c r="G2352" s="1283" t="s">
        <v>304</v>
      </c>
      <c r="H2352" s="1283"/>
      <c r="I2352" s="1283"/>
      <c r="J2352" s="1283"/>
      <c r="K2352" s="251">
        <v>1.1000000000000001</v>
      </c>
      <c r="L2352" s="365"/>
      <c r="M2352" s="54"/>
      <c r="N2352" s="54"/>
      <c r="O2352" s="336"/>
      <c r="P2352" s="334"/>
      <c r="Q2352" s="335"/>
      <c r="R2352" s="336"/>
      <c r="S2352" s="337"/>
    </row>
    <row r="2353" spans="1:19" ht="30" customHeight="1" x14ac:dyDescent="0.25">
      <c r="A2353" s="365"/>
      <c r="B2353" s="578"/>
      <c r="C2353" s="578"/>
      <c r="D2353" s="578"/>
      <c r="E2353" s="578"/>
      <c r="F2353" s="1273"/>
      <c r="G2353" s="1284" t="s">
        <v>438</v>
      </c>
      <c r="H2353" s="1284"/>
      <c r="I2353" s="1284"/>
      <c r="J2353" s="1284"/>
      <c r="K2353" s="251">
        <v>1.08</v>
      </c>
      <c r="L2353" s="365"/>
      <c r="M2353" s="54"/>
      <c r="N2353" s="54"/>
      <c r="O2353" s="336"/>
      <c r="P2353" s="334"/>
      <c r="Q2353" s="335"/>
      <c r="R2353" s="336"/>
      <c r="S2353" s="337"/>
    </row>
    <row r="2354" spans="1:19" ht="30" customHeight="1" x14ac:dyDescent="0.25">
      <c r="A2354" s="365"/>
      <c r="B2354" s="365"/>
      <c r="C2354" s="366"/>
      <c r="D2354" s="366"/>
      <c r="E2354" s="366"/>
      <c r="F2354" s="366"/>
      <c r="G2354" s="366"/>
      <c r="H2354" s="366"/>
      <c r="I2354" s="366"/>
      <c r="J2354" s="365" t="s">
        <v>72</v>
      </c>
      <c r="K2354" s="246">
        <f>+K2351*K2352/K2353</f>
        <v>275.66737580064938</v>
      </c>
      <c r="L2354" s="365" t="s">
        <v>205</v>
      </c>
      <c r="M2354" s="54"/>
      <c r="N2354" s="54"/>
      <c r="O2354" s="336"/>
      <c r="P2354" s="334"/>
      <c r="Q2354" s="335"/>
      <c r="R2354" s="336"/>
      <c r="S2354" s="337"/>
    </row>
    <row r="2355" spans="1:19" ht="30" customHeight="1" x14ac:dyDescent="0.25">
      <c r="A2355" s="365"/>
      <c r="B2355" s="365"/>
      <c r="C2355" s="366"/>
      <c r="D2355" s="366"/>
      <c r="E2355" s="366"/>
      <c r="F2355" s="366"/>
      <c r="H2355" s="366"/>
      <c r="I2355" s="553" t="s">
        <v>414</v>
      </c>
      <c r="J2355" s="521">
        <f>VLOOKUP(B2336,'Mil Cost Premiums for PUCs'!$A$4:$R$277,18,FALSE)</f>
        <v>1.3319480854780448</v>
      </c>
      <c r="K2355" s="246">
        <f>+K2354*J2355</f>
        <v>367.17463342643163</v>
      </c>
      <c r="L2355" s="365" t="s">
        <v>205</v>
      </c>
      <c r="M2355" s="54"/>
      <c r="N2355" s="54"/>
      <c r="O2355" s="336"/>
      <c r="P2355" s="334"/>
      <c r="Q2355" s="335"/>
      <c r="R2355" s="336"/>
      <c r="S2355" s="337"/>
    </row>
    <row r="2356" spans="1:19" ht="30" customHeight="1" x14ac:dyDescent="0.25">
      <c r="A2356" s="835"/>
      <c r="B2356" s="835"/>
      <c r="C2356" s="840"/>
      <c r="D2356" s="840"/>
      <c r="E2356" s="850"/>
      <c r="F2356" s="1278" t="s">
        <v>1148</v>
      </c>
      <c r="G2356" s="1278"/>
      <c r="H2356" s="1278"/>
      <c r="I2356" s="1278"/>
      <c r="J2356" s="845">
        <v>1.0833999999999999</v>
      </c>
      <c r="K2356" s="544">
        <f>K2355*J2356</f>
        <v>397.79699785419598</v>
      </c>
      <c r="L2356" s="369" t="s">
        <v>205</v>
      </c>
      <c r="N2356" s="54"/>
      <c r="O2356" s="336"/>
      <c r="P2356" s="334"/>
      <c r="Q2356" s="335"/>
      <c r="R2356" s="336"/>
      <c r="S2356" s="337"/>
    </row>
    <row r="2357" spans="1:19" ht="75" customHeight="1" x14ac:dyDescent="0.25">
      <c r="A2357" s="1230" t="s">
        <v>307</v>
      </c>
      <c r="B2357" s="1231"/>
      <c r="C2357" s="1231"/>
      <c r="D2357" s="1231"/>
      <c r="E2357" s="1231"/>
      <c r="F2357" s="1231"/>
      <c r="G2357" s="1231"/>
      <c r="H2357" s="1231"/>
      <c r="I2357" s="1231"/>
      <c r="J2357" s="1231"/>
      <c r="K2357" s="1231"/>
      <c r="L2357" s="1232"/>
      <c r="M2357" s="54"/>
      <c r="N2357" s="54"/>
      <c r="O2357" s="336"/>
      <c r="P2357" s="334"/>
      <c r="Q2357" s="335"/>
      <c r="R2357" s="336"/>
      <c r="S2357" s="337"/>
    </row>
    <row r="2358" spans="1:19" ht="30" customHeight="1" x14ac:dyDescent="0.25">
      <c r="A2358" s="1164" t="s">
        <v>308</v>
      </c>
      <c r="B2358" s="1164"/>
      <c r="C2358" s="1164"/>
      <c r="D2358" s="1230" t="s">
        <v>1460</v>
      </c>
      <c r="E2358" s="1231"/>
      <c r="F2358" s="1231"/>
      <c r="G2358" s="1231"/>
      <c r="H2358" s="1231"/>
      <c r="I2358" s="1231"/>
      <c r="J2358" s="1231"/>
      <c r="K2358" s="1231"/>
      <c r="L2358" s="1232"/>
      <c r="M2358" s="54"/>
      <c r="N2358" s="54"/>
      <c r="O2358" s="336"/>
      <c r="P2358" s="334"/>
      <c r="Q2358" s="335"/>
      <c r="R2358" s="336"/>
      <c r="S2358" s="337"/>
    </row>
    <row r="2359" spans="1:19" ht="45" customHeight="1" x14ac:dyDescent="0.25">
      <c r="A2359" s="1164" t="s">
        <v>310</v>
      </c>
      <c r="B2359" s="1164"/>
      <c r="C2359" s="1164"/>
      <c r="D2359" s="1230" t="s">
        <v>1461</v>
      </c>
      <c r="E2359" s="1231"/>
      <c r="F2359" s="1231"/>
      <c r="G2359" s="1231"/>
      <c r="H2359" s="1231"/>
      <c r="I2359" s="1231"/>
      <c r="J2359" s="1231"/>
      <c r="K2359" s="1231"/>
      <c r="L2359" s="1232"/>
      <c r="M2359" s="54"/>
      <c r="N2359" s="54"/>
      <c r="O2359" s="336"/>
      <c r="P2359" s="334"/>
      <c r="Q2359" s="335"/>
      <c r="R2359" s="336"/>
      <c r="S2359" s="337"/>
    </row>
    <row r="2360" spans="1:19" ht="30" customHeight="1" x14ac:dyDescent="0.25">
      <c r="A2360" s="1164" t="s">
        <v>312</v>
      </c>
      <c r="B2360" s="1164"/>
      <c r="C2360" s="1164"/>
      <c r="D2360" s="1230" t="s">
        <v>1462</v>
      </c>
      <c r="E2360" s="1231"/>
      <c r="F2360" s="1231"/>
      <c r="G2360" s="1231"/>
      <c r="H2360" s="1231"/>
      <c r="I2360" s="1231"/>
      <c r="J2360" s="1231"/>
      <c r="K2360" s="1231"/>
      <c r="L2360" s="1232"/>
      <c r="M2360" s="54"/>
      <c r="N2360" s="54"/>
      <c r="O2360" s="336"/>
      <c r="P2360" s="334"/>
      <c r="Q2360" s="335"/>
      <c r="R2360" s="336"/>
      <c r="S2360" s="337"/>
    </row>
    <row r="2361" spans="1:19" ht="45" customHeight="1" x14ac:dyDescent="0.25">
      <c r="A2361" s="1164" t="s">
        <v>314</v>
      </c>
      <c r="B2361" s="1164"/>
      <c r="C2361" s="1164"/>
      <c r="D2361" s="1230" t="s">
        <v>1463</v>
      </c>
      <c r="E2361" s="1231"/>
      <c r="F2361" s="1231"/>
      <c r="G2361" s="1231"/>
      <c r="H2361" s="1231"/>
      <c r="I2361" s="1231"/>
      <c r="J2361" s="1231"/>
      <c r="K2361" s="1231"/>
      <c r="L2361" s="1232"/>
      <c r="M2361" s="54"/>
      <c r="N2361" s="54"/>
      <c r="O2361" s="336"/>
      <c r="P2361" s="334"/>
      <c r="Q2361" s="335"/>
      <c r="R2361" s="336"/>
      <c r="S2361" s="337"/>
    </row>
    <row r="2362" spans="1:19" ht="30" customHeight="1" x14ac:dyDescent="0.25">
      <c r="A2362" s="1164" t="s">
        <v>316</v>
      </c>
      <c r="B2362" s="1164"/>
      <c r="C2362" s="1164"/>
      <c r="D2362" s="1230" t="s">
        <v>1464</v>
      </c>
      <c r="E2362" s="1231"/>
      <c r="F2362" s="1231"/>
      <c r="G2362" s="1231"/>
      <c r="H2362" s="1231"/>
      <c r="I2362" s="1231"/>
      <c r="J2362" s="1231"/>
      <c r="K2362" s="1231"/>
      <c r="L2362" s="1232"/>
      <c r="M2362" s="54"/>
      <c r="N2362" s="54"/>
      <c r="O2362" s="336"/>
      <c r="P2362" s="334"/>
      <c r="Q2362" s="335"/>
      <c r="R2362" s="336"/>
      <c r="S2362" s="337"/>
    </row>
    <row r="2363" spans="1:19" ht="30" customHeight="1" x14ac:dyDescent="0.25">
      <c r="A2363" s="1164" t="s">
        <v>318</v>
      </c>
      <c r="B2363" s="1164"/>
      <c r="C2363" s="1164"/>
      <c r="D2363" s="1230" t="s">
        <v>1465</v>
      </c>
      <c r="E2363" s="1231"/>
      <c r="F2363" s="1231"/>
      <c r="G2363" s="1231"/>
      <c r="H2363" s="1231"/>
      <c r="I2363" s="1231"/>
      <c r="J2363" s="1231"/>
      <c r="K2363" s="1231"/>
      <c r="L2363" s="1232"/>
      <c r="M2363" s="54"/>
      <c r="N2363" s="54"/>
      <c r="P2363" s="335"/>
      <c r="Q2363" s="336"/>
      <c r="R2363" s="337"/>
    </row>
    <row r="2364" spans="1:19" ht="30" customHeight="1" x14ac:dyDescent="0.25">
      <c r="A2364" s="1164" t="s">
        <v>320</v>
      </c>
      <c r="B2364" s="1164"/>
      <c r="C2364" s="1164"/>
      <c r="D2364" s="1230" t="s">
        <v>1398</v>
      </c>
      <c r="E2364" s="1231"/>
      <c r="F2364" s="1231"/>
      <c r="G2364" s="1231"/>
      <c r="H2364" s="1231"/>
      <c r="I2364" s="1231"/>
      <c r="J2364" s="1231"/>
      <c r="K2364" s="1231"/>
      <c r="L2364" s="1232"/>
      <c r="M2364" s="54"/>
      <c r="N2364" s="54"/>
      <c r="P2364" s="335"/>
      <c r="Q2364" s="336"/>
      <c r="R2364" s="337"/>
    </row>
    <row r="2365" spans="1:19" ht="30" customHeight="1" x14ac:dyDescent="0.25">
      <c r="A2365" s="1164" t="s">
        <v>322</v>
      </c>
      <c r="B2365" s="1164"/>
      <c r="C2365" s="1164"/>
      <c r="D2365" s="1230" t="s">
        <v>422</v>
      </c>
      <c r="E2365" s="1231"/>
      <c r="F2365" s="1231"/>
      <c r="G2365" s="1231"/>
      <c r="H2365" s="1231"/>
      <c r="I2365" s="1231"/>
      <c r="J2365" s="1231"/>
      <c r="K2365" s="1231"/>
      <c r="L2365" s="1232"/>
      <c r="M2365" s="54"/>
      <c r="N2365" s="54"/>
      <c r="P2365" s="335"/>
      <c r="Q2365" s="336"/>
      <c r="R2365" s="337"/>
    </row>
    <row r="2366" spans="1:19" ht="75" customHeight="1" thickBot="1" x14ac:dyDescent="0.3">
      <c r="A2366" s="1565" t="s">
        <v>350</v>
      </c>
      <c r="B2366" s="1565"/>
      <c r="C2366" s="1565"/>
      <c r="D2366" s="1291" t="s">
        <v>3409</v>
      </c>
      <c r="E2366" s="1292"/>
      <c r="F2366" s="1292"/>
      <c r="G2366" s="1292"/>
      <c r="H2366" s="1292"/>
      <c r="I2366" s="1292"/>
      <c r="J2366" s="1292"/>
      <c r="K2366" s="1292"/>
      <c r="L2366" s="1293"/>
      <c r="M2366" s="54"/>
      <c r="N2366" s="54"/>
      <c r="P2366" s="335"/>
      <c r="Q2366" s="336"/>
      <c r="R2366" s="337"/>
    </row>
    <row r="2367" spans="1:19" ht="30" customHeight="1" thickBot="1" x14ac:dyDescent="0.3">
      <c r="A2367" s="1180"/>
      <c r="B2367" s="1181"/>
      <c r="C2367" s="1181"/>
      <c r="D2367" s="1181"/>
      <c r="E2367" s="1181"/>
      <c r="F2367" s="1181"/>
      <c r="G2367" s="1181"/>
      <c r="H2367" s="1181"/>
      <c r="I2367" s="1181"/>
      <c r="J2367" s="1181"/>
      <c r="K2367" s="1181"/>
      <c r="L2367" s="1182"/>
      <c r="M2367" s="54"/>
      <c r="O2367" s="336"/>
      <c r="P2367" s="334"/>
      <c r="Q2367" s="335"/>
      <c r="R2367" s="336"/>
      <c r="S2367" s="337"/>
    </row>
    <row r="2368" spans="1:19" ht="30" customHeight="1" x14ac:dyDescent="0.25">
      <c r="A2368" s="837" t="s">
        <v>5</v>
      </c>
      <c r="B2368" s="745">
        <v>3161</v>
      </c>
      <c r="C2368" s="1294" t="s">
        <v>1466</v>
      </c>
      <c r="D2368" s="1295"/>
      <c r="E2368" s="342" t="s">
        <v>8</v>
      </c>
      <c r="F2368" s="339" t="s">
        <v>205</v>
      </c>
      <c r="G2368" s="342" t="s">
        <v>74</v>
      </c>
      <c r="H2368" s="860">
        <v>3466</v>
      </c>
      <c r="I2368" s="342" t="s">
        <v>10</v>
      </c>
      <c r="J2368" s="1220" t="s">
        <v>3388</v>
      </c>
      <c r="K2368" s="1220"/>
      <c r="L2368" s="1221"/>
      <c r="M2368" s="54"/>
      <c r="N2368" s="54"/>
      <c r="P2368" s="335"/>
      <c r="Q2368" s="336"/>
      <c r="R2368" s="337"/>
    </row>
    <row r="2369" spans="1:19" ht="30" customHeight="1" x14ac:dyDescent="0.25">
      <c r="A2369" s="359" t="s">
        <v>295</v>
      </c>
      <c r="B2369" s="1222" t="s">
        <v>326</v>
      </c>
      <c r="C2369" s="1235"/>
      <c r="D2369" s="1223"/>
      <c r="E2369" s="577" t="s">
        <v>116</v>
      </c>
      <c r="F2369" s="577" t="s">
        <v>117</v>
      </c>
      <c r="G2369" s="1236" t="s">
        <v>118</v>
      </c>
      <c r="H2369" s="1237"/>
      <c r="I2369" s="356" t="s">
        <v>296</v>
      </c>
      <c r="J2369" s="356"/>
      <c r="K2369" s="1236" t="s">
        <v>285</v>
      </c>
      <c r="L2369" s="1237"/>
      <c r="M2369" s="54"/>
      <c r="N2369" s="54"/>
      <c r="P2369" s="335"/>
      <c r="Q2369" s="336"/>
      <c r="R2369" s="337"/>
    </row>
    <row r="2370" spans="1:19" ht="30" customHeight="1" x14ac:dyDescent="0.25">
      <c r="A2370" s="365" t="s">
        <v>411</v>
      </c>
      <c r="B2370" s="1209" t="s">
        <v>1467</v>
      </c>
      <c r="C2370" s="1210"/>
      <c r="D2370" s="1211"/>
      <c r="E2370" s="247">
        <f>242-2.64</f>
        <v>239.36</v>
      </c>
      <c r="F2370" s="365" t="s">
        <v>205</v>
      </c>
      <c r="G2370" s="661"/>
      <c r="H2370" s="698"/>
      <c r="I2370" s="365">
        <v>1.01</v>
      </c>
      <c r="J2370" s="365"/>
      <c r="K2370" s="247">
        <f>+E2370*I2370</f>
        <v>241.75360000000001</v>
      </c>
      <c r="L2370" s="365" t="s">
        <v>205</v>
      </c>
      <c r="M2370" s="54"/>
      <c r="N2370" s="54"/>
      <c r="P2370" s="335"/>
      <c r="Q2370" s="336"/>
      <c r="R2370" s="337"/>
    </row>
    <row r="2371" spans="1:19" ht="30" customHeight="1" x14ac:dyDescent="0.25">
      <c r="A2371" s="365" t="s">
        <v>520</v>
      </c>
      <c r="B2371" s="1209" t="s">
        <v>1468</v>
      </c>
      <c r="C2371" s="1210"/>
      <c r="D2371" s="1211"/>
      <c r="E2371" s="11">
        <v>117000</v>
      </c>
      <c r="F2371" s="365" t="s">
        <v>76</v>
      </c>
      <c r="G2371" s="704">
        <f>+H2368</f>
        <v>3466</v>
      </c>
      <c r="H2371" s="339" t="s">
        <v>1469</v>
      </c>
      <c r="I2371" s="365">
        <v>1.02</v>
      </c>
      <c r="J2371" s="365"/>
      <c r="K2371" s="247">
        <f>+E2371/H2368*I2371*1</f>
        <v>34.431621465666474</v>
      </c>
      <c r="L2371" s="365" t="s">
        <v>205</v>
      </c>
      <c r="M2371" s="54"/>
      <c r="N2371" s="54"/>
      <c r="P2371" s="335"/>
      <c r="Q2371" s="336"/>
      <c r="R2371" s="337"/>
    </row>
    <row r="2372" spans="1:19" ht="30" customHeight="1" x14ac:dyDescent="0.25">
      <c r="A2372" s="365" t="s">
        <v>520</v>
      </c>
      <c r="B2372" s="1209" t="s">
        <v>1470</v>
      </c>
      <c r="C2372" s="1210"/>
      <c r="D2372" s="1211"/>
      <c r="E2372" s="247">
        <f>+(244+267)/2</f>
        <v>255.5</v>
      </c>
      <c r="F2372" s="661" t="s">
        <v>40</v>
      </c>
      <c r="G2372" s="660">
        <f>150/H2368</f>
        <v>4.3277553375649161E-2</v>
      </c>
      <c r="H2372" s="339" t="s">
        <v>1471</v>
      </c>
      <c r="I2372" s="365">
        <v>1.02</v>
      </c>
      <c r="J2372" s="365"/>
      <c r="K2372" s="247">
        <f>+E2372*(G2372)*I2372</f>
        <v>11.278563185227927</v>
      </c>
      <c r="L2372" s="365" t="s">
        <v>205</v>
      </c>
      <c r="M2372" s="54"/>
      <c r="N2372" s="110"/>
      <c r="P2372" s="335"/>
      <c r="Q2372" s="336"/>
      <c r="R2372" s="337"/>
    </row>
    <row r="2373" spans="1:19" ht="30" customHeight="1" x14ac:dyDescent="0.25">
      <c r="A2373" s="365" t="s">
        <v>520</v>
      </c>
      <c r="B2373" s="1209" t="s">
        <v>522</v>
      </c>
      <c r="C2373" s="1210"/>
      <c r="D2373" s="1211"/>
      <c r="E2373" s="247">
        <f>+(23.75+47.75)/2</f>
        <v>35.75</v>
      </c>
      <c r="F2373" s="661" t="s">
        <v>40</v>
      </c>
      <c r="G2373" s="660">
        <f>150/H2368</f>
        <v>4.3277553375649161E-2</v>
      </c>
      <c r="H2373" s="339" t="s">
        <v>1471</v>
      </c>
      <c r="I2373" s="365">
        <v>1.02</v>
      </c>
      <c r="J2373" s="365"/>
      <c r="K2373" s="247">
        <f>+E2373*(G2373)*I2373</f>
        <v>1.5781159838430467</v>
      </c>
      <c r="L2373" s="365" t="s">
        <v>205</v>
      </c>
      <c r="M2373" s="54"/>
      <c r="N2373" s="54"/>
      <c r="P2373" s="335"/>
      <c r="Q2373" s="336"/>
      <c r="R2373" s="337"/>
    </row>
    <row r="2374" spans="1:19" ht="30" customHeight="1" x14ac:dyDescent="0.25">
      <c r="A2374" s="365" t="s">
        <v>406</v>
      </c>
      <c r="B2374" s="1214" t="s">
        <v>1472</v>
      </c>
      <c r="C2374" s="1215"/>
      <c r="D2374" s="1215"/>
      <c r="E2374" s="247">
        <v>4.9000000000000004</v>
      </c>
      <c r="F2374" s="661" t="s">
        <v>205</v>
      </c>
      <c r="G2374" s="452"/>
      <c r="H2374" s="339"/>
      <c r="I2374" s="365">
        <v>1.01</v>
      </c>
      <c r="J2374" s="365"/>
      <c r="K2374" s="247">
        <f>+E2374*I2374</f>
        <v>4.9490000000000007</v>
      </c>
      <c r="L2374" s="365" t="s">
        <v>205</v>
      </c>
      <c r="M2374" s="54"/>
      <c r="N2374" s="54"/>
      <c r="P2374" s="335"/>
      <c r="Q2374" s="336"/>
      <c r="R2374" s="337"/>
    </row>
    <row r="2375" spans="1:19" ht="30" customHeight="1" x14ac:dyDescent="0.25">
      <c r="A2375" s="365" t="s">
        <v>406</v>
      </c>
      <c r="B2375" s="1214" t="s">
        <v>1473</v>
      </c>
      <c r="C2375" s="1215"/>
      <c r="D2375" s="1216"/>
      <c r="E2375" s="247">
        <f>0.15*E2374</f>
        <v>0.73499999999999999</v>
      </c>
      <c r="F2375" s="661" t="s">
        <v>205</v>
      </c>
      <c r="G2375" s="452"/>
      <c r="H2375" s="339"/>
      <c r="I2375" s="365">
        <v>1.01</v>
      </c>
      <c r="J2375" s="365"/>
      <c r="K2375" s="247">
        <f>+E2375*I2375</f>
        <v>0.74234999999999995</v>
      </c>
      <c r="L2375" s="365" t="s">
        <v>205</v>
      </c>
      <c r="M2375" s="54"/>
      <c r="N2375" s="54"/>
      <c r="P2375" s="335"/>
      <c r="Q2375" s="336"/>
      <c r="R2375" s="337"/>
    </row>
    <row r="2376" spans="1:19" ht="30" customHeight="1" x14ac:dyDescent="0.25">
      <c r="A2376" s="365" t="s">
        <v>406</v>
      </c>
      <c r="B2376" s="1209" t="s">
        <v>1255</v>
      </c>
      <c r="C2376" s="1210"/>
      <c r="D2376" s="1211"/>
      <c r="E2376" s="246">
        <f xml:space="preserve"> 0.58+((1.15+1.71)/2)</f>
        <v>2.0099999999999998</v>
      </c>
      <c r="F2376" s="661" t="s">
        <v>205</v>
      </c>
      <c r="G2376" s="452"/>
      <c r="H2376" s="339"/>
      <c r="I2376" s="365">
        <v>1.01</v>
      </c>
      <c r="J2376" s="365"/>
      <c r="K2376" s="247">
        <f>+E2376*I2376</f>
        <v>2.0301</v>
      </c>
      <c r="L2376" s="365" t="s">
        <v>205</v>
      </c>
      <c r="M2376" s="54"/>
      <c r="N2376" s="54"/>
      <c r="P2376" s="335"/>
      <c r="Q2376" s="336"/>
      <c r="R2376" s="337"/>
    </row>
    <row r="2377" spans="1:19" ht="30" customHeight="1" x14ac:dyDescent="0.25">
      <c r="A2377" s="365"/>
      <c r="B2377" s="1281"/>
      <c r="C2377" s="1281"/>
      <c r="D2377" s="1281"/>
      <c r="E2377" s="247"/>
      <c r="F2377" s="365"/>
      <c r="G2377" s="366"/>
      <c r="H2377" s="360"/>
      <c r="I2377" s="365"/>
      <c r="J2377" s="365" t="s">
        <v>343</v>
      </c>
      <c r="K2377" s="247">
        <f>SUM(K2370:K2376)</f>
        <v>296.76335063473744</v>
      </c>
      <c r="L2377" s="365" t="s">
        <v>205</v>
      </c>
      <c r="M2377" s="54"/>
      <c r="N2377" s="54"/>
      <c r="P2377" s="335"/>
      <c r="Q2377" s="336"/>
      <c r="R2377" s="337"/>
    </row>
    <row r="2378" spans="1:19" ht="30" customHeight="1" x14ac:dyDescent="0.25">
      <c r="A2378" s="365"/>
      <c r="B2378" s="578"/>
      <c r="C2378" s="578"/>
      <c r="D2378" s="578"/>
      <c r="E2378" s="247"/>
      <c r="F2378" s="1272" t="s">
        <v>303</v>
      </c>
      <c r="G2378" s="1283" t="s">
        <v>304</v>
      </c>
      <c r="H2378" s="1283"/>
      <c r="I2378" s="1283"/>
      <c r="J2378" s="1283"/>
      <c r="K2378" s="706">
        <v>1.0900000000000001</v>
      </c>
      <c r="L2378" s="365"/>
      <c r="M2378" s="54"/>
      <c r="N2378" s="54"/>
      <c r="P2378" s="335"/>
      <c r="Q2378" s="336"/>
      <c r="R2378" s="337"/>
    </row>
    <row r="2379" spans="1:19" ht="30" customHeight="1" x14ac:dyDescent="0.25">
      <c r="A2379" s="365"/>
      <c r="B2379" s="578"/>
      <c r="C2379" s="578"/>
      <c r="D2379" s="578"/>
      <c r="E2379" s="247"/>
      <c r="F2379" s="1273"/>
      <c r="G2379" s="1284" t="s">
        <v>438</v>
      </c>
      <c r="H2379" s="1284"/>
      <c r="I2379" s="1284"/>
      <c r="J2379" s="1284"/>
      <c r="K2379" s="250">
        <v>1.08</v>
      </c>
      <c r="L2379" s="365"/>
      <c r="M2379" s="54"/>
      <c r="N2379" s="54"/>
      <c r="P2379" s="335"/>
      <c r="Q2379" s="336"/>
      <c r="R2379" s="337"/>
    </row>
    <row r="2380" spans="1:19" ht="30" customHeight="1" x14ac:dyDescent="0.25">
      <c r="A2380" s="365"/>
      <c r="B2380" s="365"/>
      <c r="C2380" s="366"/>
      <c r="D2380" s="366"/>
      <c r="E2380" s="366"/>
      <c r="F2380" s="366"/>
      <c r="G2380" s="366"/>
      <c r="H2380" s="367"/>
      <c r="I2380" s="366"/>
      <c r="J2380" s="365" t="s">
        <v>72</v>
      </c>
      <c r="K2380" s="246">
        <f>+K2377*K2378/K2379</f>
        <v>299.51115943691093</v>
      </c>
      <c r="L2380" s="365" t="s">
        <v>205</v>
      </c>
      <c r="M2380" s="54"/>
      <c r="N2380" s="54"/>
      <c r="O2380" s="336"/>
      <c r="P2380" s="334"/>
      <c r="Q2380" s="335"/>
      <c r="R2380" s="336"/>
      <c r="S2380" s="337"/>
    </row>
    <row r="2381" spans="1:19" ht="30" customHeight="1" x14ac:dyDescent="0.25">
      <c r="A2381" s="592"/>
      <c r="B2381" s="592"/>
      <c r="C2381" s="573"/>
      <c r="D2381" s="573"/>
      <c r="E2381" s="573"/>
      <c r="F2381" s="573"/>
      <c r="H2381" s="861"/>
      <c r="I2381" s="654" t="s">
        <v>414</v>
      </c>
      <c r="J2381" s="521">
        <f>VLOOKUP(B2368,'Mil Cost Premiums for PUCs'!$A$4:$R$277,18,FALSE)</f>
        <v>1.3319480854780448</v>
      </c>
      <c r="K2381" s="246">
        <f>+K2380*J2381</f>
        <v>398.93331539130293</v>
      </c>
      <c r="L2381" s="365" t="s">
        <v>205</v>
      </c>
      <c r="M2381" s="54"/>
      <c r="N2381" s="54"/>
      <c r="O2381" s="336"/>
      <c r="P2381" s="334"/>
      <c r="Q2381" s="335"/>
      <c r="R2381" s="336"/>
      <c r="S2381" s="337"/>
    </row>
    <row r="2382" spans="1:19" ht="30" customHeight="1" x14ac:dyDescent="0.25">
      <c r="A2382" s="835"/>
      <c r="B2382" s="835"/>
      <c r="C2382" s="840"/>
      <c r="D2382" s="840"/>
      <c r="E2382" s="850"/>
      <c r="F2382" s="1278" t="s">
        <v>1148</v>
      </c>
      <c r="G2382" s="1278"/>
      <c r="H2382" s="1278"/>
      <c r="I2382" s="1278"/>
      <c r="J2382" s="845">
        <v>1.0833999999999999</v>
      </c>
      <c r="K2382" s="544">
        <f>K2381*J2382</f>
        <v>432.20435389493758</v>
      </c>
      <c r="L2382" s="369" t="s">
        <v>205</v>
      </c>
      <c r="N2382" s="54"/>
      <c r="P2382" s="335"/>
      <c r="Q2382" s="336"/>
      <c r="R2382" s="337"/>
    </row>
    <row r="2383" spans="1:19" ht="75" customHeight="1" x14ac:dyDescent="0.25">
      <c r="A2383" s="1230" t="s">
        <v>307</v>
      </c>
      <c r="B2383" s="1231"/>
      <c r="C2383" s="1231"/>
      <c r="D2383" s="1231"/>
      <c r="E2383" s="1231"/>
      <c r="F2383" s="1231"/>
      <c r="G2383" s="1231"/>
      <c r="H2383" s="1231"/>
      <c r="I2383" s="1231"/>
      <c r="J2383" s="1231"/>
      <c r="K2383" s="1231"/>
      <c r="L2383" s="1232"/>
      <c r="M2383" s="54"/>
      <c r="N2383" s="54"/>
      <c r="P2383" s="335"/>
      <c r="Q2383" s="336"/>
      <c r="R2383" s="337"/>
    </row>
    <row r="2384" spans="1:19" ht="30" customHeight="1" x14ac:dyDescent="0.25">
      <c r="A2384" s="1268" t="s">
        <v>308</v>
      </c>
      <c r="B2384" s="1167"/>
      <c r="C2384" s="1168"/>
      <c r="D2384" s="1230" t="s">
        <v>1474</v>
      </c>
      <c r="E2384" s="1231"/>
      <c r="F2384" s="1231"/>
      <c r="G2384" s="1231"/>
      <c r="H2384" s="1231"/>
      <c r="I2384" s="1231"/>
      <c r="J2384" s="1231"/>
      <c r="K2384" s="1231"/>
      <c r="L2384" s="1232"/>
      <c r="M2384" s="54"/>
      <c r="N2384" s="54"/>
      <c r="O2384" s="336"/>
      <c r="P2384" s="334"/>
      <c r="Q2384" s="335"/>
      <c r="R2384" s="336"/>
      <c r="S2384" s="337"/>
    </row>
    <row r="2385" spans="1:19" ht="45" customHeight="1" x14ac:dyDescent="0.25">
      <c r="A2385" s="1268" t="s">
        <v>310</v>
      </c>
      <c r="B2385" s="1167"/>
      <c r="C2385" s="1168"/>
      <c r="D2385" s="1230" t="s">
        <v>1475</v>
      </c>
      <c r="E2385" s="1231"/>
      <c r="F2385" s="1231"/>
      <c r="G2385" s="1231"/>
      <c r="H2385" s="1231"/>
      <c r="I2385" s="1231"/>
      <c r="J2385" s="1231"/>
      <c r="K2385" s="1231"/>
      <c r="L2385" s="1232"/>
      <c r="M2385" s="54"/>
      <c r="N2385" s="54"/>
      <c r="O2385" s="336"/>
      <c r="P2385" s="334"/>
      <c r="Q2385" s="335"/>
      <c r="R2385" s="336"/>
      <c r="S2385" s="337"/>
    </row>
    <row r="2386" spans="1:19" ht="30" customHeight="1" x14ac:dyDescent="0.25">
      <c r="A2386" s="1268" t="s">
        <v>312</v>
      </c>
      <c r="B2386" s="1167"/>
      <c r="C2386" s="1168"/>
      <c r="D2386" s="1230" t="s">
        <v>1476</v>
      </c>
      <c r="E2386" s="1231"/>
      <c r="F2386" s="1231"/>
      <c r="G2386" s="1231"/>
      <c r="H2386" s="1231"/>
      <c r="I2386" s="1231"/>
      <c r="J2386" s="1231"/>
      <c r="K2386" s="1231"/>
      <c r="L2386" s="1232"/>
      <c r="M2386" s="54"/>
      <c r="N2386" s="54"/>
      <c r="O2386" s="336"/>
      <c r="P2386" s="334"/>
      <c r="Q2386" s="335"/>
      <c r="R2386" s="336"/>
      <c r="S2386" s="337"/>
    </row>
    <row r="2387" spans="1:19" ht="45" customHeight="1" x14ac:dyDescent="0.25">
      <c r="A2387" s="1268" t="s">
        <v>314</v>
      </c>
      <c r="B2387" s="1167"/>
      <c r="C2387" s="1168"/>
      <c r="D2387" s="1230" t="s">
        <v>1477</v>
      </c>
      <c r="E2387" s="1231"/>
      <c r="F2387" s="1231"/>
      <c r="G2387" s="1231"/>
      <c r="H2387" s="1231"/>
      <c r="I2387" s="1231"/>
      <c r="J2387" s="1231"/>
      <c r="K2387" s="1231"/>
      <c r="L2387" s="1232"/>
      <c r="M2387" s="110"/>
      <c r="N2387" s="54"/>
      <c r="O2387" s="336"/>
      <c r="P2387" s="334"/>
      <c r="Q2387" s="335"/>
      <c r="R2387" s="336"/>
      <c r="S2387" s="337"/>
    </row>
    <row r="2388" spans="1:19" ht="30" customHeight="1" x14ac:dyDescent="0.25">
      <c r="A2388" s="1268" t="s">
        <v>316</v>
      </c>
      <c r="B2388" s="1167"/>
      <c r="C2388" s="1168"/>
      <c r="D2388" s="1230" t="s">
        <v>1478</v>
      </c>
      <c r="E2388" s="1231"/>
      <c r="F2388" s="1231"/>
      <c r="G2388" s="1231"/>
      <c r="H2388" s="1231"/>
      <c r="I2388" s="1231"/>
      <c r="J2388" s="1231"/>
      <c r="K2388" s="1231"/>
      <c r="L2388" s="1232"/>
      <c r="M2388" s="54"/>
      <c r="N2388" s="54"/>
      <c r="O2388" s="336"/>
      <c r="P2388" s="334"/>
      <c r="Q2388" s="335"/>
      <c r="R2388" s="336"/>
      <c r="S2388" s="337"/>
    </row>
    <row r="2389" spans="1:19" ht="30" customHeight="1" x14ac:dyDescent="0.25">
      <c r="A2389" s="1268" t="s">
        <v>318</v>
      </c>
      <c r="B2389" s="1167"/>
      <c r="C2389" s="1168"/>
      <c r="D2389" s="1230" t="s">
        <v>1479</v>
      </c>
      <c r="E2389" s="1231"/>
      <c r="F2389" s="1231"/>
      <c r="G2389" s="1231"/>
      <c r="H2389" s="1231"/>
      <c r="I2389" s="1231"/>
      <c r="J2389" s="1231"/>
      <c r="K2389" s="1231"/>
      <c r="L2389" s="1232"/>
      <c r="M2389" s="54"/>
      <c r="N2389" s="54"/>
      <c r="O2389" s="336"/>
      <c r="P2389" s="334"/>
      <c r="Q2389" s="335"/>
      <c r="R2389" s="336"/>
      <c r="S2389" s="337"/>
    </row>
    <row r="2390" spans="1:19" ht="30" customHeight="1" x14ac:dyDescent="0.25">
      <c r="A2390" s="1268" t="s">
        <v>320</v>
      </c>
      <c r="B2390" s="1167"/>
      <c r="C2390" s="1168"/>
      <c r="D2390" s="1230" t="s">
        <v>1480</v>
      </c>
      <c r="E2390" s="1231"/>
      <c r="F2390" s="1231"/>
      <c r="G2390" s="1231"/>
      <c r="H2390" s="1231"/>
      <c r="I2390" s="1231"/>
      <c r="J2390" s="1231"/>
      <c r="K2390" s="1231"/>
      <c r="L2390" s="1232"/>
      <c r="M2390" s="54"/>
      <c r="N2390" s="54"/>
      <c r="O2390" s="336"/>
      <c r="P2390" s="334"/>
      <c r="Q2390" s="335"/>
      <c r="R2390" s="336"/>
      <c r="S2390" s="337"/>
    </row>
    <row r="2391" spans="1:19" ht="75" customHeight="1" x14ac:dyDescent="0.25">
      <c r="A2391" s="1268" t="s">
        <v>322</v>
      </c>
      <c r="B2391" s="1167"/>
      <c r="C2391" s="1168"/>
      <c r="D2391" s="1230" t="s">
        <v>422</v>
      </c>
      <c r="E2391" s="1231"/>
      <c r="F2391" s="1231"/>
      <c r="G2391" s="1231"/>
      <c r="H2391" s="1231"/>
      <c r="I2391" s="1231"/>
      <c r="J2391" s="1231"/>
      <c r="K2391" s="1231"/>
      <c r="L2391" s="1232"/>
      <c r="M2391" s="54"/>
      <c r="N2391" s="54"/>
      <c r="O2391" s="336"/>
      <c r="P2391" s="334"/>
      <c r="Q2391" s="335"/>
      <c r="R2391" s="336"/>
      <c r="S2391" s="337"/>
    </row>
    <row r="2392" spans="1:19" ht="45" customHeight="1" thickBot="1" x14ac:dyDescent="0.3">
      <c r="A2392" s="1268" t="s">
        <v>350</v>
      </c>
      <c r="B2392" s="1167"/>
      <c r="C2392" s="1168"/>
      <c r="D2392" s="1291" t="s">
        <v>3410</v>
      </c>
      <c r="E2392" s="1292"/>
      <c r="F2392" s="1292"/>
      <c r="G2392" s="1292"/>
      <c r="H2392" s="1292"/>
      <c r="I2392" s="1292"/>
      <c r="J2392" s="1292"/>
      <c r="K2392" s="1292"/>
      <c r="L2392" s="1293"/>
      <c r="M2392" s="54"/>
      <c r="N2392" s="54"/>
      <c r="O2392" s="336"/>
      <c r="P2392" s="334"/>
      <c r="Q2392" s="335"/>
      <c r="R2392" s="336"/>
      <c r="S2392" s="337"/>
    </row>
    <row r="2393" spans="1:19" ht="30" customHeight="1" thickBot="1" x14ac:dyDescent="0.3">
      <c r="A2393" s="1180"/>
      <c r="B2393" s="1181"/>
      <c r="C2393" s="1181"/>
      <c r="D2393" s="1181"/>
      <c r="E2393" s="1181"/>
      <c r="F2393" s="1181"/>
      <c r="G2393" s="1181"/>
      <c r="H2393" s="1181"/>
      <c r="I2393" s="1181"/>
      <c r="J2393" s="1181"/>
      <c r="K2393" s="1181"/>
      <c r="L2393" s="1182"/>
      <c r="M2393" s="54"/>
      <c r="N2393" s="54"/>
      <c r="O2393" s="336"/>
      <c r="P2393" s="334"/>
      <c r="Q2393" s="335"/>
      <c r="R2393" s="336"/>
      <c r="S2393" s="337"/>
    </row>
    <row r="2394" spans="1:19" ht="30" customHeight="1" x14ac:dyDescent="0.25">
      <c r="A2394" s="327" t="s">
        <v>5</v>
      </c>
      <c r="B2394" s="328">
        <v>3171</v>
      </c>
      <c r="C2394" s="1406" t="s">
        <v>1481</v>
      </c>
      <c r="D2394" s="1406"/>
      <c r="E2394" s="331" t="s">
        <v>8</v>
      </c>
      <c r="F2394" s="332" t="s">
        <v>205</v>
      </c>
      <c r="G2394" s="342" t="s">
        <v>74</v>
      </c>
      <c r="H2394" s="820">
        <v>10819</v>
      </c>
      <c r="I2394" s="331" t="s">
        <v>10</v>
      </c>
      <c r="J2394" s="1220" t="s">
        <v>3388</v>
      </c>
      <c r="K2394" s="1220"/>
      <c r="L2394" s="1221"/>
      <c r="M2394" s="54"/>
      <c r="O2394" s="336"/>
      <c r="P2394" s="334"/>
      <c r="Q2394" s="335"/>
      <c r="R2394" s="336"/>
      <c r="S2394" s="337"/>
    </row>
    <row r="2395" spans="1:19" ht="30" customHeight="1" x14ac:dyDescent="0.25">
      <c r="A2395" s="359" t="s">
        <v>295</v>
      </c>
      <c r="B2395" s="1222" t="s">
        <v>326</v>
      </c>
      <c r="C2395" s="1235"/>
      <c r="D2395" s="1223"/>
      <c r="E2395" s="577" t="s">
        <v>116</v>
      </c>
      <c r="F2395" s="577" t="s">
        <v>117</v>
      </c>
      <c r="G2395" s="1236" t="s">
        <v>118</v>
      </c>
      <c r="H2395" s="1237"/>
      <c r="I2395" s="812" t="s">
        <v>1134</v>
      </c>
      <c r="J2395" s="356" t="s">
        <v>296</v>
      </c>
      <c r="K2395" s="1236" t="s">
        <v>285</v>
      </c>
      <c r="L2395" s="1237"/>
      <c r="M2395" s="54"/>
      <c r="N2395" s="54"/>
      <c r="O2395" s="336"/>
      <c r="P2395" s="334"/>
      <c r="Q2395" s="335"/>
      <c r="R2395" s="336"/>
      <c r="S2395" s="337"/>
    </row>
    <row r="2396" spans="1:19" ht="30" customHeight="1" x14ac:dyDescent="0.25">
      <c r="A2396" s="365" t="s">
        <v>1104</v>
      </c>
      <c r="B2396" s="1209" t="s">
        <v>1482</v>
      </c>
      <c r="C2396" s="1210"/>
      <c r="D2396" s="1211"/>
      <c r="E2396" s="247">
        <f>97.5-2.64</f>
        <v>94.86</v>
      </c>
      <c r="F2396" s="365" t="s">
        <v>205</v>
      </c>
      <c r="G2396" s="689"/>
      <c r="H2396" s="690"/>
      <c r="I2396" s="65">
        <f>+E2396</f>
        <v>94.86</v>
      </c>
      <c r="J2396" s="365">
        <v>1.01</v>
      </c>
      <c r="K2396" s="7">
        <f t="shared" ref="K2396:K2403" si="47">+I2396*J2396</f>
        <v>95.808599999999998</v>
      </c>
      <c r="L2396" s="365" t="s">
        <v>205</v>
      </c>
      <c r="M2396" s="54"/>
      <c r="N2396" s="54"/>
      <c r="P2396" s="335"/>
      <c r="Q2396" s="336"/>
      <c r="R2396" s="337"/>
    </row>
    <row r="2397" spans="1:19" ht="30" customHeight="1" x14ac:dyDescent="0.25">
      <c r="A2397" s="365" t="s">
        <v>406</v>
      </c>
      <c r="B2397" s="1209" t="s">
        <v>413</v>
      </c>
      <c r="C2397" s="1210"/>
      <c r="D2397" s="1211"/>
      <c r="E2397" s="11">
        <v>4.38</v>
      </c>
      <c r="F2397" s="365" t="s">
        <v>205</v>
      </c>
      <c r="G2397" s="452"/>
      <c r="H2397" s="589"/>
      <c r="I2397" s="170">
        <f>+E2397</f>
        <v>4.38</v>
      </c>
      <c r="J2397" s="365">
        <v>1.01</v>
      </c>
      <c r="K2397" s="7">
        <f t="shared" si="47"/>
        <v>4.4238</v>
      </c>
      <c r="L2397" s="365" t="s">
        <v>205</v>
      </c>
      <c r="M2397" s="54"/>
      <c r="N2397" s="54"/>
      <c r="P2397" s="335"/>
      <c r="Q2397" s="336"/>
      <c r="R2397" s="337"/>
    </row>
    <row r="2398" spans="1:19" ht="30" customHeight="1" x14ac:dyDescent="0.25">
      <c r="A2398" s="365" t="s">
        <v>426</v>
      </c>
      <c r="B2398" s="1209" t="s">
        <v>1483</v>
      </c>
      <c r="C2398" s="1210"/>
      <c r="D2398" s="1211"/>
      <c r="E2398" s="246">
        <f>(20.3+31.5)/2</f>
        <v>25.9</v>
      </c>
      <c r="F2398" s="661" t="s">
        <v>205</v>
      </c>
      <c r="G2398" s="666">
        <f>81*2*E2398</f>
        <v>4195.8</v>
      </c>
      <c r="H2398" s="589"/>
      <c r="I2398" s="170">
        <f>+G2398/H2394</f>
        <v>0.38781772807098625</v>
      </c>
      <c r="J2398" s="365">
        <v>1.03</v>
      </c>
      <c r="K2398" s="7">
        <f t="shared" si="47"/>
        <v>0.39945225991311584</v>
      </c>
      <c r="L2398" s="365" t="s">
        <v>205</v>
      </c>
      <c r="M2398" s="54"/>
      <c r="N2398" s="54"/>
      <c r="P2398" s="335"/>
      <c r="Q2398" s="336"/>
      <c r="R2398" s="337"/>
    </row>
    <row r="2399" spans="1:19" ht="30" customHeight="1" x14ac:dyDescent="0.25">
      <c r="A2399" s="365" t="s">
        <v>426</v>
      </c>
      <c r="B2399" s="1209" t="s">
        <v>429</v>
      </c>
      <c r="C2399" s="1210"/>
      <c r="D2399" s="1211"/>
      <c r="E2399" s="246">
        <f>(1710+2420)/2</f>
        <v>2065</v>
      </c>
      <c r="F2399" s="661"/>
      <c r="G2399" s="168">
        <f>+E2399*2</f>
        <v>4130</v>
      </c>
      <c r="H2399" s="589"/>
      <c r="I2399" s="170">
        <f>+G2399/H2394</f>
        <v>0.38173583510490805</v>
      </c>
      <c r="J2399" s="365">
        <v>1.03</v>
      </c>
      <c r="K2399" s="7">
        <f t="shared" si="47"/>
        <v>0.39318791015805532</v>
      </c>
      <c r="L2399" s="365" t="s">
        <v>205</v>
      </c>
      <c r="M2399" s="54"/>
      <c r="N2399" s="54"/>
      <c r="P2399" s="335"/>
      <c r="Q2399" s="336"/>
      <c r="R2399" s="337"/>
    </row>
    <row r="2400" spans="1:19" ht="30" customHeight="1" x14ac:dyDescent="0.25">
      <c r="A2400" s="365" t="s">
        <v>430</v>
      </c>
      <c r="B2400" s="1209" t="s">
        <v>1484</v>
      </c>
      <c r="C2400" s="1210"/>
      <c r="D2400" s="1211"/>
      <c r="E2400" s="247">
        <f>+(32.75+78)/2</f>
        <v>55.375</v>
      </c>
      <c r="F2400" s="661" t="s">
        <v>40</v>
      </c>
      <c r="G2400" s="452">
        <v>20</v>
      </c>
      <c r="H2400" s="589" t="s">
        <v>1329</v>
      </c>
      <c r="I2400" s="170">
        <f>+E2400*G2400/H2394</f>
        <v>0.1023662075977447</v>
      </c>
      <c r="J2400" s="365">
        <v>1.03</v>
      </c>
      <c r="K2400" s="7">
        <f t="shared" si="47"/>
        <v>0.10543719382567704</v>
      </c>
      <c r="L2400" s="365" t="s">
        <v>205</v>
      </c>
      <c r="M2400" s="54"/>
      <c r="N2400" s="54"/>
      <c r="P2400" s="335"/>
      <c r="Q2400" s="336"/>
      <c r="R2400" s="337"/>
    </row>
    <row r="2401" spans="1:19" ht="30" customHeight="1" x14ac:dyDescent="0.25">
      <c r="A2401" s="365" t="s">
        <v>430</v>
      </c>
      <c r="B2401" s="1209" t="s">
        <v>1160</v>
      </c>
      <c r="C2401" s="1210"/>
      <c r="D2401" s="1211"/>
      <c r="E2401" s="247">
        <f>+(6150+11800)/2</f>
        <v>8975</v>
      </c>
      <c r="F2401" s="661" t="s">
        <v>76</v>
      </c>
      <c r="G2401" s="452">
        <v>2</v>
      </c>
      <c r="H2401" s="589" t="s">
        <v>1140</v>
      </c>
      <c r="I2401" s="170">
        <f>+E2401*2/H2394</f>
        <v>1.6591182179499029</v>
      </c>
      <c r="J2401" s="365">
        <v>1.03</v>
      </c>
      <c r="K2401" s="7">
        <f t="shared" si="47"/>
        <v>1.7088917644884001</v>
      </c>
      <c r="L2401" s="365" t="s">
        <v>205</v>
      </c>
      <c r="M2401" s="54"/>
      <c r="N2401" s="54"/>
      <c r="P2401" s="335"/>
      <c r="Q2401" s="336"/>
      <c r="R2401" s="337"/>
    </row>
    <row r="2402" spans="1:19" ht="30" customHeight="1" x14ac:dyDescent="0.25">
      <c r="A2402" s="365" t="s">
        <v>430</v>
      </c>
      <c r="B2402" s="1209" t="s">
        <v>1161</v>
      </c>
      <c r="C2402" s="1210"/>
      <c r="D2402" s="1211"/>
      <c r="E2402" s="11">
        <f>+(630+965)/2</f>
        <v>797.5</v>
      </c>
      <c r="F2402" s="661" t="s">
        <v>76</v>
      </c>
      <c r="G2402" s="452">
        <v>2</v>
      </c>
      <c r="H2402" s="589" t="s">
        <v>1140</v>
      </c>
      <c r="I2402" s="170">
        <f>+E2402*2/H2394</f>
        <v>0.14742582493760975</v>
      </c>
      <c r="J2402" s="365">
        <v>1.03</v>
      </c>
      <c r="K2402" s="7">
        <f t="shared" si="47"/>
        <v>0.15184859968573805</v>
      </c>
      <c r="L2402" s="365" t="s">
        <v>205</v>
      </c>
      <c r="M2402" s="54"/>
      <c r="N2402" s="110"/>
      <c r="P2402" s="335"/>
      <c r="Q2402" s="336"/>
      <c r="R2402" s="337"/>
    </row>
    <row r="2403" spans="1:19" ht="30" customHeight="1" x14ac:dyDescent="0.25">
      <c r="A2403" s="365" t="s">
        <v>430</v>
      </c>
      <c r="B2403" s="1209" t="s">
        <v>1162</v>
      </c>
      <c r="C2403" s="1210"/>
      <c r="D2403" s="1211"/>
      <c r="E2403" s="247">
        <f>+(1110+3300)/2</f>
        <v>2205</v>
      </c>
      <c r="F2403" s="661" t="s">
        <v>76</v>
      </c>
      <c r="G2403" s="452">
        <v>2</v>
      </c>
      <c r="H2403" s="589" t="s">
        <v>1140</v>
      </c>
      <c r="I2403" s="170">
        <f>+E2403*2/H2394</f>
        <v>0.40761623070524078</v>
      </c>
      <c r="J2403" s="365">
        <v>1.03</v>
      </c>
      <c r="K2403" s="7">
        <f t="shared" si="47"/>
        <v>0.41984471762639802</v>
      </c>
      <c r="L2403" s="365" t="s">
        <v>205</v>
      </c>
      <c r="M2403" s="54"/>
      <c r="N2403" s="54"/>
      <c r="P2403" s="335"/>
      <c r="Q2403" s="336"/>
      <c r="R2403" s="337"/>
    </row>
    <row r="2404" spans="1:19" ht="30" customHeight="1" x14ac:dyDescent="0.25">
      <c r="A2404" s="365"/>
      <c r="B2404" s="1281"/>
      <c r="C2404" s="1281"/>
      <c r="D2404" s="1281"/>
      <c r="E2404" s="247"/>
      <c r="F2404" s="365"/>
      <c r="G2404" s="366"/>
      <c r="H2404" s="662"/>
      <c r="I2404" s="662"/>
      <c r="J2404" s="365" t="s">
        <v>408</v>
      </c>
      <c r="K2404" s="247">
        <f>SUM(K2396:K2403)</f>
        <v>103.4110624456974</v>
      </c>
      <c r="L2404" s="365" t="s">
        <v>205</v>
      </c>
      <c r="M2404" s="54"/>
      <c r="N2404" s="54"/>
      <c r="P2404" s="335"/>
      <c r="Q2404" s="336"/>
      <c r="R2404" s="337"/>
    </row>
    <row r="2405" spans="1:19" ht="30" customHeight="1" x14ac:dyDescent="0.25">
      <c r="A2405" s="365"/>
      <c r="B2405" s="578"/>
      <c r="C2405" s="578"/>
      <c r="D2405" s="578"/>
      <c r="E2405" s="578"/>
      <c r="F2405" s="1272" t="s">
        <v>303</v>
      </c>
      <c r="G2405" s="1283" t="s">
        <v>304</v>
      </c>
      <c r="H2405" s="1283"/>
      <c r="I2405" s="1283"/>
      <c r="J2405" s="1283"/>
      <c r="K2405" s="251">
        <v>1.1000000000000001</v>
      </c>
      <c r="L2405" s="365"/>
      <c r="M2405" s="54"/>
      <c r="N2405" s="54"/>
      <c r="P2405" s="335"/>
      <c r="Q2405" s="336"/>
      <c r="R2405" s="337"/>
    </row>
    <row r="2406" spans="1:19" ht="30" customHeight="1" x14ac:dyDescent="0.25">
      <c r="A2406" s="365"/>
      <c r="B2406" s="578"/>
      <c r="C2406" s="578"/>
      <c r="D2406" s="578"/>
      <c r="E2406" s="578"/>
      <c r="F2406" s="1273"/>
      <c r="G2406" s="1284" t="s">
        <v>438</v>
      </c>
      <c r="H2406" s="1284"/>
      <c r="I2406" s="1284"/>
      <c r="J2406" s="1284"/>
      <c r="K2406" s="251">
        <v>1.08</v>
      </c>
      <c r="L2406" s="365"/>
      <c r="M2406" s="54"/>
      <c r="N2406" s="54"/>
      <c r="P2406" s="335"/>
      <c r="Q2406" s="336"/>
      <c r="R2406" s="337"/>
    </row>
    <row r="2407" spans="1:19" ht="30" customHeight="1" x14ac:dyDescent="0.25">
      <c r="A2407" s="855"/>
      <c r="B2407" s="856"/>
      <c r="C2407" s="857"/>
      <c r="D2407" s="857"/>
      <c r="E2407" s="857"/>
      <c r="F2407" s="857"/>
      <c r="G2407" s="862"/>
      <c r="H2407" s="366"/>
      <c r="I2407" s="366"/>
      <c r="J2407" s="366" t="s">
        <v>72</v>
      </c>
      <c r="K2407" s="246">
        <f>+K2404*K2405/K2406</f>
        <v>105.32608212061771</v>
      </c>
      <c r="L2407" s="365" t="s">
        <v>205</v>
      </c>
      <c r="M2407" s="54"/>
      <c r="N2407" s="54"/>
      <c r="P2407" s="335"/>
      <c r="Q2407" s="336"/>
      <c r="R2407" s="337"/>
    </row>
    <row r="2408" spans="1:19" ht="30" customHeight="1" x14ac:dyDescent="0.25">
      <c r="A2408" s="855"/>
      <c r="B2408" s="856"/>
      <c r="C2408" s="857"/>
      <c r="D2408" s="857"/>
      <c r="E2408" s="857"/>
      <c r="F2408" s="857"/>
      <c r="H2408" s="366"/>
      <c r="I2408" s="815" t="s">
        <v>414</v>
      </c>
      <c r="J2408" s="521">
        <f>VLOOKUP(B2394,'Mil Cost Premiums for PUCs'!$A$4:$R$277,18,FALSE)</f>
        <v>1.3319480854780448</v>
      </c>
      <c r="K2408" s="246">
        <f>+K2407*J2408</f>
        <v>140.28887343146008</v>
      </c>
      <c r="L2408" s="365" t="s">
        <v>205</v>
      </c>
      <c r="M2408" s="54"/>
      <c r="N2408" s="54"/>
      <c r="P2408" s="335"/>
      <c r="Q2408" s="336"/>
      <c r="R2408" s="337"/>
    </row>
    <row r="2409" spans="1:19" ht="30" customHeight="1" x14ac:dyDescent="0.25">
      <c r="A2409" s="835"/>
      <c r="B2409" s="835"/>
      <c r="C2409" s="840"/>
      <c r="D2409" s="840"/>
      <c r="E2409" s="850"/>
      <c r="F2409" s="1278" t="s">
        <v>1148</v>
      </c>
      <c r="G2409" s="1278"/>
      <c r="H2409" s="1278"/>
      <c r="I2409" s="1278"/>
      <c r="J2409" s="845">
        <v>1.0833999999999999</v>
      </c>
      <c r="K2409" s="544">
        <f>K2408*J2409</f>
        <v>151.98896547564382</v>
      </c>
      <c r="L2409" s="369" t="s">
        <v>205</v>
      </c>
      <c r="N2409" s="54"/>
      <c r="P2409" s="335"/>
      <c r="Q2409" s="336"/>
      <c r="R2409" s="337"/>
    </row>
    <row r="2410" spans="1:19" ht="75" customHeight="1" x14ac:dyDescent="0.25">
      <c r="A2410" s="1209" t="s">
        <v>307</v>
      </c>
      <c r="B2410" s="1210"/>
      <c r="C2410" s="1210"/>
      <c r="D2410" s="1210"/>
      <c r="E2410" s="1210"/>
      <c r="F2410" s="1210"/>
      <c r="G2410" s="1210"/>
      <c r="H2410" s="1210"/>
      <c r="I2410" s="1210"/>
      <c r="J2410" s="1210"/>
      <c r="K2410" s="1210"/>
      <c r="L2410" s="1211"/>
      <c r="M2410" s="54"/>
      <c r="N2410" s="54"/>
      <c r="O2410" s="336"/>
      <c r="P2410" s="334"/>
      <c r="Q2410" s="335"/>
      <c r="R2410" s="336"/>
      <c r="S2410" s="337"/>
    </row>
    <row r="2411" spans="1:19" ht="30" customHeight="1" x14ac:dyDescent="0.25">
      <c r="A2411" s="1164" t="s">
        <v>308</v>
      </c>
      <c r="B2411" s="1164"/>
      <c r="C2411" s="1164"/>
      <c r="D2411" s="1230" t="s">
        <v>1485</v>
      </c>
      <c r="E2411" s="1231"/>
      <c r="F2411" s="1231"/>
      <c r="G2411" s="1231"/>
      <c r="H2411" s="1231"/>
      <c r="I2411" s="1231"/>
      <c r="J2411" s="1231"/>
      <c r="K2411" s="1231"/>
      <c r="L2411" s="1232"/>
      <c r="M2411" s="54"/>
      <c r="N2411" s="54"/>
      <c r="O2411" s="336"/>
      <c r="P2411" s="334"/>
      <c r="Q2411" s="335"/>
      <c r="R2411" s="336"/>
      <c r="S2411" s="337"/>
    </row>
    <row r="2412" spans="1:19" ht="30" customHeight="1" x14ac:dyDescent="0.25">
      <c r="A2412" s="1164" t="s">
        <v>310</v>
      </c>
      <c r="B2412" s="1164"/>
      <c r="C2412" s="1164"/>
      <c r="D2412" s="1230" t="s">
        <v>1486</v>
      </c>
      <c r="E2412" s="1231"/>
      <c r="F2412" s="1231"/>
      <c r="G2412" s="1231"/>
      <c r="H2412" s="1231"/>
      <c r="I2412" s="1231"/>
      <c r="J2412" s="1231"/>
      <c r="K2412" s="1231"/>
      <c r="L2412" s="1232"/>
      <c r="M2412" s="54"/>
      <c r="N2412" s="110"/>
      <c r="P2412" s="335"/>
      <c r="Q2412" s="336"/>
      <c r="R2412" s="337"/>
    </row>
    <row r="2413" spans="1:19" ht="30" customHeight="1" x14ac:dyDescent="0.25">
      <c r="A2413" s="1164" t="s">
        <v>312</v>
      </c>
      <c r="B2413" s="1164"/>
      <c r="C2413" s="1164"/>
      <c r="D2413" s="1230" t="s">
        <v>1487</v>
      </c>
      <c r="E2413" s="1231"/>
      <c r="F2413" s="1231"/>
      <c r="G2413" s="1231"/>
      <c r="H2413" s="1231"/>
      <c r="I2413" s="1231"/>
      <c r="J2413" s="1231"/>
      <c r="K2413" s="1231"/>
      <c r="L2413" s="1232"/>
      <c r="M2413" s="54"/>
      <c r="N2413" s="54"/>
      <c r="P2413" s="335"/>
      <c r="Q2413" s="336"/>
      <c r="R2413" s="337"/>
    </row>
    <row r="2414" spans="1:19" ht="30" customHeight="1" x14ac:dyDescent="0.25">
      <c r="A2414" s="1164" t="s">
        <v>314</v>
      </c>
      <c r="B2414" s="1164"/>
      <c r="C2414" s="1164"/>
      <c r="D2414" s="1230" t="s">
        <v>1488</v>
      </c>
      <c r="E2414" s="1231"/>
      <c r="F2414" s="1231"/>
      <c r="G2414" s="1231"/>
      <c r="H2414" s="1231"/>
      <c r="I2414" s="1231"/>
      <c r="J2414" s="1231"/>
      <c r="K2414" s="1231"/>
      <c r="L2414" s="1232"/>
      <c r="M2414" s="54"/>
      <c r="N2414" s="54"/>
      <c r="O2414" s="336"/>
      <c r="P2414" s="334"/>
      <c r="Q2414" s="335"/>
      <c r="R2414" s="336"/>
      <c r="S2414" s="337"/>
    </row>
    <row r="2415" spans="1:19" ht="60" customHeight="1" x14ac:dyDescent="0.25">
      <c r="A2415" s="1164" t="s">
        <v>316</v>
      </c>
      <c r="B2415" s="1164"/>
      <c r="C2415" s="1164"/>
      <c r="D2415" s="1230" t="s">
        <v>1489</v>
      </c>
      <c r="E2415" s="1231"/>
      <c r="F2415" s="1231"/>
      <c r="G2415" s="1231"/>
      <c r="H2415" s="1231"/>
      <c r="I2415" s="1231"/>
      <c r="J2415" s="1231"/>
      <c r="K2415" s="1231"/>
      <c r="L2415" s="1232"/>
      <c r="M2415" s="54"/>
      <c r="N2415" s="54"/>
      <c r="O2415" s="336"/>
      <c r="P2415" s="334"/>
      <c r="Q2415" s="335"/>
      <c r="R2415" s="336"/>
      <c r="S2415" s="337"/>
    </row>
    <row r="2416" spans="1:19" ht="30" customHeight="1" x14ac:dyDescent="0.25">
      <c r="A2416" s="1164" t="s">
        <v>318</v>
      </c>
      <c r="B2416" s="1164"/>
      <c r="C2416" s="1164"/>
      <c r="D2416" s="1230" t="s">
        <v>1490</v>
      </c>
      <c r="E2416" s="1231"/>
      <c r="F2416" s="1231"/>
      <c r="G2416" s="1231"/>
      <c r="H2416" s="1231"/>
      <c r="I2416" s="1231"/>
      <c r="J2416" s="1231"/>
      <c r="K2416" s="1231"/>
      <c r="L2416" s="1232"/>
      <c r="M2416" s="54"/>
      <c r="N2416" s="54"/>
      <c r="O2416" s="336"/>
      <c r="P2416" s="334"/>
      <c r="Q2416" s="335"/>
      <c r="R2416" s="336"/>
      <c r="S2416" s="337"/>
    </row>
    <row r="2417" spans="1:25" ht="30" customHeight="1" x14ac:dyDescent="0.25">
      <c r="A2417" s="1164" t="s">
        <v>320</v>
      </c>
      <c r="B2417" s="1164"/>
      <c r="C2417" s="1164"/>
      <c r="D2417" s="1230" t="s">
        <v>1491</v>
      </c>
      <c r="E2417" s="1231"/>
      <c r="F2417" s="1231"/>
      <c r="G2417" s="1231"/>
      <c r="H2417" s="1231"/>
      <c r="I2417" s="1231"/>
      <c r="J2417" s="1231"/>
      <c r="K2417" s="1231"/>
      <c r="L2417" s="1232"/>
      <c r="M2417" s="110"/>
      <c r="N2417" s="54"/>
      <c r="O2417" s="336"/>
      <c r="P2417" s="334"/>
      <c r="Q2417" s="335"/>
      <c r="R2417" s="336"/>
      <c r="S2417" s="337"/>
    </row>
    <row r="2418" spans="1:25" ht="75" customHeight="1" x14ac:dyDescent="0.25">
      <c r="A2418" s="1164" t="s">
        <v>322</v>
      </c>
      <c r="B2418" s="1164"/>
      <c r="C2418" s="1164"/>
      <c r="D2418" s="1230" t="s">
        <v>422</v>
      </c>
      <c r="E2418" s="1231"/>
      <c r="F2418" s="1231"/>
      <c r="G2418" s="1231"/>
      <c r="H2418" s="1231"/>
      <c r="I2418" s="1231"/>
      <c r="J2418" s="1231"/>
      <c r="K2418" s="1231"/>
      <c r="L2418" s="1232"/>
      <c r="M2418" s="54"/>
      <c r="N2418" s="54"/>
      <c r="O2418" s="336"/>
      <c r="P2418" s="334"/>
      <c r="Q2418" s="335"/>
      <c r="R2418" s="336"/>
      <c r="S2418" s="337"/>
    </row>
    <row r="2419" spans="1:25" ht="60" customHeight="1" thickBot="1" x14ac:dyDescent="0.3">
      <c r="A2419" s="1565" t="s">
        <v>350</v>
      </c>
      <c r="B2419" s="1565"/>
      <c r="C2419" s="1565"/>
      <c r="D2419" s="1291" t="s">
        <v>3411</v>
      </c>
      <c r="E2419" s="1292"/>
      <c r="F2419" s="1292"/>
      <c r="G2419" s="1292"/>
      <c r="H2419" s="1292"/>
      <c r="I2419" s="1292"/>
      <c r="J2419" s="1292"/>
      <c r="K2419" s="1292"/>
      <c r="L2419" s="1293"/>
      <c r="M2419" s="54"/>
      <c r="N2419" s="54"/>
      <c r="O2419" s="336"/>
      <c r="P2419" s="334"/>
      <c r="Q2419" s="335"/>
      <c r="R2419" s="336"/>
      <c r="S2419" s="337"/>
    </row>
    <row r="2420" spans="1:25" ht="30" customHeight="1" thickBot="1" x14ac:dyDescent="0.3">
      <c r="A2420" s="1180"/>
      <c r="B2420" s="1181"/>
      <c r="C2420" s="1181"/>
      <c r="D2420" s="1181"/>
      <c r="E2420" s="1181"/>
      <c r="F2420" s="1181"/>
      <c r="G2420" s="1181"/>
      <c r="H2420" s="1181"/>
      <c r="I2420" s="1181"/>
      <c r="J2420" s="1181"/>
      <c r="K2420" s="1181"/>
      <c r="L2420" s="1182"/>
      <c r="M2420" s="54"/>
      <c r="N2420" s="54"/>
      <c r="O2420" s="336"/>
      <c r="P2420" s="334"/>
      <c r="Q2420" s="335"/>
      <c r="R2420" s="336"/>
      <c r="S2420" s="337"/>
    </row>
    <row r="2421" spans="1:25" ht="30" customHeight="1" x14ac:dyDescent="0.25">
      <c r="A2421" s="327" t="s">
        <v>5</v>
      </c>
      <c r="B2421" s="328">
        <v>3181</v>
      </c>
      <c r="C2421" s="1251" t="s">
        <v>1492</v>
      </c>
      <c r="D2421" s="1252"/>
      <c r="E2421" s="331" t="s">
        <v>8</v>
      </c>
      <c r="F2421" s="332" t="s">
        <v>205</v>
      </c>
      <c r="G2421" s="342" t="s">
        <v>1493</v>
      </c>
      <c r="H2421" s="653">
        <v>10499</v>
      </c>
      <c r="I2421" s="331" t="s">
        <v>10</v>
      </c>
      <c r="J2421" s="1220" t="s">
        <v>3388</v>
      </c>
      <c r="K2421" s="1220"/>
      <c r="L2421" s="1221"/>
      <c r="M2421" s="54"/>
      <c r="N2421" s="54"/>
      <c r="O2421" s="336"/>
      <c r="P2421" s="334"/>
      <c r="Q2421" s="335"/>
      <c r="R2421" s="336"/>
      <c r="S2421" s="337"/>
    </row>
    <row r="2422" spans="1:25" ht="30" customHeight="1" x14ac:dyDescent="0.25">
      <c r="A2422" s="359" t="s">
        <v>295</v>
      </c>
      <c r="B2422" s="1222" t="s">
        <v>326</v>
      </c>
      <c r="C2422" s="1235"/>
      <c r="D2422" s="1223"/>
      <c r="E2422" s="577" t="s">
        <v>116</v>
      </c>
      <c r="F2422" s="577" t="s">
        <v>117</v>
      </c>
      <c r="G2422" s="1194" t="s">
        <v>118</v>
      </c>
      <c r="H2422" s="1195"/>
      <c r="I2422" s="812" t="s">
        <v>1449</v>
      </c>
      <c r="J2422" s="356" t="s">
        <v>296</v>
      </c>
      <c r="K2422" s="1236" t="s">
        <v>285</v>
      </c>
      <c r="L2422" s="1237"/>
      <c r="M2422" s="54"/>
      <c r="N2422" s="54"/>
      <c r="O2422" s="336"/>
      <c r="P2422" s="334"/>
      <c r="Q2422" s="335"/>
      <c r="R2422" s="336"/>
      <c r="S2422" s="337"/>
    </row>
    <row r="2423" spans="1:25" ht="30" customHeight="1" x14ac:dyDescent="0.25">
      <c r="A2423" s="365" t="s">
        <v>411</v>
      </c>
      <c r="B2423" s="1209" t="s">
        <v>1494</v>
      </c>
      <c r="C2423" s="1210"/>
      <c r="D2423" s="1211"/>
      <c r="E2423" s="247">
        <f>242-2.64</f>
        <v>239.36</v>
      </c>
      <c r="F2423" s="365" t="s">
        <v>205</v>
      </c>
      <c r="G2423" s="661"/>
      <c r="H2423" s="698"/>
      <c r="I2423" s="698"/>
      <c r="J2423" s="365">
        <v>1.01</v>
      </c>
      <c r="K2423" s="247">
        <f>+E2423*J2423</f>
        <v>241.75360000000001</v>
      </c>
      <c r="L2423" s="365" t="s">
        <v>205</v>
      </c>
      <c r="M2423" s="54"/>
      <c r="N2423" s="54"/>
      <c r="O2423" s="543"/>
      <c r="P2423" s="344"/>
      <c r="Q2423" s="345"/>
      <c r="R2423" s="345"/>
      <c r="S2423" s="345"/>
      <c r="T2423" s="345"/>
    </row>
    <row r="2424" spans="1:25" ht="30" customHeight="1" x14ac:dyDescent="0.25">
      <c r="A2424" s="365" t="s">
        <v>520</v>
      </c>
      <c r="B2424" s="1209" t="s">
        <v>1495</v>
      </c>
      <c r="C2424" s="1210"/>
      <c r="D2424" s="1211"/>
      <c r="E2424" s="11">
        <v>141000</v>
      </c>
      <c r="F2424" s="365" t="s">
        <v>76</v>
      </c>
      <c r="G2424" s="366">
        <f>+H2421</f>
        <v>10499</v>
      </c>
      <c r="H2424" s="662" t="s">
        <v>1269</v>
      </c>
      <c r="I2424" s="662"/>
      <c r="J2424" s="365">
        <v>1.02</v>
      </c>
      <c r="K2424" s="247">
        <f>+E2424/G2424*J2424*1</f>
        <v>13.698447471187732</v>
      </c>
      <c r="L2424" s="365" t="s">
        <v>205</v>
      </c>
      <c r="M2424" s="54"/>
      <c r="N2424" s="54"/>
      <c r="U2424" s="345"/>
    </row>
    <row r="2425" spans="1:25" ht="30" customHeight="1" x14ac:dyDescent="0.25">
      <c r="A2425" s="365" t="s">
        <v>520</v>
      </c>
      <c r="B2425" s="1209" t="s">
        <v>522</v>
      </c>
      <c r="C2425" s="1210"/>
      <c r="D2425" s="1211"/>
      <c r="E2425" s="246">
        <f>+(23.75+47.75)/2</f>
        <v>35.75</v>
      </c>
      <c r="F2425" s="661" t="s">
        <v>40</v>
      </c>
      <c r="G2425" s="366">
        <f>240/H2421</f>
        <v>2.2859319935231926E-2</v>
      </c>
      <c r="H2425" s="662" t="s">
        <v>1496</v>
      </c>
      <c r="I2425" s="662"/>
      <c r="J2425" s="365">
        <v>1.02</v>
      </c>
      <c r="K2425" s="247">
        <f>+E2425*G2425*J2425</f>
        <v>0.83356510143823226</v>
      </c>
      <c r="L2425" s="365" t="s">
        <v>205</v>
      </c>
      <c r="M2425" s="54"/>
      <c r="N2425" s="54"/>
    </row>
    <row r="2426" spans="1:25" ht="30" customHeight="1" x14ac:dyDescent="0.25">
      <c r="A2426" s="365" t="s">
        <v>520</v>
      </c>
      <c r="B2426" s="1209" t="s">
        <v>1497</v>
      </c>
      <c r="C2426" s="1210"/>
      <c r="D2426" s="1211"/>
      <c r="E2426" s="247">
        <f>(244+267)/2</f>
        <v>255.5</v>
      </c>
      <c r="F2426" s="661" t="s">
        <v>40</v>
      </c>
      <c r="G2426" s="366">
        <f>240/H2421</f>
        <v>2.2859319935231926E-2</v>
      </c>
      <c r="H2426" s="662" t="s">
        <v>1496</v>
      </c>
      <c r="I2426" s="662"/>
      <c r="J2426" s="365">
        <v>1.02</v>
      </c>
      <c r="K2426" s="247">
        <f>+E2426*G2426*J2426</f>
        <v>5.9573673683207922</v>
      </c>
      <c r="L2426" s="365" t="s">
        <v>205</v>
      </c>
      <c r="M2426" s="54"/>
      <c r="O2426" s="336"/>
      <c r="P2426" s="334"/>
      <c r="Q2426" s="335"/>
      <c r="R2426" s="336"/>
      <c r="S2426" s="337"/>
    </row>
    <row r="2427" spans="1:25" ht="30" customHeight="1" x14ac:dyDescent="0.25">
      <c r="A2427" s="365" t="s">
        <v>426</v>
      </c>
      <c r="B2427" s="1209" t="s">
        <v>1498</v>
      </c>
      <c r="C2427" s="1210"/>
      <c r="D2427" s="1211"/>
      <c r="E2427" s="247">
        <f>(20.3+31.5)/2</f>
        <v>25.9</v>
      </c>
      <c r="F2427" s="661" t="s">
        <v>205</v>
      </c>
      <c r="G2427" s="452">
        <v>81</v>
      </c>
      <c r="H2427" s="589" t="s">
        <v>1456</v>
      </c>
      <c r="I2427" s="170">
        <f t="shared" ref="I2427:I2432" si="48">+E2427*G2427/$H$2421</f>
        <v>0.1998190303838461</v>
      </c>
      <c r="J2427" s="365">
        <v>1.03</v>
      </c>
      <c r="K2427" s="247">
        <f t="shared" ref="K2427:K2432" si="49">+I2427*J2427</f>
        <v>0.2058136012953615</v>
      </c>
      <c r="L2427" s="365" t="s">
        <v>205</v>
      </c>
      <c r="M2427" s="110"/>
      <c r="N2427" s="54"/>
      <c r="V2427" s="345"/>
      <c r="W2427" s="345"/>
      <c r="X2427" s="345"/>
      <c r="Y2427" s="345"/>
    </row>
    <row r="2428" spans="1:25" s="345" customFormat="1" ht="30" customHeight="1" x14ac:dyDescent="0.25">
      <c r="A2428" s="365" t="s">
        <v>426</v>
      </c>
      <c r="B2428" s="1209" t="s">
        <v>1446</v>
      </c>
      <c r="C2428" s="1210"/>
      <c r="D2428" s="1211"/>
      <c r="E2428" s="247">
        <f>(1710+2420)/2</f>
        <v>2065</v>
      </c>
      <c r="F2428" s="661" t="s">
        <v>76</v>
      </c>
      <c r="G2428" s="452">
        <v>1</v>
      </c>
      <c r="H2428" s="589"/>
      <c r="I2428" s="170">
        <f t="shared" si="48"/>
        <v>0.19668539860939138</v>
      </c>
      <c r="J2428" s="365">
        <v>1.03</v>
      </c>
      <c r="K2428" s="247">
        <f t="shared" si="49"/>
        <v>0.20258596056767314</v>
      </c>
      <c r="L2428" s="365" t="s">
        <v>205</v>
      </c>
      <c r="M2428" s="54"/>
      <c r="N2428" s="54"/>
      <c r="O2428" s="334"/>
      <c r="P2428" s="340"/>
      <c r="Q2428" s="334"/>
      <c r="R2428" s="334"/>
      <c r="S2428" s="334"/>
      <c r="T2428" s="10"/>
      <c r="U2428" s="334"/>
      <c r="V2428" s="334"/>
      <c r="W2428" s="334"/>
      <c r="X2428" s="334"/>
      <c r="Y2428" s="334"/>
    </row>
    <row r="2429" spans="1:25" ht="30" customHeight="1" x14ac:dyDescent="0.25">
      <c r="A2429" s="365" t="s">
        <v>430</v>
      </c>
      <c r="B2429" s="1209" t="s">
        <v>1499</v>
      </c>
      <c r="C2429" s="1210"/>
      <c r="D2429" s="1211"/>
      <c r="E2429" s="247">
        <f>(34.5+82)/2</f>
        <v>58.25</v>
      </c>
      <c r="F2429" s="661" t="s">
        <v>40</v>
      </c>
      <c r="G2429" s="452">
        <v>10</v>
      </c>
      <c r="H2429" s="589"/>
      <c r="I2429" s="170">
        <f t="shared" si="48"/>
        <v>5.5481474426135824E-2</v>
      </c>
      <c r="J2429" s="365">
        <v>1.03</v>
      </c>
      <c r="K2429" s="247">
        <f t="shared" si="49"/>
        <v>5.7145918658919902E-2</v>
      </c>
      <c r="L2429" s="365" t="s">
        <v>205</v>
      </c>
      <c r="M2429" s="54"/>
      <c r="N2429" s="54"/>
      <c r="T2429" s="10"/>
      <c r="U2429" s="10"/>
    </row>
    <row r="2430" spans="1:25" ht="30" customHeight="1" x14ac:dyDescent="0.25">
      <c r="A2430" s="365" t="s">
        <v>430</v>
      </c>
      <c r="B2430" s="1209" t="s">
        <v>433</v>
      </c>
      <c r="C2430" s="1210"/>
      <c r="D2430" s="1211"/>
      <c r="E2430" s="247">
        <f>(6450+12300)/2</f>
        <v>9375</v>
      </c>
      <c r="F2430" s="661" t="s">
        <v>76</v>
      </c>
      <c r="G2430" s="452">
        <v>1</v>
      </c>
      <c r="H2430" s="589"/>
      <c r="I2430" s="170">
        <f t="shared" si="48"/>
        <v>0.89294218496999711</v>
      </c>
      <c r="J2430" s="365">
        <v>1.03</v>
      </c>
      <c r="K2430" s="247">
        <f t="shared" si="49"/>
        <v>0.91973045051909708</v>
      </c>
      <c r="L2430" s="365" t="s">
        <v>205</v>
      </c>
      <c r="M2430" s="54"/>
      <c r="N2430" s="54"/>
      <c r="O2430" s="543"/>
      <c r="P2430" s="344"/>
      <c r="Q2430" s="345"/>
      <c r="R2430" s="345"/>
      <c r="S2430" s="345"/>
      <c r="T2430" s="345"/>
      <c r="U2430" s="10"/>
    </row>
    <row r="2431" spans="1:25" ht="30" customHeight="1" x14ac:dyDescent="0.25">
      <c r="A2431" s="365" t="s">
        <v>430</v>
      </c>
      <c r="B2431" s="1209" t="s">
        <v>1500</v>
      </c>
      <c r="C2431" s="1210"/>
      <c r="D2431" s="1211"/>
      <c r="E2431" s="247">
        <f>(660+1010)/2</f>
        <v>835</v>
      </c>
      <c r="F2431" s="661" t="s">
        <v>76</v>
      </c>
      <c r="G2431" s="452">
        <v>1</v>
      </c>
      <c r="H2431" s="589"/>
      <c r="I2431" s="170">
        <f t="shared" si="48"/>
        <v>7.9531383941327749E-2</v>
      </c>
      <c r="J2431" s="365">
        <v>1.03</v>
      </c>
      <c r="K2431" s="247">
        <f t="shared" si="49"/>
        <v>8.1917325459567578E-2</v>
      </c>
      <c r="L2431" s="365" t="s">
        <v>205</v>
      </c>
      <c r="M2431" s="54"/>
      <c r="N2431" s="54"/>
      <c r="O2431" s="543"/>
      <c r="P2431" s="10"/>
      <c r="Q2431" s="345"/>
      <c r="R2431" s="345"/>
      <c r="S2431" s="345"/>
      <c r="T2431" s="345"/>
      <c r="U2431" s="345"/>
    </row>
    <row r="2432" spans="1:25" ht="30" customHeight="1" x14ac:dyDescent="0.25">
      <c r="A2432" s="365" t="s">
        <v>430</v>
      </c>
      <c r="B2432" s="1209" t="s">
        <v>435</v>
      </c>
      <c r="C2432" s="1210"/>
      <c r="D2432" s="1211"/>
      <c r="E2432" s="247">
        <f>+(1160+3475)/2</f>
        <v>2317.5</v>
      </c>
      <c r="F2432" s="661" t="s">
        <v>76</v>
      </c>
      <c r="G2432" s="452">
        <v>1</v>
      </c>
      <c r="H2432" s="589"/>
      <c r="I2432" s="170">
        <f t="shared" si="48"/>
        <v>0.22073530812458331</v>
      </c>
      <c r="J2432" s="365">
        <v>1.03</v>
      </c>
      <c r="K2432" s="247">
        <f t="shared" si="49"/>
        <v>0.22735736736832082</v>
      </c>
      <c r="L2432" s="365" t="s">
        <v>205</v>
      </c>
      <c r="M2432" s="54"/>
      <c r="N2432" s="111"/>
      <c r="O2432" s="543"/>
      <c r="P2432" s="344"/>
      <c r="Q2432" s="345"/>
      <c r="R2432" s="345"/>
      <c r="S2432" s="345"/>
      <c r="T2432" s="345"/>
      <c r="U2432" s="345"/>
    </row>
    <row r="2433" spans="1:25" ht="30" customHeight="1" x14ac:dyDescent="0.25">
      <c r="A2433" s="365" t="s">
        <v>406</v>
      </c>
      <c r="B2433" s="1214" t="s">
        <v>1501</v>
      </c>
      <c r="C2433" s="1215"/>
      <c r="D2433" s="1215"/>
      <c r="E2433" s="247">
        <v>3.34</v>
      </c>
      <c r="F2433" s="661" t="s">
        <v>205</v>
      </c>
      <c r="G2433" s="452"/>
      <c r="H2433" s="589"/>
      <c r="I2433" s="589"/>
      <c r="J2433" s="365">
        <v>1.01</v>
      </c>
      <c r="K2433" s="247">
        <f>+E2433*J2433</f>
        <v>3.3733999999999997</v>
      </c>
      <c r="L2433" s="365" t="s">
        <v>205</v>
      </c>
      <c r="M2433" s="54"/>
      <c r="N2433" s="54"/>
      <c r="U2433" s="345"/>
      <c r="V2433" s="345"/>
      <c r="W2433" s="345"/>
      <c r="X2433" s="345"/>
      <c r="Y2433" s="345"/>
    </row>
    <row r="2434" spans="1:25" s="345" customFormat="1" ht="30" customHeight="1" x14ac:dyDescent="0.25">
      <c r="A2434" s="365" t="s">
        <v>406</v>
      </c>
      <c r="B2434" s="1209" t="s">
        <v>1502</v>
      </c>
      <c r="C2434" s="1210"/>
      <c r="D2434" s="1211"/>
      <c r="E2434" s="247">
        <f>0.15*E2433</f>
        <v>0.501</v>
      </c>
      <c r="F2434" s="661" t="s">
        <v>205</v>
      </c>
      <c r="G2434" s="452"/>
      <c r="H2434" s="589"/>
      <c r="I2434" s="589"/>
      <c r="J2434" s="365">
        <v>1.01</v>
      </c>
      <c r="K2434" s="247">
        <f>+E2434*J2434</f>
        <v>0.50600999999999996</v>
      </c>
      <c r="L2434" s="365" t="s">
        <v>205</v>
      </c>
      <c r="M2434" s="54"/>
      <c r="N2434" s="54"/>
      <c r="O2434" s="334"/>
      <c r="P2434" s="340"/>
      <c r="Q2434" s="334"/>
      <c r="R2434" s="334"/>
      <c r="S2434" s="334"/>
      <c r="T2434" s="334"/>
      <c r="U2434" s="334"/>
      <c r="V2434" s="334"/>
      <c r="W2434" s="334"/>
      <c r="X2434" s="334"/>
      <c r="Y2434" s="334"/>
    </row>
    <row r="2435" spans="1:25" ht="30" customHeight="1" x14ac:dyDescent="0.25">
      <c r="A2435" s="365" t="s">
        <v>406</v>
      </c>
      <c r="B2435" s="1209" t="s">
        <v>1255</v>
      </c>
      <c r="C2435" s="1210"/>
      <c r="D2435" s="1211"/>
      <c r="E2435" s="246">
        <f xml:space="preserve"> 0.58+((1.15+1.71)/2)</f>
        <v>2.0099999999999998</v>
      </c>
      <c r="F2435" s="661" t="s">
        <v>205</v>
      </c>
      <c r="G2435" s="452"/>
      <c r="H2435" s="589"/>
      <c r="I2435" s="589"/>
      <c r="J2435" s="365">
        <v>1.01</v>
      </c>
      <c r="K2435" s="247">
        <f>+E2435*J2435</f>
        <v>2.0301</v>
      </c>
      <c r="L2435" s="365" t="s">
        <v>205</v>
      </c>
      <c r="M2435" s="54"/>
      <c r="N2435" s="54"/>
      <c r="V2435" s="345"/>
      <c r="W2435" s="345"/>
      <c r="X2435" s="345"/>
      <c r="Y2435" s="345"/>
    </row>
    <row r="2436" spans="1:25" s="345" customFormat="1" ht="30" customHeight="1" x14ac:dyDescent="0.25">
      <c r="A2436" s="365"/>
      <c r="B2436" s="1281"/>
      <c r="C2436" s="1281"/>
      <c r="D2436" s="1281"/>
      <c r="E2436" s="247"/>
      <c r="F2436" s="365"/>
      <c r="G2436" s="366"/>
      <c r="H2436" s="662"/>
      <c r="I2436" s="662"/>
      <c r="J2436" s="365" t="s">
        <v>343</v>
      </c>
      <c r="K2436" s="247">
        <f>SUM(K2423:K2435)</f>
        <v>269.8470405648157</v>
      </c>
      <c r="L2436" s="365" t="s">
        <v>205</v>
      </c>
      <c r="M2436" s="54"/>
      <c r="N2436" s="54"/>
      <c r="O2436" s="334"/>
      <c r="P2436" s="340"/>
      <c r="Q2436" s="334"/>
      <c r="R2436" s="334"/>
      <c r="S2436" s="334"/>
      <c r="T2436" s="10"/>
      <c r="U2436" s="334"/>
    </row>
    <row r="2437" spans="1:25" s="345" customFormat="1" ht="30" customHeight="1" x14ac:dyDescent="0.25">
      <c r="A2437" s="365"/>
      <c r="B2437" s="578"/>
      <c r="C2437" s="578"/>
      <c r="D2437" s="578"/>
      <c r="E2437" s="578"/>
      <c r="F2437" s="1272" t="s">
        <v>303</v>
      </c>
      <c r="G2437" s="1283" t="s">
        <v>304</v>
      </c>
      <c r="H2437" s="1283"/>
      <c r="I2437" s="1283"/>
      <c r="J2437" s="1283"/>
      <c r="K2437" s="250">
        <v>1.0900000000000001</v>
      </c>
      <c r="L2437" s="365"/>
      <c r="M2437" s="54"/>
      <c r="N2437" s="54"/>
      <c r="O2437" s="334"/>
      <c r="P2437" s="340"/>
      <c r="Q2437" s="334"/>
      <c r="R2437" s="334"/>
      <c r="S2437" s="334"/>
      <c r="T2437" s="10"/>
      <c r="U2437" s="10"/>
      <c r="V2437" s="334"/>
      <c r="W2437" s="334"/>
      <c r="X2437" s="334"/>
      <c r="Y2437" s="334"/>
    </row>
    <row r="2438" spans="1:25" ht="30" customHeight="1" x14ac:dyDescent="0.25">
      <c r="A2438" s="365"/>
      <c r="B2438" s="578"/>
      <c r="C2438" s="578"/>
      <c r="D2438" s="578"/>
      <c r="E2438" s="578"/>
      <c r="F2438" s="1273"/>
      <c r="G2438" s="1284" t="s">
        <v>438</v>
      </c>
      <c r="H2438" s="1284"/>
      <c r="I2438" s="1284"/>
      <c r="J2438" s="1284"/>
      <c r="K2438" s="250">
        <v>1.08</v>
      </c>
      <c r="L2438" s="365"/>
      <c r="M2438" s="54"/>
      <c r="N2438" s="111"/>
      <c r="O2438" s="543"/>
      <c r="P2438" s="344"/>
      <c r="Q2438" s="345"/>
      <c r="R2438" s="345"/>
      <c r="S2438" s="345"/>
      <c r="T2438" s="345"/>
      <c r="U2438" s="10"/>
    </row>
    <row r="2439" spans="1:25" ht="30" customHeight="1" x14ac:dyDescent="0.25">
      <c r="A2439" s="365"/>
      <c r="B2439" s="365"/>
      <c r="C2439" s="366"/>
      <c r="D2439" s="366"/>
      <c r="E2439" s="366"/>
      <c r="F2439" s="366"/>
      <c r="G2439" s="366"/>
      <c r="H2439" s="366"/>
      <c r="I2439" s="366"/>
      <c r="J2439" s="365" t="s">
        <v>72</v>
      </c>
      <c r="K2439" s="246">
        <f>+K2436*K2437/K2438</f>
        <v>272.34562427374919</v>
      </c>
      <c r="L2439" s="365" t="s">
        <v>205</v>
      </c>
      <c r="M2439" s="54"/>
      <c r="N2439" s="54"/>
      <c r="O2439" s="543"/>
      <c r="P2439" s="10"/>
      <c r="Q2439" s="345"/>
      <c r="R2439" s="345"/>
      <c r="S2439" s="345"/>
      <c r="T2439" s="345"/>
      <c r="U2439" s="345"/>
    </row>
    <row r="2440" spans="1:25" ht="30" customHeight="1" x14ac:dyDescent="0.25">
      <c r="A2440" s="365"/>
      <c r="B2440" s="365"/>
      <c r="C2440" s="366"/>
      <c r="D2440" s="366"/>
      <c r="E2440" s="366"/>
      <c r="G2440" s="366"/>
      <c r="H2440" s="366"/>
      <c r="I2440" s="553" t="s">
        <v>414</v>
      </c>
      <c r="J2440" s="521">
        <f>VLOOKUP(B2421,'Mil Cost Premiums for PUCs'!$A$4:$R$277,18,FALSE)</f>
        <v>1.2969309498325658</v>
      </c>
      <c r="K2440" s="246">
        <f>+K2439*J2440</f>
        <v>353.21346917209667</v>
      </c>
      <c r="L2440" s="365" t="s">
        <v>205</v>
      </c>
      <c r="M2440" s="54"/>
      <c r="N2440" s="54"/>
      <c r="O2440" s="70"/>
      <c r="P2440" s="344"/>
      <c r="Q2440" s="345"/>
      <c r="R2440" s="345"/>
      <c r="S2440" s="345"/>
      <c r="T2440" s="345"/>
      <c r="U2440" s="345"/>
    </row>
    <row r="2441" spans="1:25" ht="30" customHeight="1" x14ac:dyDescent="0.25">
      <c r="A2441" s="835"/>
      <c r="B2441" s="835"/>
      <c r="C2441" s="840"/>
      <c r="D2441" s="840"/>
      <c r="E2441" s="850"/>
      <c r="F2441" s="1278" t="s">
        <v>1148</v>
      </c>
      <c r="G2441" s="1278"/>
      <c r="H2441" s="1278"/>
      <c r="I2441" s="1278"/>
      <c r="J2441" s="845">
        <v>1.0833999999999999</v>
      </c>
      <c r="K2441" s="544">
        <f>K2440*J2441</f>
        <v>382.67147250104949</v>
      </c>
      <c r="L2441" s="369" t="s">
        <v>205</v>
      </c>
      <c r="N2441" s="54"/>
      <c r="O2441" s="544"/>
      <c r="U2441" s="345"/>
      <c r="V2441" s="345"/>
      <c r="W2441" s="345"/>
      <c r="X2441" s="345"/>
      <c r="Y2441" s="345"/>
    </row>
    <row r="2442" spans="1:25" s="345" customFormat="1" ht="75" customHeight="1" x14ac:dyDescent="0.25">
      <c r="A2442" s="1230" t="s">
        <v>1503</v>
      </c>
      <c r="B2442" s="1231"/>
      <c r="C2442" s="1231"/>
      <c r="D2442" s="1231"/>
      <c r="E2442" s="1231"/>
      <c r="F2442" s="1231"/>
      <c r="G2442" s="1231"/>
      <c r="H2442" s="1231"/>
      <c r="I2442" s="1231"/>
      <c r="J2442" s="1231"/>
      <c r="K2442" s="1231"/>
      <c r="L2442" s="1232"/>
      <c r="M2442" s="54"/>
      <c r="N2442" s="110"/>
      <c r="O2442" s="344"/>
      <c r="P2442" s="340"/>
      <c r="Q2442" s="334"/>
      <c r="R2442" s="334"/>
      <c r="S2442" s="334"/>
      <c r="T2442" s="334"/>
      <c r="U2442" s="334"/>
      <c r="V2442" s="334"/>
      <c r="W2442" s="334"/>
      <c r="X2442" s="334"/>
      <c r="Y2442" s="334"/>
    </row>
    <row r="2443" spans="1:25" ht="30" customHeight="1" x14ac:dyDescent="0.25">
      <c r="A2443" s="1268" t="s">
        <v>308</v>
      </c>
      <c r="B2443" s="1167"/>
      <c r="C2443" s="1168"/>
      <c r="D2443" s="1230" t="s">
        <v>1460</v>
      </c>
      <c r="E2443" s="1231"/>
      <c r="F2443" s="1231"/>
      <c r="G2443" s="1231"/>
      <c r="H2443" s="1231"/>
      <c r="I2443" s="1231"/>
      <c r="J2443" s="1231"/>
      <c r="K2443" s="1231"/>
      <c r="L2443" s="1232"/>
      <c r="M2443" s="54"/>
      <c r="N2443" s="54"/>
      <c r="O2443" s="344"/>
      <c r="V2443" s="345"/>
      <c r="W2443" s="345"/>
      <c r="X2443" s="345"/>
      <c r="Y2443" s="345"/>
    </row>
    <row r="2444" spans="1:25" s="345" customFormat="1" ht="45" customHeight="1" x14ac:dyDescent="0.25">
      <c r="A2444" s="1268" t="s">
        <v>310</v>
      </c>
      <c r="B2444" s="1167"/>
      <c r="C2444" s="1168"/>
      <c r="D2444" s="1230" t="s">
        <v>1504</v>
      </c>
      <c r="E2444" s="1231"/>
      <c r="F2444" s="1231"/>
      <c r="G2444" s="1231"/>
      <c r="H2444" s="1231"/>
      <c r="I2444" s="1231"/>
      <c r="J2444" s="1231"/>
      <c r="K2444" s="1231"/>
      <c r="L2444" s="1232"/>
      <c r="M2444" s="54"/>
      <c r="N2444" s="54"/>
      <c r="O2444" s="344"/>
      <c r="P2444" s="340"/>
      <c r="Q2444" s="334"/>
      <c r="R2444" s="334"/>
      <c r="S2444" s="334"/>
      <c r="T2444" s="334"/>
      <c r="U2444" s="334"/>
    </row>
    <row r="2445" spans="1:25" s="345" customFormat="1" ht="30" customHeight="1" x14ac:dyDescent="0.25">
      <c r="A2445" s="1268" t="s">
        <v>312</v>
      </c>
      <c r="B2445" s="1167"/>
      <c r="C2445" s="1168"/>
      <c r="D2445" s="1230" t="s">
        <v>1505</v>
      </c>
      <c r="E2445" s="1231"/>
      <c r="F2445" s="1231"/>
      <c r="G2445" s="1231"/>
      <c r="H2445" s="1231"/>
      <c r="I2445" s="1231"/>
      <c r="J2445" s="1231"/>
      <c r="K2445" s="1231"/>
      <c r="L2445" s="1232"/>
      <c r="M2445" s="54"/>
      <c r="N2445" s="54"/>
      <c r="O2445" s="344"/>
      <c r="P2445" s="340"/>
      <c r="Q2445" s="334"/>
      <c r="R2445" s="334"/>
      <c r="S2445" s="334"/>
      <c r="T2445" s="10"/>
      <c r="U2445" s="334"/>
    </row>
    <row r="2446" spans="1:25" s="345" customFormat="1" ht="45" customHeight="1" x14ac:dyDescent="0.25">
      <c r="A2446" s="1268" t="s">
        <v>314</v>
      </c>
      <c r="B2446" s="1167"/>
      <c r="C2446" s="1168"/>
      <c r="D2446" s="1230" t="s">
        <v>1506</v>
      </c>
      <c r="E2446" s="1231"/>
      <c r="F2446" s="1231"/>
      <c r="G2446" s="1231"/>
      <c r="H2446" s="1231"/>
      <c r="I2446" s="1231"/>
      <c r="J2446" s="1231"/>
      <c r="K2446" s="1231"/>
      <c r="L2446" s="1232"/>
      <c r="M2446" s="54"/>
      <c r="N2446" s="111"/>
      <c r="O2446" s="334"/>
      <c r="P2446" s="340"/>
      <c r="Q2446" s="334"/>
      <c r="R2446" s="334"/>
      <c r="S2446" s="334"/>
      <c r="T2446" s="10"/>
      <c r="U2446" s="10"/>
      <c r="V2446" s="334"/>
      <c r="W2446" s="334"/>
      <c r="X2446" s="334"/>
      <c r="Y2446" s="334"/>
    </row>
    <row r="2447" spans="1:25" ht="90" customHeight="1" x14ac:dyDescent="0.25">
      <c r="A2447" s="1268" t="s">
        <v>316</v>
      </c>
      <c r="B2447" s="1167"/>
      <c r="C2447" s="1168"/>
      <c r="D2447" s="1230" t="s">
        <v>1507</v>
      </c>
      <c r="E2447" s="1231"/>
      <c r="F2447" s="1231"/>
      <c r="G2447" s="1231"/>
      <c r="H2447" s="1231"/>
      <c r="I2447" s="1231"/>
      <c r="J2447" s="1231"/>
      <c r="K2447" s="1231"/>
      <c r="L2447" s="1232"/>
      <c r="M2447" s="111"/>
      <c r="N2447" s="54"/>
      <c r="P2447" s="334"/>
      <c r="U2447" s="10"/>
    </row>
    <row r="2448" spans="1:25" ht="30" customHeight="1" x14ac:dyDescent="0.25">
      <c r="A2448" s="1268" t="s">
        <v>318</v>
      </c>
      <c r="B2448" s="1167"/>
      <c r="C2448" s="1168"/>
      <c r="D2448" s="1230" t="s">
        <v>1508</v>
      </c>
      <c r="E2448" s="1231"/>
      <c r="F2448" s="1231"/>
      <c r="G2448" s="1231"/>
      <c r="H2448" s="1231"/>
      <c r="I2448" s="1231"/>
      <c r="J2448" s="1231"/>
      <c r="K2448" s="1231"/>
      <c r="L2448" s="1232"/>
      <c r="M2448" s="54"/>
      <c r="N2448" s="54"/>
      <c r="P2448" s="334"/>
    </row>
    <row r="2449" spans="1:23" ht="30" customHeight="1" x14ac:dyDescent="0.25">
      <c r="A2449" s="1268" t="s">
        <v>320</v>
      </c>
      <c r="B2449" s="1167"/>
      <c r="C2449" s="1168"/>
      <c r="D2449" s="1230" t="s">
        <v>1398</v>
      </c>
      <c r="E2449" s="1231"/>
      <c r="F2449" s="1231"/>
      <c r="G2449" s="1231"/>
      <c r="H2449" s="1231"/>
      <c r="I2449" s="1231"/>
      <c r="J2449" s="1231"/>
      <c r="K2449" s="1231"/>
      <c r="L2449" s="1232"/>
      <c r="M2449" s="54"/>
      <c r="N2449" s="54"/>
      <c r="P2449" s="334"/>
    </row>
    <row r="2450" spans="1:23" ht="75" customHeight="1" x14ac:dyDescent="0.25">
      <c r="A2450" s="1268" t="s">
        <v>322</v>
      </c>
      <c r="B2450" s="1167"/>
      <c r="C2450" s="1168"/>
      <c r="D2450" s="1230" t="s">
        <v>422</v>
      </c>
      <c r="E2450" s="1231"/>
      <c r="F2450" s="1231"/>
      <c r="G2450" s="1231"/>
      <c r="H2450" s="1231"/>
      <c r="I2450" s="1231"/>
      <c r="J2450" s="1231"/>
      <c r="K2450" s="1231"/>
      <c r="L2450" s="1232"/>
      <c r="M2450" s="54"/>
      <c r="N2450" s="54"/>
      <c r="P2450" s="334"/>
    </row>
    <row r="2451" spans="1:23" ht="45" customHeight="1" thickBot="1" x14ac:dyDescent="0.3">
      <c r="A2451" s="1265" t="s">
        <v>350</v>
      </c>
      <c r="B2451" s="1266"/>
      <c r="C2451" s="1267"/>
      <c r="D2451" s="1291" t="s">
        <v>3412</v>
      </c>
      <c r="E2451" s="1292"/>
      <c r="F2451" s="1292"/>
      <c r="G2451" s="1292"/>
      <c r="H2451" s="1292"/>
      <c r="I2451" s="1292"/>
      <c r="J2451" s="1292"/>
      <c r="K2451" s="1292"/>
      <c r="L2451" s="1293"/>
      <c r="M2451" s="54"/>
      <c r="N2451" s="54"/>
      <c r="P2451" s="334"/>
    </row>
    <row r="2452" spans="1:23" ht="30" customHeight="1" thickBot="1" x14ac:dyDescent="0.3">
      <c r="A2452" s="1180"/>
      <c r="B2452" s="1181"/>
      <c r="C2452" s="1181"/>
      <c r="D2452" s="1181"/>
      <c r="E2452" s="1181"/>
      <c r="F2452" s="1181"/>
      <c r="G2452" s="1181"/>
      <c r="H2452" s="1181"/>
      <c r="I2452" s="1181"/>
      <c r="J2452" s="1181"/>
      <c r="K2452" s="1181"/>
      <c r="L2452" s="1182"/>
      <c r="M2452" s="54"/>
      <c r="N2452" s="54"/>
      <c r="P2452" s="334"/>
    </row>
    <row r="2453" spans="1:23" ht="30" customHeight="1" x14ac:dyDescent="0.25">
      <c r="A2453" s="327" t="s">
        <v>5</v>
      </c>
      <c r="B2453" s="328">
        <v>3191</v>
      </c>
      <c r="C2453" s="1406" t="s">
        <v>1509</v>
      </c>
      <c r="D2453" s="1406"/>
      <c r="E2453" s="331" t="s">
        <v>8</v>
      </c>
      <c r="F2453" s="332" t="s">
        <v>205</v>
      </c>
      <c r="G2453" s="342" t="s">
        <v>74</v>
      </c>
      <c r="H2453" s="820">
        <v>8689</v>
      </c>
      <c r="I2453" s="331" t="s">
        <v>10</v>
      </c>
      <c r="J2453" s="1220" t="s">
        <v>3388</v>
      </c>
      <c r="K2453" s="1220"/>
      <c r="L2453" s="1221"/>
      <c r="M2453" s="54"/>
      <c r="N2453" s="54"/>
      <c r="P2453" s="334"/>
    </row>
    <row r="2454" spans="1:23" ht="30" customHeight="1" x14ac:dyDescent="0.25">
      <c r="A2454" s="359" t="s">
        <v>295</v>
      </c>
      <c r="B2454" s="1222" t="s">
        <v>326</v>
      </c>
      <c r="C2454" s="1235"/>
      <c r="D2454" s="1223"/>
      <c r="E2454" s="577" t="s">
        <v>116</v>
      </c>
      <c r="F2454" s="577" t="s">
        <v>117</v>
      </c>
      <c r="G2454" s="1236" t="s">
        <v>118</v>
      </c>
      <c r="H2454" s="1237"/>
      <c r="I2454" s="812" t="s">
        <v>1134</v>
      </c>
      <c r="J2454" s="356" t="s">
        <v>296</v>
      </c>
      <c r="K2454" s="1236" t="s">
        <v>285</v>
      </c>
      <c r="L2454" s="1237"/>
      <c r="M2454" s="54"/>
      <c r="N2454" s="54"/>
      <c r="P2454" s="334"/>
    </row>
    <row r="2455" spans="1:23" ht="45" customHeight="1" x14ac:dyDescent="0.25">
      <c r="A2455" s="365" t="s">
        <v>1104</v>
      </c>
      <c r="B2455" s="1209" t="s">
        <v>1510</v>
      </c>
      <c r="C2455" s="1210"/>
      <c r="D2455" s="1211"/>
      <c r="E2455" s="272">
        <f>97.5-2.64</f>
        <v>94.86</v>
      </c>
      <c r="F2455" s="365" t="s">
        <v>205</v>
      </c>
      <c r="G2455" s="689"/>
      <c r="H2455" s="690"/>
      <c r="I2455" s="67">
        <f>+E2455</f>
        <v>94.86</v>
      </c>
      <c r="J2455" s="365">
        <v>1.01</v>
      </c>
      <c r="K2455" s="124">
        <f t="shared" ref="K2455:K2465" si="50">+I2455*J2455</f>
        <v>95.808599999999998</v>
      </c>
      <c r="L2455" s="365" t="s">
        <v>205</v>
      </c>
      <c r="M2455" s="54"/>
      <c r="N2455" s="111"/>
      <c r="O2455" s="543"/>
      <c r="P2455" s="344"/>
      <c r="Q2455" s="345"/>
      <c r="R2455" s="345"/>
      <c r="S2455" s="345"/>
      <c r="T2455" s="345"/>
    </row>
    <row r="2456" spans="1:23" ht="30" customHeight="1" x14ac:dyDescent="0.25">
      <c r="A2456" s="365" t="s">
        <v>406</v>
      </c>
      <c r="B2456" s="1209" t="s">
        <v>413</v>
      </c>
      <c r="C2456" s="1210"/>
      <c r="D2456" s="1211"/>
      <c r="E2456" s="68">
        <v>4.38</v>
      </c>
      <c r="F2456" s="365" t="s">
        <v>205</v>
      </c>
      <c r="G2456" s="452"/>
      <c r="H2456" s="589"/>
      <c r="I2456" s="173">
        <f>+E2456</f>
        <v>4.38</v>
      </c>
      <c r="J2456" s="365">
        <v>1.01</v>
      </c>
      <c r="K2456" s="272">
        <f t="shared" si="50"/>
        <v>4.4238</v>
      </c>
      <c r="L2456" s="365" t="s">
        <v>205</v>
      </c>
      <c r="M2456" s="54"/>
      <c r="O2456" s="336"/>
      <c r="P2456" s="334"/>
      <c r="Q2456" s="335"/>
      <c r="R2456" s="336"/>
      <c r="S2456" s="337"/>
    </row>
    <row r="2457" spans="1:23" ht="30" customHeight="1" x14ac:dyDescent="0.25">
      <c r="A2457" s="365" t="s">
        <v>520</v>
      </c>
      <c r="B2457" s="1209" t="s">
        <v>1511</v>
      </c>
      <c r="C2457" s="1210"/>
      <c r="D2457" s="1211"/>
      <c r="E2457" s="272">
        <v>141000</v>
      </c>
      <c r="F2457" s="661" t="s">
        <v>76</v>
      </c>
      <c r="G2457" s="174">
        <f>+E2457/H2453</f>
        <v>16.227413971688343</v>
      </c>
      <c r="H2457" s="589" t="s">
        <v>1140</v>
      </c>
      <c r="I2457" s="173">
        <f>+G2457</f>
        <v>16.227413971688343</v>
      </c>
      <c r="J2457" s="365">
        <v>1.02</v>
      </c>
      <c r="K2457" s="272">
        <f t="shared" si="50"/>
        <v>16.551962251122109</v>
      </c>
      <c r="L2457" s="365" t="s">
        <v>205</v>
      </c>
      <c r="M2457" s="110"/>
      <c r="N2457" s="54"/>
      <c r="U2457" s="345"/>
    </row>
    <row r="2458" spans="1:23" ht="30" customHeight="1" x14ac:dyDescent="0.25">
      <c r="A2458" s="365" t="s">
        <v>520</v>
      </c>
      <c r="B2458" s="1209" t="s">
        <v>1512</v>
      </c>
      <c r="C2458" s="1210"/>
      <c r="D2458" s="1211"/>
      <c r="E2458" s="272">
        <f>+(244+267)/2</f>
        <v>255.5</v>
      </c>
      <c r="F2458" s="661" t="s">
        <v>40</v>
      </c>
      <c r="G2458" s="174">
        <f>200*E2458/H2453</f>
        <v>5.8809989642076186</v>
      </c>
      <c r="H2458" s="589" t="s">
        <v>1140</v>
      </c>
      <c r="I2458" s="173">
        <f>+G2458</f>
        <v>5.8809989642076186</v>
      </c>
      <c r="J2458" s="365">
        <v>1.02</v>
      </c>
      <c r="K2458" s="272">
        <f t="shared" si="50"/>
        <v>5.9986189434917714</v>
      </c>
      <c r="L2458" s="365" t="s">
        <v>205</v>
      </c>
      <c r="M2458" s="54"/>
      <c r="N2458" s="54"/>
      <c r="O2458" s="340"/>
      <c r="T2458" s="10"/>
    </row>
    <row r="2459" spans="1:23" ht="30" customHeight="1" x14ac:dyDescent="0.25">
      <c r="A2459" s="365" t="s">
        <v>520</v>
      </c>
      <c r="B2459" s="1209" t="s">
        <v>1358</v>
      </c>
      <c r="C2459" s="1210"/>
      <c r="D2459" s="1211"/>
      <c r="E2459" s="272">
        <f>(23.75+47.75)/2</f>
        <v>35.75</v>
      </c>
      <c r="F2459" s="661" t="s">
        <v>40</v>
      </c>
      <c r="G2459" s="174">
        <f>230*E2459/H2453</f>
        <v>0.94631142824260561</v>
      </c>
      <c r="H2459" s="589" t="s">
        <v>1140</v>
      </c>
      <c r="I2459" s="173">
        <f>+G2459</f>
        <v>0.94631142824260561</v>
      </c>
      <c r="J2459" s="365">
        <v>1.02</v>
      </c>
      <c r="K2459" s="272">
        <f t="shared" si="50"/>
        <v>0.96523765680745777</v>
      </c>
      <c r="L2459" s="365" t="s">
        <v>205</v>
      </c>
      <c r="M2459" s="54"/>
      <c r="N2459" s="54"/>
      <c r="T2459" s="60"/>
      <c r="U2459" s="10"/>
    </row>
    <row r="2460" spans="1:23" ht="30" customHeight="1" x14ac:dyDescent="0.25">
      <c r="A2460" s="365" t="s">
        <v>426</v>
      </c>
      <c r="B2460" s="1209" t="s">
        <v>1483</v>
      </c>
      <c r="C2460" s="1210"/>
      <c r="D2460" s="1211"/>
      <c r="E2460" s="272">
        <f>(20.3+31.5)/2</f>
        <v>25.9</v>
      </c>
      <c r="F2460" s="661" t="s">
        <v>205</v>
      </c>
      <c r="G2460" s="863">
        <f>81*E2460</f>
        <v>2097.9</v>
      </c>
      <c r="H2460" s="589"/>
      <c r="I2460" s="173">
        <f>+G2460/H2453</f>
        <v>0.24144320405109909</v>
      </c>
      <c r="J2460" s="365">
        <v>1.03</v>
      </c>
      <c r="K2460" s="272">
        <f t="shared" si="50"/>
        <v>0.24868650017263208</v>
      </c>
      <c r="L2460" s="365" t="s">
        <v>205</v>
      </c>
      <c r="M2460" s="54"/>
      <c r="N2460" s="54"/>
      <c r="O2460" s="336"/>
      <c r="U2460" s="60"/>
    </row>
    <row r="2461" spans="1:23" ht="30" customHeight="1" x14ac:dyDescent="0.25">
      <c r="A2461" s="365" t="s">
        <v>426</v>
      </c>
      <c r="B2461" s="1209" t="s">
        <v>429</v>
      </c>
      <c r="C2461" s="1210"/>
      <c r="D2461" s="1211"/>
      <c r="E2461" s="272">
        <f>(1710+2420)/2</f>
        <v>2065</v>
      </c>
      <c r="F2461" s="661"/>
      <c r="G2461" s="174">
        <f>+E2461</f>
        <v>2065</v>
      </c>
      <c r="H2461" s="589"/>
      <c r="I2461" s="173">
        <f>+G2461/H2453</f>
        <v>0.23765680745770515</v>
      </c>
      <c r="J2461" s="365">
        <v>1.03</v>
      </c>
      <c r="K2461" s="272">
        <f t="shared" si="50"/>
        <v>0.24478651168143631</v>
      </c>
      <c r="L2461" s="365" t="s">
        <v>205</v>
      </c>
      <c r="M2461" s="111"/>
      <c r="N2461" s="54"/>
      <c r="T2461" s="10"/>
      <c r="V2461" s="10"/>
      <c r="W2461" s="10"/>
    </row>
    <row r="2462" spans="1:23" ht="30" customHeight="1" x14ac:dyDescent="0.25">
      <c r="A2462" s="365" t="s">
        <v>430</v>
      </c>
      <c r="B2462" s="1209" t="s">
        <v>1513</v>
      </c>
      <c r="C2462" s="1210"/>
      <c r="D2462" s="1211"/>
      <c r="E2462" s="247">
        <f>(34.5+82)/2</f>
        <v>58.25</v>
      </c>
      <c r="F2462" s="661" t="s">
        <v>40</v>
      </c>
      <c r="G2462" s="452">
        <v>10</v>
      </c>
      <c r="H2462" s="589" t="s">
        <v>1329</v>
      </c>
      <c r="I2462" s="173">
        <f>+E2462*G2462/H2453</f>
        <v>6.7038784670272758E-2</v>
      </c>
      <c r="J2462" s="365">
        <v>1.03</v>
      </c>
      <c r="K2462" s="272">
        <f t="shared" si="50"/>
        <v>6.9049948210380949E-2</v>
      </c>
      <c r="L2462" s="365" t="s">
        <v>205</v>
      </c>
      <c r="M2462" s="54"/>
      <c r="N2462" s="54"/>
      <c r="O2462" s="373"/>
      <c r="T2462" s="10"/>
      <c r="U2462" s="10"/>
    </row>
    <row r="2463" spans="1:23" ht="30" customHeight="1" x14ac:dyDescent="0.25">
      <c r="A2463" s="365" t="s">
        <v>430</v>
      </c>
      <c r="B2463" s="1209" t="s">
        <v>1514</v>
      </c>
      <c r="C2463" s="1210"/>
      <c r="D2463" s="1211"/>
      <c r="E2463" s="247">
        <f>(6450+12300)/2</f>
        <v>9375</v>
      </c>
      <c r="F2463" s="661" t="s">
        <v>76</v>
      </c>
      <c r="G2463" s="452">
        <v>1</v>
      </c>
      <c r="H2463" s="589" t="s">
        <v>1140</v>
      </c>
      <c r="I2463" s="173">
        <f>+E2463/H2453</f>
        <v>1.0789503970537462</v>
      </c>
      <c r="J2463" s="365">
        <v>1.03</v>
      </c>
      <c r="K2463" s="272">
        <f t="shared" si="50"/>
        <v>1.1113189089653586</v>
      </c>
      <c r="L2463" s="365" t="s">
        <v>205</v>
      </c>
      <c r="M2463" s="54"/>
      <c r="N2463" s="54"/>
      <c r="O2463" s="373"/>
      <c r="T2463" s="10"/>
      <c r="U2463" s="10"/>
    </row>
    <row r="2464" spans="1:23" ht="30" customHeight="1" x14ac:dyDescent="0.25">
      <c r="A2464" s="365" t="s">
        <v>430</v>
      </c>
      <c r="B2464" s="1209" t="s">
        <v>1515</v>
      </c>
      <c r="C2464" s="1210"/>
      <c r="D2464" s="1211"/>
      <c r="E2464" s="247">
        <f>(660+1010)/2</f>
        <v>835</v>
      </c>
      <c r="F2464" s="661" t="s">
        <v>76</v>
      </c>
      <c r="G2464" s="452">
        <v>1</v>
      </c>
      <c r="H2464" s="589" t="s">
        <v>1140</v>
      </c>
      <c r="I2464" s="173">
        <f>+E2464/H2453</f>
        <v>9.609851536425365E-2</v>
      </c>
      <c r="J2464" s="365">
        <v>1.03</v>
      </c>
      <c r="K2464" s="272">
        <f t="shared" si="50"/>
        <v>9.8981470825181259E-2</v>
      </c>
      <c r="L2464" s="365" t="s">
        <v>205</v>
      </c>
      <c r="M2464" s="54"/>
      <c r="N2464" s="112"/>
      <c r="O2464" s="373"/>
      <c r="T2464" s="10"/>
      <c r="U2464" s="10"/>
    </row>
    <row r="2465" spans="1:23" ht="30" customHeight="1" x14ac:dyDescent="0.25">
      <c r="A2465" s="365" t="s">
        <v>430</v>
      </c>
      <c r="B2465" s="1209" t="s">
        <v>1516</v>
      </c>
      <c r="C2465" s="1210"/>
      <c r="D2465" s="1211"/>
      <c r="E2465" s="247">
        <f>+(1160+3475)/2</f>
        <v>2317.5</v>
      </c>
      <c r="F2465" s="661" t="s">
        <v>76</v>
      </c>
      <c r="G2465" s="452">
        <v>1</v>
      </c>
      <c r="H2465" s="589" t="s">
        <v>1140</v>
      </c>
      <c r="I2465" s="173">
        <f>+E2465/H2453</f>
        <v>0.26671653815168606</v>
      </c>
      <c r="J2465" s="365">
        <v>1.03</v>
      </c>
      <c r="K2465" s="272">
        <f t="shared" si="50"/>
        <v>0.27471803429623665</v>
      </c>
      <c r="L2465" s="365" t="s">
        <v>205</v>
      </c>
      <c r="M2465" s="54"/>
      <c r="N2465" s="54"/>
      <c r="O2465" s="373"/>
      <c r="T2465" s="10"/>
      <c r="U2465" s="10"/>
    </row>
    <row r="2466" spans="1:23" ht="30" customHeight="1" x14ac:dyDescent="0.25">
      <c r="A2466" s="365"/>
      <c r="B2466" s="1281"/>
      <c r="C2466" s="1281"/>
      <c r="D2466" s="1281"/>
      <c r="E2466" s="247"/>
      <c r="F2466" s="366"/>
      <c r="G2466" s="662"/>
      <c r="H2466" s="662"/>
      <c r="I2466" s="365"/>
      <c r="J2466" s="365" t="s">
        <v>408</v>
      </c>
      <c r="K2466" s="272">
        <f>SUM(K2455:K2465)</f>
        <v>125.79576022557258</v>
      </c>
      <c r="L2466" s="365" t="s">
        <v>205</v>
      </c>
      <c r="M2466" s="54"/>
      <c r="N2466" s="54"/>
      <c r="O2466" s="373"/>
      <c r="T2466" s="10"/>
      <c r="U2466" s="10"/>
    </row>
    <row r="2467" spans="1:23" ht="30" customHeight="1" x14ac:dyDescent="0.25">
      <c r="A2467" s="365"/>
      <c r="B2467" s="578"/>
      <c r="C2467" s="578"/>
      <c r="D2467" s="578"/>
      <c r="E2467" s="578"/>
      <c r="F2467" s="1272" t="s">
        <v>303</v>
      </c>
      <c r="G2467" s="1283" t="s">
        <v>304</v>
      </c>
      <c r="H2467" s="1283"/>
      <c r="I2467" s="1283"/>
      <c r="J2467" s="1283"/>
      <c r="K2467" s="706">
        <v>1.1000000000000001</v>
      </c>
      <c r="L2467" s="365"/>
      <c r="M2467" s="54"/>
      <c r="N2467" s="54"/>
      <c r="T2467" s="10"/>
      <c r="U2467" s="10"/>
    </row>
    <row r="2468" spans="1:23" ht="30" customHeight="1" x14ac:dyDescent="0.25">
      <c r="A2468" s="365"/>
      <c r="B2468" s="578"/>
      <c r="C2468" s="578"/>
      <c r="D2468" s="578"/>
      <c r="E2468" s="578"/>
      <c r="F2468" s="1273"/>
      <c r="G2468" s="1284" t="s">
        <v>438</v>
      </c>
      <c r="H2468" s="1284"/>
      <c r="I2468" s="1284"/>
      <c r="J2468" s="1284"/>
      <c r="K2468" s="250">
        <v>1.08</v>
      </c>
      <c r="L2468" s="365"/>
      <c r="M2468" s="54"/>
      <c r="N2468" s="54"/>
      <c r="T2468" s="10"/>
      <c r="U2468" s="10"/>
    </row>
    <row r="2469" spans="1:23" ht="30" customHeight="1" x14ac:dyDescent="0.25">
      <c r="A2469" s="855"/>
      <c r="B2469" s="864"/>
      <c r="C2469" s="864"/>
      <c r="D2469" s="864"/>
      <c r="E2469" s="864"/>
      <c r="F2469" s="864"/>
      <c r="G2469" s="864"/>
      <c r="H2469" s="366"/>
      <c r="I2469" s="366"/>
      <c r="J2469" s="366" t="s">
        <v>72</v>
      </c>
      <c r="K2469" s="273">
        <f>+K2466*K2467/K2468</f>
        <v>128.12531134086097</v>
      </c>
      <c r="L2469" s="365" t="s">
        <v>205</v>
      </c>
      <c r="M2469" s="54"/>
      <c r="N2469" s="54"/>
      <c r="T2469" s="10"/>
      <c r="U2469" s="10"/>
    </row>
    <row r="2470" spans="1:23" ht="30" customHeight="1" x14ac:dyDescent="0.25">
      <c r="A2470" s="855"/>
      <c r="B2470" s="865"/>
      <c r="C2470" s="865"/>
      <c r="D2470" s="865"/>
      <c r="E2470" s="865"/>
      <c r="G2470" s="865"/>
      <c r="H2470" s="366"/>
      <c r="I2470" s="553" t="s">
        <v>414</v>
      </c>
      <c r="J2470" s="521">
        <f>VLOOKUP(B2453,'Mil Cost Premiums for PUCs'!$A$4:$R$277,18,FALSE)</f>
        <v>1.3319480854780448</v>
      </c>
      <c r="K2470" s="273">
        <f>+K2469*J2470</f>
        <v>170.65626314173818</v>
      </c>
      <c r="L2470" s="365" t="s">
        <v>205</v>
      </c>
      <c r="M2470" s="111"/>
      <c r="N2470" s="54"/>
      <c r="T2470" s="10"/>
      <c r="U2470" s="10"/>
    </row>
    <row r="2471" spans="1:23" ht="30" customHeight="1" x14ac:dyDescent="0.25">
      <c r="A2471" s="835"/>
      <c r="B2471" s="835"/>
      <c r="C2471" s="840"/>
      <c r="D2471" s="840"/>
      <c r="E2471" s="850"/>
      <c r="F2471" s="1278" t="s">
        <v>1148</v>
      </c>
      <c r="G2471" s="1278"/>
      <c r="H2471" s="1278"/>
      <c r="I2471" s="1278"/>
      <c r="J2471" s="845">
        <v>1.0833999999999999</v>
      </c>
      <c r="K2471" s="544">
        <f>K2470*J2471</f>
        <v>184.88899548775913</v>
      </c>
      <c r="L2471" s="369" t="s">
        <v>205</v>
      </c>
      <c r="N2471" s="112"/>
      <c r="T2471" s="10"/>
      <c r="U2471" s="10"/>
    </row>
    <row r="2472" spans="1:23" ht="75" customHeight="1" x14ac:dyDescent="0.25">
      <c r="A2472" s="1230" t="s">
        <v>307</v>
      </c>
      <c r="B2472" s="1231"/>
      <c r="C2472" s="1231"/>
      <c r="D2472" s="1231"/>
      <c r="E2472" s="1231"/>
      <c r="F2472" s="1231"/>
      <c r="G2472" s="1231"/>
      <c r="H2472" s="1231"/>
      <c r="I2472" s="1231"/>
      <c r="J2472" s="1231"/>
      <c r="K2472" s="1231"/>
      <c r="L2472" s="1232"/>
      <c r="M2472" s="54"/>
      <c r="N2472" s="54"/>
      <c r="P2472" s="335"/>
      <c r="Q2472" s="336"/>
      <c r="R2472" s="337"/>
      <c r="U2472" s="10"/>
    </row>
    <row r="2473" spans="1:23" ht="30" customHeight="1" x14ac:dyDescent="0.25">
      <c r="A2473" s="1268" t="s">
        <v>308</v>
      </c>
      <c r="B2473" s="1167"/>
      <c r="C2473" s="1168"/>
      <c r="D2473" s="1230" t="s">
        <v>1517</v>
      </c>
      <c r="E2473" s="1231"/>
      <c r="F2473" s="1231"/>
      <c r="G2473" s="1231"/>
      <c r="H2473" s="1231"/>
      <c r="I2473" s="1231"/>
      <c r="J2473" s="1231"/>
      <c r="K2473" s="1231"/>
      <c r="L2473" s="1232"/>
      <c r="M2473" s="54"/>
      <c r="N2473" s="54"/>
      <c r="P2473" s="335"/>
      <c r="Q2473" s="336"/>
      <c r="R2473" s="337"/>
      <c r="U2473" s="10"/>
    </row>
    <row r="2474" spans="1:23" ht="30" customHeight="1" x14ac:dyDescent="0.25">
      <c r="A2474" s="1268" t="s">
        <v>310</v>
      </c>
      <c r="B2474" s="1167"/>
      <c r="C2474" s="1168"/>
      <c r="D2474" s="1230" t="s">
        <v>1518</v>
      </c>
      <c r="E2474" s="1231"/>
      <c r="F2474" s="1231"/>
      <c r="G2474" s="1231"/>
      <c r="H2474" s="1231"/>
      <c r="I2474" s="1231"/>
      <c r="J2474" s="1231"/>
      <c r="K2474" s="1231"/>
      <c r="L2474" s="1232"/>
      <c r="M2474" s="54"/>
      <c r="N2474" s="54"/>
      <c r="T2474" s="10"/>
      <c r="U2474" s="60"/>
    </row>
    <row r="2475" spans="1:23" ht="30" customHeight="1" x14ac:dyDescent="0.25">
      <c r="A2475" s="1268" t="s">
        <v>312</v>
      </c>
      <c r="B2475" s="1167"/>
      <c r="C2475" s="1168"/>
      <c r="D2475" s="1230" t="s">
        <v>1519</v>
      </c>
      <c r="E2475" s="1231"/>
      <c r="F2475" s="1231"/>
      <c r="G2475" s="1231"/>
      <c r="H2475" s="1231"/>
      <c r="I2475" s="1231"/>
      <c r="J2475" s="1231"/>
      <c r="K2475" s="1231"/>
      <c r="L2475" s="1232"/>
      <c r="M2475" s="54"/>
      <c r="N2475" s="54"/>
      <c r="T2475" s="10"/>
    </row>
    <row r="2476" spans="1:23" ht="30" customHeight="1" x14ac:dyDescent="0.25">
      <c r="A2476" s="1268" t="s">
        <v>314</v>
      </c>
      <c r="B2476" s="1167"/>
      <c r="C2476" s="1168"/>
      <c r="D2476" s="1230" t="s">
        <v>1520</v>
      </c>
      <c r="E2476" s="1231"/>
      <c r="F2476" s="1231"/>
      <c r="G2476" s="1231"/>
      <c r="H2476" s="1231"/>
      <c r="I2476" s="1231"/>
      <c r="J2476" s="1231"/>
      <c r="K2476" s="1231"/>
      <c r="L2476" s="1232"/>
      <c r="M2476" s="54"/>
      <c r="N2476" s="111"/>
      <c r="T2476" s="60"/>
    </row>
    <row r="2477" spans="1:23" ht="60" customHeight="1" x14ac:dyDescent="0.25">
      <c r="A2477" s="1268" t="s">
        <v>316</v>
      </c>
      <c r="B2477" s="1167"/>
      <c r="C2477" s="1168"/>
      <c r="D2477" s="1230" t="s">
        <v>1521</v>
      </c>
      <c r="E2477" s="1231"/>
      <c r="F2477" s="1231"/>
      <c r="G2477" s="1231"/>
      <c r="H2477" s="1231"/>
      <c r="I2477" s="1231"/>
      <c r="J2477" s="1231"/>
      <c r="K2477" s="1231"/>
      <c r="L2477" s="1232"/>
      <c r="M2477" s="54"/>
      <c r="N2477" s="54"/>
      <c r="O2477" s="336"/>
      <c r="U2477" s="60"/>
    </row>
    <row r="2478" spans="1:23" ht="30" customHeight="1" x14ac:dyDescent="0.25">
      <c r="A2478" s="1268" t="s">
        <v>318</v>
      </c>
      <c r="B2478" s="1167"/>
      <c r="C2478" s="1168"/>
      <c r="D2478" s="1230" t="s">
        <v>1522</v>
      </c>
      <c r="E2478" s="1231"/>
      <c r="F2478" s="1231"/>
      <c r="G2478" s="1231"/>
      <c r="H2478" s="1231"/>
      <c r="I2478" s="1231"/>
      <c r="J2478" s="1231"/>
      <c r="K2478" s="1231"/>
      <c r="L2478" s="1232"/>
      <c r="M2478" s="54"/>
      <c r="N2478" s="54"/>
      <c r="T2478" s="10"/>
      <c r="V2478" s="10"/>
      <c r="W2478" s="10"/>
    </row>
    <row r="2479" spans="1:23" ht="30" customHeight="1" x14ac:dyDescent="0.25">
      <c r="A2479" s="1268" t="s">
        <v>320</v>
      </c>
      <c r="B2479" s="1167"/>
      <c r="C2479" s="1168"/>
      <c r="D2479" s="1230" t="s">
        <v>464</v>
      </c>
      <c r="E2479" s="1231"/>
      <c r="F2479" s="1231"/>
      <c r="G2479" s="1231"/>
      <c r="H2479" s="1231"/>
      <c r="I2479" s="1231"/>
      <c r="J2479" s="1231"/>
      <c r="K2479" s="1231"/>
      <c r="L2479" s="1232"/>
      <c r="M2479" s="112"/>
      <c r="N2479" s="54"/>
      <c r="O2479" s="373"/>
      <c r="T2479" s="10"/>
      <c r="U2479" s="10"/>
    </row>
    <row r="2480" spans="1:23" ht="75" customHeight="1" x14ac:dyDescent="0.25">
      <c r="A2480" s="1268" t="s">
        <v>322</v>
      </c>
      <c r="B2480" s="1167"/>
      <c r="C2480" s="1168"/>
      <c r="D2480" s="1230" t="s">
        <v>422</v>
      </c>
      <c r="E2480" s="1231"/>
      <c r="F2480" s="1231"/>
      <c r="G2480" s="1231"/>
      <c r="H2480" s="1231"/>
      <c r="I2480" s="1231"/>
      <c r="J2480" s="1231"/>
      <c r="K2480" s="1231"/>
      <c r="L2480" s="1232"/>
      <c r="M2480" s="54"/>
      <c r="N2480" s="54"/>
      <c r="O2480" s="373"/>
      <c r="T2480" s="10"/>
      <c r="U2480" s="10"/>
    </row>
    <row r="2481" spans="1:23" ht="45" customHeight="1" thickBot="1" x14ac:dyDescent="0.3">
      <c r="A2481" s="1319" t="s">
        <v>350</v>
      </c>
      <c r="B2481" s="1320"/>
      <c r="C2481" s="1321"/>
      <c r="D2481" s="1291" t="s">
        <v>3413</v>
      </c>
      <c r="E2481" s="1292"/>
      <c r="F2481" s="1292"/>
      <c r="G2481" s="1292"/>
      <c r="H2481" s="1292"/>
      <c r="I2481" s="1292"/>
      <c r="J2481" s="1292"/>
      <c r="K2481" s="1292"/>
      <c r="L2481" s="1293"/>
      <c r="M2481" s="54"/>
      <c r="N2481" s="54"/>
      <c r="O2481" s="373"/>
      <c r="T2481" s="10"/>
      <c r="U2481" s="10"/>
    </row>
    <row r="2482" spans="1:23" ht="30" customHeight="1" thickBot="1" x14ac:dyDescent="0.3">
      <c r="A2482" s="1180"/>
      <c r="B2482" s="1181"/>
      <c r="C2482" s="1181"/>
      <c r="D2482" s="1181"/>
      <c r="E2482" s="1181"/>
      <c r="F2482" s="1181"/>
      <c r="G2482" s="1181"/>
      <c r="H2482" s="1181"/>
      <c r="I2482" s="1181"/>
      <c r="J2482" s="1181"/>
      <c r="K2482" s="1181"/>
      <c r="L2482" s="1182"/>
      <c r="M2482" s="54"/>
      <c r="N2482" s="111"/>
      <c r="O2482" s="373"/>
      <c r="T2482" s="10"/>
      <c r="U2482" s="10"/>
    </row>
    <row r="2483" spans="1:23" ht="30" customHeight="1" x14ac:dyDescent="0.25">
      <c r="A2483" s="349" t="s">
        <v>5</v>
      </c>
      <c r="B2483" s="350">
        <v>3201</v>
      </c>
      <c r="C2483" s="1545" t="s">
        <v>1523</v>
      </c>
      <c r="D2483" s="1545"/>
      <c r="E2483" s="351" t="s">
        <v>8</v>
      </c>
      <c r="F2483" s="352" t="s">
        <v>205</v>
      </c>
      <c r="G2483" s="353" t="s">
        <v>74</v>
      </c>
      <c r="H2483" s="813">
        <v>10205</v>
      </c>
      <c r="I2483" s="351" t="s">
        <v>10</v>
      </c>
      <c r="J2483" s="1220" t="s">
        <v>3388</v>
      </c>
      <c r="K2483" s="1220"/>
      <c r="L2483" s="1221"/>
      <c r="M2483" s="54"/>
      <c r="N2483" s="54"/>
      <c r="O2483" s="373"/>
      <c r="T2483" s="10"/>
      <c r="U2483" s="10"/>
    </row>
    <row r="2484" spans="1:23" ht="30" customHeight="1" x14ac:dyDescent="0.25">
      <c r="A2484" s="359" t="s">
        <v>295</v>
      </c>
      <c r="B2484" s="1222" t="s">
        <v>326</v>
      </c>
      <c r="C2484" s="1235"/>
      <c r="D2484" s="1223"/>
      <c r="E2484" s="577" t="s">
        <v>116</v>
      </c>
      <c r="F2484" s="577" t="s">
        <v>117</v>
      </c>
      <c r="G2484" s="1236" t="s">
        <v>118</v>
      </c>
      <c r="H2484" s="1237"/>
      <c r="I2484" s="812" t="s">
        <v>1134</v>
      </c>
      <c r="J2484" s="356" t="s">
        <v>296</v>
      </c>
      <c r="K2484" s="1236" t="s">
        <v>285</v>
      </c>
      <c r="L2484" s="1237"/>
      <c r="M2484" s="54"/>
      <c r="N2484" s="54"/>
      <c r="T2484" s="10"/>
      <c r="U2484" s="10"/>
    </row>
    <row r="2485" spans="1:23" ht="30" customHeight="1" x14ac:dyDescent="0.25">
      <c r="A2485" s="365" t="s">
        <v>1104</v>
      </c>
      <c r="B2485" s="1209" t="s">
        <v>1426</v>
      </c>
      <c r="C2485" s="1210"/>
      <c r="D2485" s="1211"/>
      <c r="E2485" s="272">
        <v>97.5</v>
      </c>
      <c r="F2485" s="365" t="s">
        <v>205</v>
      </c>
      <c r="G2485" s="689"/>
      <c r="H2485" s="690"/>
      <c r="I2485" s="69">
        <f>+E2485</f>
        <v>97.5</v>
      </c>
      <c r="J2485" s="365">
        <v>1.01</v>
      </c>
      <c r="K2485" s="274">
        <f t="shared" ref="K2485:K2495" si="51">+I2485*J2485</f>
        <v>98.474999999999994</v>
      </c>
      <c r="L2485" s="365" t="s">
        <v>205</v>
      </c>
      <c r="M2485" s="54"/>
      <c r="N2485" s="54"/>
      <c r="T2485" s="10"/>
      <c r="U2485" s="10"/>
    </row>
    <row r="2486" spans="1:23" ht="30" customHeight="1" x14ac:dyDescent="0.25">
      <c r="A2486" s="365" t="s">
        <v>406</v>
      </c>
      <c r="B2486" s="1209" t="s">
        <v>413</v>
      </c>
      <c r="C2486" s="1210"/>
      <c r="D2486" s="1211"/>
      <c r="E2486" s="68">
        <v>4.38</v>
      </c>
      <c r="F2486" s="365" t="s">
        <v>205</v>
      </c>
      <c r="G2486" s="452"/>
      <c r="H2486" s="589"/>
      <c r="I2486" s="175">
        <f>+E2486</f>
        <v>4.38</v>
      </c>
      <c r="J2486" s="365">
        <v>1.01</v>
      </c>
      <c r="K2486" s="274">
        <f t="shared" si="51"/>
        <v>4.4238</v>
      </c>
      <c r="L2486" s="365" t="s">
        <v>205</v>
      </c>
      <c r="M2486" s="112"/>
      <c r="O2486" s="336"/>
      <c r="P2486" s="334"/>
      <c r="Q2486" s="335"/>
      <c r="R2486" s="336"/>
      <c r="S2486" s="337"/>
    </row>
    <row r="2487" spans="1:23" ht="30" customHeight="1" x14ac:dyDescent="0.25">
      <c r="A2487" s="365" t="s">
        <v>520</v>
      </c>
      <c r="B2487" s="1209" t="s">
        <v>1524</v>
      </c>
      <c r="C2487" s="1210"/>
      <c r="D2487" s="1211"/>
      <c r="E2487" s="272">
        <v>141000</v>
      </c>
      <c r="F2487" s="661" t="s">
        <v>76</v>
      </c>
      <c r="G2487" s="174">
        <f>+E2487/H2483</f>
        <v>13.816756491915728</v>
      </c>
      <c r="H2487" s="589" t="s">
        <v>1140</v>
      </c>
      <c r="I2487" s="175">
        <f>+G2487</f>
        <v>13.816756491915728</v>
      </c>
      <c r="J2487" s="365">
        <v>1.02</v>
      </c>
      <c r="K2487" s="274">
        <f t="shared" si="51"/>
        <v>14.093091621754043</v>
      </c>
      <c r="L2487" s="365" t="s">
        <v>205</v>
      </c>
      <c r="M2487" s="54"/>
      <c r="N2487" s="54"/>
      <c r="T2487" s="10"/>
      <c r="U2487" s="10"/>
    </row>
    <row r="2488" spans="1:23" ht="30" customHeight="1" x14ac:dyDescent="0.25">
      <c r="A2488" s="365" t="s">
        <v>520</v>
      </c>
      <c r="B2488" s="1209" t="s">
        <v>1525</v>
      </c>
      <c r="C2488" s="1210"/>
      <c r="D2488" s="1211"/>
      <c r="E2488" s="272">
        <f>+(244+267)/2</f>
        <v>255.5</v>
      </c>
      <c r="F2488" s="661" t="s">
        <v>40</v>
      </c>
      <c r="G2488" s="174">
        <f>200*E2488/H2483</f>
        <v>5.0073493385595294</v>
      </c>
      <c r="H2488" s="589" t="s">
        <v>1140</v>
      </c>
      <c r="I2488" s="175">
        <f>+G2488</f>
        <v>5.0073493385595294</v>
      </c>
      <c r="J2488" s="365">
        <v>1.02</v>
      </c>
      <c r="K2488" s="274">
        <f t="shared" si="51"/>
        <v>5.10749632533072</v>
      </c>
      <c r="L2488" s="365" t="s">
        <v>205</v>
      </c>
      <c r="M2488" s="54"/>
      <c r="N2488" s="54"/>
      <c r="T2488" s="10"/>
      <c r="U2488" s="10"/>
    </row>
    <row r="2489" spans="1:23" ht="30" customHeight="1" x14ac:dyDescent="0.25">
      <c r="A2489" s="365" t="s">
        <v>520</v>
      </c>
      <c r="B2489" s="1209" t="s">
        <v>1526</v>
      </c>
      <c r="C2489" s="1210"/>
      <c r="D2489" s="1211"/>
      <c r="E2489" s="272">
        <f>(23.75+47.75)/2</f>
        <v>35.75</v>
      </c>
      <c r="F2489" s="661" t="s">
        <v>40</v>
      </c>
      <c r="G2489" s="174">
        <f>200*E2489/H2483</f>
        <v>0.70063694267515919</v>
      </c>
      <c r="H2489" s="589" t="s">
        <v>1140</v>
      </c>
      <c r="I2489" s="175">
        <f>+G2489</f>
        <v>0.70063694267515919</v>
      </c>
      <c r="J2489" s="365">
        <v>1.02</v>
      </c>
      <c r="K2489" s="274">
        <f t="shared" si="51"/>
        <v>0.71464968152866237</v>
      </c>
      <c r="L2489" s="365" t="s">
        <v>205</v>
      </c>
      <c r="M2489" s="54"/>
      <c r="N2489" s="54"/>
      <c r="T2489" s="10"/>
      <c r="U2489" s="10"/>
    </row>
    <row r="2490" spans="1:23" ht="30" customHeight="1" x14ac:dyDescent="0.25">
      <c r="A2490" s="365" t="s">
        <v>426</v>
      </c>
      <c r="B2490" s="1209" t="s">
        <v>1483</v>
      </c>
      <c r="C2490" s="1210"/>
      <c r="D2490" s="1211"/>
      <c r="E2490" s="272">
        <f>(20.3+31.5)/2</f>
        <v>25.9</v>
      </c>
      <c r="F2490" s="661" t="s">
        <v>205</v>
      </c>
      <c r="G2490" s="863">
        <f>81*E2490</f>
        <v>2097.9</v>
      </c>
      <c r="H2490" s="589"/>
      <c r="I2490" s="175">
        <f>+G2490/H2483</f>
        <v>0.20557569818716318</v>
      </c>
      <c r="J2490" s="365">
        <v>1.03</v>
      </c>
      <c r="K2490" s="274">
        <f t="shared" si="51"/>
        <v>0.21174296913277807</v>
      </c>
      <c r="L2490" s="365" t="s">
        <v>205</v>
      </c>
      <c r="M2490" s="54"/>
      <c r="N2490" s="54"/>
      <c r="T2490" s="10"/>
      <c r="U2490" s="10"/>
    </row>
    <row r="2491" spans="1:23" ht="30" customHeight="1" x14ac:dyDescent="0.25">
      <c r="A2491" s="365" t="s">
        <v>426</v>
      </c>
      <c r="B2491" s="1209" t="s">
        <v>429</v>
      </c>
      <c r="C2491" s="1210"/>
      <c r="D2491" s="1211"/>
      <c r="E2491" s="272">
        <f>(1710+2420)/2</f>
        <v>2065</v>
      </c>
      <c r="F2491" s="661"/>
      <c r="G2491" s="174">
        <f>+E2491</f>
        <v>2065</v>
      </c>
      <c r="H2491" s="589"/>
      <c r="I2491" s="175">
        <f>+G2491/H2483</f>
        <v>0.20235178833904949</v>
      </c>
      <c r="J2491" s="365">
        <v>1.03</v>
      </c>
      <c r="K2491" s="274">
        <f t="shared" si="51"/>
        <v>0.20842234198922097</v>
      </c>
      <c r="L2491" s="365" t="s">
        <v>205</v>
      </c>
      <c r="M2491" s="111"/>
      <c r="N2491" s="111"/>
      <c r="T2491" s="60"/>
      <c r="U2491" s="10"/>
    </row>
    <row r="2492" spans="1:23" ht="30" customHeight="1" x14ac:dyDescent="0.25">
      <c r="A2492" s="365" t="s">
        <v>430</v>
      </c>
      <c r="B2492" s="1209" t="s">
        <v>1527</v>
      </c>
      <c r="C2492" s="1210"/>
      <c r="D2492" s="1211"/>
      <c r="E2492" s="247">
        <f>(34.5+82)/2</f>
        <v>58.25</v>
      </c>
      <c r="F2492" s="661" t="s">
        <v>40</v>
      </c>
      <c r="G2492" s="452">
        <v>10</v>
      </c>
      <c r="H2492" s="589" t="s">
        <v>1329</v>
      </c>
      <c r="I2492" s="175">
        <f>+E2492*G2492/H2483</f>
        <v>5.7079862812346886E-2</v>
      </c>
      <c r="J2492" s="365">
        <v>1.03</v>
      </c>
      <c r="K2492" s="274">
        <f t="shared" si="51"/>
        <v>5.8792258696717295E-2</v>
      </c>
      <c r="L2492" s="365" t="s">
        <v>205</v>
      </c>
      <c r="M2492" s="54"/>
      <c r="N2492" s="54"/>
      <c r="O2492" s="336"/>
      <c r="U2492" s="60"/>
    </row>
    <row r="2493" spans="1:23" ht="30" customHeight="1" x14ac:dyDescent="0.25">
      <c r="A2493" s="365" t="s">
        <v>430</v>
      </c>
      <c r="B2493" s="1209" t="s">
        <v>1514</v>
      </c>
      <c r="C2493" s="1210"/>
      <c r="D2493" s="1211"/>
      <c r="E2493" s="247">
        <f>(6450+12300)/2</f>
        <v>9375</v>
      </c>
      <c r="F2493" s="661" t="s">
        <v>76</v>
      </c>
      <c r="G2493" s="452">
        <v>1</v>
      </c>
      <c r="H2493" s="589" t="s">
        <v>1140</v>
      </c>
      <c r="I2493" s="175">
        <f>+E2493/H2483</f>
        <v>0.91866731994120532</v>
      </c>
      <c r="J2493" s="365">
        <v>1.03</v>
      </c>
      <c r="K2493" s="274">
        <f t="shared" si="51"/>
        <v>0.94622733953944149</v>
      </c>
      <c r="L2493" s="365" t="s">
        <v>205</v>
      </c>
      <c r="M2493" s="54"/>
      <c r="N2493" s="54"/>
      <c r="T2493" s="10"/>
      <c r="V2493" s="10"/>
      <c r="W2493" s="10"/>
    </row>
    <row r="2494" spans="1:23" ht="30" customHeight="1" x14ac:dyDescent="0.25">
      <c r="A2494" s="365" t="s">
        <v>430</v>
      </c>
      <c r="B2494" s="1209" t="s">
        <v>1515</v>
      </c>
      <c r="C2494" s="1210"/>
      <c r="D2494" s="1211"/>
      <c r="E2494" s="247">
        <f>(660+1010)/2</f>
        <v>835</v>
      </c>
      <c r="F2494" s="661" t="s">
        <v>76</v>
      </c>
      <c r="G2494" s="452">
        <v>1</v>
      </c>
      <c r="H2494" s="589" t="s">
        <v>1140</v>
      </c>
      <c r="I2494" s="175">
        <f>+E2494/H2483</f>
        <v>8.1822635962763346E-2</v>
      </c>
      <c r="J2494" s="365">
        <v>1.03</v>
      </c>
      <c r="K2494" s="274">
        <f t="shared" si="51"/>
        <v>8.4277315041646247E-2</v>
      </c>
      <c r="L2494" s="365" t="s">
        <v>205</v>
      </c>
      <c r="M2494" s="54"/>
      <c r="N2494" s="54"/>
      <c r="O2494" s="373"/>
      <c r="T2494" s="10"/>
      <c r="U2494" s="10"/>
    </row>
    <row r="2495" spans="1:23" ht="30" customHeight="1" x14ac:dyDescent="0.25">
      <c r="A2495" s="365" t="s">
        <v>430</v>
      </c>
      <c r="B2495" s="1209" t="s">
        <v>1516</v>
      </c>
      <c r="C2495" s="1210"/>
      <c r="D2495" s="1211"/>
      <c r="E2495" s="247">
        <f>+(1160+3475)/2</f>
        <v>2317.5</v>
      </c>
      <c r="F2495" s="661" t="s">
        <v>76</v>
      </c>
      <c r="G2495" s="452">
        <v>1</v>
      </c>
      <c r="H2495" s="589" t="s">
        <v>1140</v>
      </c>
      <c r="I2495" s="175">
        <f>+E2495/H2483</f>
        <v>0.22709456148946594</v>
      </c>
      <c r="J2495" s="365">
        <v>1.03</v>
      </c>
      <c r="K2495" s="274">
        <f t="shared" si="51"/>
        <v>0.23390739833414992</v>
      </c>
      <c r="L2495" s="365" t="s">
        <v>205</v>
      </c>
      <c r="M2495" s="54"/>
      <c r="N2495" s="54"/>
      <c r="O2495" s="373"/>
      <c r="T2495" s="10"/>
      <c r="U2495" s="10"/>
    </row>
    <row r="2496" spans="1:23" s="655" customFormat="1" ht="30" customHeight="1" x14ac:dyDescent="0.25">
      <c r="A2496" s="365"/>
      <c r="B2496" s="1281"/>
      <c r="C2496" s="1281"/>
      <c r="D2496" s="1281"/>
      <c r="E2496" s="265"/>
      <c r="F2496" s="366"/>
      <c r="G2496" s="662"/>
      <c r="H2496" s="662"/>
      <c r="I2496" s="365"/>
      <c r="J2496" s="365" t="s">
        <v>408</v>
      </c>
      <c r="K2496" s="274">
        <f>SUM(K2485:K2495)</f>
        <v>124.55740725134736</v>
      </c>
      <c r="L2496" s="365" t="s">
        <v>205</v>
      </c>
      <c r="M2496" s="54"/>
      <c r="N2496" s="133"/>
      <c r="O2496" s="866"/>
      <c r="P2496" s="867"/>
      <c r="T2496" s="144"/>
      <c r="U2496" s="144"/>
    </row>
    <row r="2497" spans="1:21" s="655" customFormat="1" ht="30" customHeight="1" x14ac:dyDescent="0.25">
      <c r="A2497" s="365"/>
      <c r="B2497" s="578"/>
      <c r="C2497" s="578"/>
      <c r="D2497" s="578"/>
      <c r="E2497" s="578"/>
      <c r="F2497" s="1272" t="s">
        <v>303</v>
      </c>
      <c r="G2497" s="1283" t="s">
        <v>304</v>
      </c>
      <c r="H2497" s="1283"/>
      <c r="I2497" s="1283"/>
      <c r="J2497" s="1283"/>
      <c r="K2497" s="706">
        <v>1.1000000000000001</v>
      </c>
      <c r="L2497" s="365"/>
      <c r="M2497" s="111"/>
      <c r="N2497" s="117"/>
      <c r="P2497" s="867"/>
      <c r="T2497" s="144"/>
      <c r="U2497" s="144"/>
    </row>
    <row r="2498" spans="1:21" s="655" customFormat="1" ht="30" customHeight="1" x14ac:dyDescent="0.25">
      <c r="A2498" s="365"/>
      <c r="B2498" s="578"/>
      <c r="C2498" s="578"/>
      <c r="D2498" s="578"/>
      <c r="E2498" s="578"/>
      <c r="F2498" s="1273"/>
      <c r="G2498" s="1284" t="s">
        <v>438</v>
      </c>
      <c r="H2498" s="1284"/>
      <c r="I2498" s="1284"/>
      <c r="J2498" s="1284"/>
      <c r="K2498" s="250">
        <v>1.08</v>
      </c>
      <c r="L2498" s="365"/>
      <c r="M2498" s="54"/>
      <c r="N2498" s="117"/>
      <c r="P2498" s="867"/>
      <c r="T2498" s="144"/>
      <c r="U2498" s="144"/>
    </row>
    <row r="2499" spans="1:21" ht="30" customHeight="1" x14ac:dyDescent="0.25">
      <c r="A2499" s="855"/>
      <c r="B2499" s="864"/>
      <c r="C2499" s="864"/>
      <c r="D2499" s="864"/>
      <c r="E2499" s="864"/>
      <c r="F2499" s="864"/>
      <c r="G2499" s="864"/>
      <c r="H2499" s="366"/>
      <c r="I2499" s="366"/>
      <c r="J2499" s="365" t="s">
        <v>72</v>
      </c>
      <c r="K2499" s="273">
        <f>+K2496*K2497/K2498</f>
        <v>126.8640259041501</v>
      </c>
      <c r="L2499" s="365" t="s">
        <v>205</v>
      </c>
      <c r="M2499" s="54"/>
      <c r="N2499" s="54"/>
      <c r="T2499" s="10"/>
      <c r="U2499" s="10"/>
    </row>
    <row r="2500" spans="1:21" ht="30" customHeight="1" x14ac:dyDescent="0.25">
      <c r="A2500" s="855"/>
      <c r="B2500" s="865"/>
      <c r="C2500" s="865"/>
      <c r="D2500" s="865"/>
      <c r="E2500" s="865"/>
      <c r="G2500" s="865"/>
      <c r="H2500" s="366"/>
      <c r="I2500" s="553" t="s">
        <v>414</v>
      </c>
      <c r="J2500" s="521">
        <f>VLOOKUP(B2483,'Mil Cost Premiums for PUCs'!$A$4:$R$277,18,FALSE)</f>
        <v>1.3319480854780448</v>
      </c>
      <c r="K2500" s="273">
        <f>+K2499*J2500</f>
        <v>168.9762964190698</v>
      </c>
      <c r="L2500" s="365" t="s">
        <v>205</v>
      </c>
      <c r="M2500" s="54"/>
      <c r="N2500" s="112"/>
      <c r="T2500" s="10"/>
      <c r="U2500" s="10"/>
    </row>
    <row r="2501" spans="1:21" ht="30" customHeight="1" x14ac:dyDescent="0.25">
      <c r="A2501" s="835"/>
      <c r="B2501" s="835"/>
      <c r="C2501" s="840"/>
      <c r="D2501" s="840"/>
      <c r="E2501" s="850"/>
      <c r="F2501" s="1278" t="s">
        <v>1148</v>
      </c>
      <c r="G2501" s="1278"/>
      <c r="H2501" s="1278"/>
      <c r="I2501" s="1278"/>
      <c r="J2501" s="845">
        <v>1.0833999999999999</v>
      </c>
      <c r="K2501" s="544">
        <f>K2500*J2501</f>
        <v>183.06891954042021</v>
      </c>
      <c r="L2501" s="369" t="s">
        <v>205</v>
      </c>
      <c r="N2501" s="54"/>
      <c r="T2501" s="10"/>
      <c r="U2501" s="10"/>
    </row>
    <row r="2502" spans="1:21" ht="75" customHeight="1" x14ac:dyDescent="0.25">
      <c r="A2502" s="1230" t="s">
        <v>307</v>
      </c>
      <c r="B2502" s="1231"/>
      <c r="C2502" s="1231"/>
      <c r="D2502" s="1231"/>
      <c r="E2502" s="1231"/>
      <c r="F2502" s="1231"/>
      <c r="G2502" s="1231"/>
      <c r="H2502" s="1231"/>
      <c r="I2502" s="1231"/>
      <c r="J2502" s="1231"/>
      <c r="K2502" s="1231"/>
      <c r="L2502" s="1232"/>
      <c r="M2502" s="54"/>
      <c r="N2502" s="54"/>
      <c r="T2502" s="10"/>
      <c r="U2502" s="10"/>
    </row>
    <row r="2503" spans="1:21" ht="30" customHeight="1" x14ac:dyDescent="0.25">
      <c r="A2503" s="1268" t="s">
        <v>308</v>
      </c>
      <c r="B2503" s="1167"/>
      <c r="C2503" s="1168"/>
      <c r="D2503" s="1230" t="s">
        <v>1528</v>
      </c>
      <c r="E2503" s="1231"/>
      <c r="F2503" s="1231"/>
      <c r="G2503" s="1231"/>
      <c r="H2503" s="1231"/>
      <c r="I2503" s="1231"/>
      <c r="J2503" s="1231"/>
      <c r="K2503" s="1231"/>
      <c r="L2503" s="1232"/>
      <c r="M2503" s="54"/>
      <c r="N2503" s="54"/>
      <c r="U2503" s="10"/>
    </row>
    <row r="2504" spans="1:21" ht="30" customHeight="1" x14ac:dyDescent="0.25">
      <c r="A2504" s="1268" t="s">
        <v>310</v>
      </c>
      <c r="B2504" s="1167"/>
      <c r="C2504" s="1168"/>
      <c r="D2504" s="1230" t="s">
        <v>1529</v>
      </c>
      <c r="E2504" s="1231"/>
      <c r="F2504" s="1231"/>
      <c r="G2504" s="1231"/>
      <c r="H2504" s="1231"/>
      <c r="I2504" s="1231"/>
      <c r="J2504" s="1231"/>
      <c r="K2504" s="1231"/>
      <c r="L2504" s="1232"/>
      <c r="M2504" s="54"/>
      <c r="N2504" s="54"/>
      <c r="T2504" s="10"/>
    </row>
    <row r="2505" spans="1:21" ht="30" customHeight="1" x14ac:dyDescent="0.25">
      <c r="A2505" s="1268" t="s">
        <v>312</v>
      </c>
      <c r="B2505" s="1167"/>
      <c r="C2505" s="1168"/>
      <c r="D2505" s="1230" t="s">
        <v>1530</v>
      </c>
      <c r="E2505" s="1231"/>
      <c r="F2505" s="1231"/>
      <c r="G2505" s="1231"/>
      <c r="H2505" s="1231"/>
      <c r="I2505" s="1231"/>
      <c r="J2505" s="1231"/>
      <c r="K2505" s="1231"/>
      <c r="L2505" s="1232"/>
      <c r="M2505" s="54"/>
      <c r="N2505" s="54"/>
      <c r="T2505" s="10"/>
      <c r="U2505" s="10"/>
    </row>
    <row r="2506" spans="1:21" ht="30" customHeight="1" x14ac:dyDescent="0.25">
      <c r="A2506" s="1268" t="s">
        <v>314</v>
      </c>
      <c r="B2506" s="1167"/>
      <c r="C2506" s="1168"/>
      <c r="D2506" s="1230" t="s">
        <v>1531</v>
      </c>
      <c r="E2506" s="1231"/>
      <c r="F2506" s="1231"/>
      <c r="G2506" s="1231"/>
      <c r="H2506" s="1231"/>
      <c r="I2506" s="1231"/>
      <c r="J2506" s="1231"/>
      <c r="K2506" s="1231"/>
      <c r="L2506" s="1232"/>
      <c r="M2506" s="111"/>
      <c r="N2506" s="54"/>
      <c r="T2506" s="10"/>
      <c r="U2506" s="10"/>
    </row>
    <row r="2507" spans="1:21" ht="75" customHeight="1" x14ac:dyDescent="0.25">
      <c r="A2507" s="1268" t="s">
        <v>316</v>
      </c>
      <c r="B2507" s="1167"/>
      <c r="C2507" s="1168"/>
      <c r="D2507" s="1230" t="s">
        <v>3414</v>
      </c>
      <c r="E2507" s="1231"/>
      <c r="F2507" s="1231"/>
      <c r="G2507" s="1231"/>
      <c r="H2507" s="1231"/>
      <c r="I2507" s="1231"/>
      <c r="J2507" s="1231"/>
      <c r="K2507" s="1231"/>
      <c r="L2507" s="1232"/>
      <c r="M2507" s="54"/>
      <c r="N2507" s="54"/>
      <c r="U2507" s="10"/>
    </row>
    <row r="2508" spans="1:21" ht="30" customHeight="1" x14ac:dyDescent="0.25">
      <c r="A2508" s="1268" t="s">
        <v>318</v>
      </c>
      <c r="B2508" s="1167"/>
      <c r="C2508" s="1168"/>
      <c r="D2508" s="1230" t="s">
        <v>1522</v>
      </c>
      <c r="E2508" s="1231"/>
      <c r="F2508" s="1231"/>
      <c r="G2508" s="1231"/>
      <c r="H2508" s="1231"/>
      <c r="I2508" s="1231"/>
      <c r="J2508" s="1231"/>
      <c r="K2508" s="1231"/>
      <c r="L2508" s="1232"/>
      <c r="M2508" s="54"/>
      <c r="N2508" s="112"/>
      <c r="T2508" s="10"/>
    </row>
    <row r="2509" spans="1:21" ht="30" customHeight="1" x14ac:dyDescent="0.25">
      <c r="A2509" s="1268" t="s">
        <v>320</v>
      </c>
      <c r="B2509" s="1167"/>
      <c r="C2509" s="1168"/>
      <c r="D2509" s="1230" t="s">
        <v>1048</v>
      </c>
      <c r="E2509" s="1231"/>
      <c r="F2509" s="1231"/>
      <c r="G2509" s="1231"/>
      <c r="H2509" s="1231"/>
      <c r="I2509" s="1231"/>
      <c r="J2509" s="1231"/>
      <c r="K2509" s="1231"/>
      <c r="L2509" s="1232"/>
      <c r="M2509" s="111"/>
      <c r="N2509" s="54"/>
      <c r="T2509" s="10"/>
      <c r="U2509" s="10"/>
    </row>
    <row r="2510" spans="1:21" ht="75" customHeight="1" x14ac:dyDescent="0.25">
      <c r="A2510" s="1268" t="s">
        <v>322</v>
      </c>
      <c r="B2510" s="1167"/>
      <c r="C2510" s="1168"/>
      <c r="D2510" s="1230" t="s">
        <v>422</v>
      </c>
      <c r="E2510" s="1231"/>
      <c r="F2510" s="1231"/>
      <c r="G2510" s="1231"/>
      <c r="H2510" s="1231"/>
      <c r="I2510" s="1231"/>
      <c r="J2510" s="1231"/>
      <c r="K2510" s="1231"/>
      <c r="L2510" s="1232"/>
      <c r="M2510" s="54"/>
      <c r="N2510" s="54"/>
      <c r="T2510" s="10"/>
      <c r="U2510" s="10"/>
    </row>
    <row r="2511" spans="1:21" ht="45" customHeight="1" thickBot="1" x14ac:dyDescent="0.3">
      <c r="A2511" s="1268" t="s">
        <v>350</v>
      </c>
      <c r="B2511" s="1167"/>
      <c r="C2511" s="1168"/>
      <c r="D2511" s="1291" t="s">
        <v>3415</v>
      </c>
      <c r="E2511" s="1292"/>
      <c r="F2511" s="1292"/>
      <c r="G2511" s="1292"/>
      <c r="H2511" s="1292"/>
      <c r="I2511" s="1292"/>
      <c r="J2511" s="1292"/>
      <c r="K2511" s="1292"/>
      <c r="L2511" s="1293"/>
      <c r="M2511" s="133"/>
      <c r="N2511" s="54"/>
      <c r="U2511" s="10"/>
    </row>
    <row r="2512" spans="1:21" ht="30" customHeight="1" thickBot="1" x14ac:dyDescent="0.3">
      <c r="A2512" s="1180"/>
      <c r="B2512" s="1181"/>
      <c r="C2512" s="1181"/>
      <c r="D2512" s="1181"/>
      <c r="E2512" s="1181"/>
      <c r="F2512" s="1181"/>
      <c r="G2512" s="1181"/>
      <c r="H2512" s="1181"/>
      <c r="I2512" s="1181"/>
      <c r="J2512" s="1181"/>
      <c r="K2512" s="1181"/>
      <c r="L2512" s="1182"/>
      <c r="M2512" s="117"/>
      <c r="N2512" s="111"/>
      <c r="T2512" s="10"/>
    </row>
    <row r="2513" spans="1:25" ht="30" customHeight="1" x14ac:dyDescent="0.25">
      <c r="A2513" s="327" t="s">
        <v>5</v>
      </c>
      <c r="B2513" s="328">
        <v>3211</v>
      </c>
      <c r="C2513" s="1218" t="s">
        <v>1532</v>
      </c>
      <c r="D2513" s="1219"/>
      <c r="E2513" s="331" t="s">
        <v>8</v>
      </c>
      <c r="F2513" s="332" t="s">
        <v>205</v>
      </c>
      <c r="G2513" s="342" t="s">
        <v>74</v>
      </c>
      <c r="H2513" s="160">
        <v>14691</v>
      </c>
      <c r="I2513" s="331" t="s">
        <v>10</v>
      </c>
      <c r="J2513" s="1220" t="s">
        <v>1533</v>
      </c>
      <c r="K2513" s="1220"/>
      <c r="L2513" s="1221"/>
      <c r="M2513" s="133"/>
      <c r="N2513" s="54"/>
      <c r="T2513" s="10"/>
      <c r="U2513" s="10"/>
    </row>
    <row r="2514" spans="1:25" ht="30" customHeight="1" x14ac:dyDescent="0.25">
      <c r="A2514" s="356"/>
      <c r="B2514" s="1163" t="s">
        <v>13</v>
      </c>
      <c r="C2514" s="1163"/>
      <c r="D2514" s="1163"/>
      <c r="E2514" s="356" t="s">
        <v>116</v>
      </c>
      <c r="F2514" s="356" t="s">
        <v>117</v>
      </c>
      <c r="G2514" s="1194" t="s">
        <v>118</v>
      </c>
      <c r="H2514" s="1195"/>
      <c r="I2514" s="356" t="s">
        <v>119</v>
      </c>
      <c r="J2514" s="356" t="s">
        <v>120</v>
      </c>
      <c r="K2514" s="1236" t="s">
        <v>72</v>
      </c>
      <c r="L2514" s="1237"/>
      <c r="M2514" s="54"/>
      <c r="N2514" s="54"/>
      <c r="T2514" s="10"/>
      <c r="U2514" s="10"/>
    </row>
    <row r="2515" spans="1:25" ht="30" customHeight="1" thickBot="1" x14ac:dyDescent="0.3">
      <c r="A2515" s="360"/>
      <c r="B2515" s="1290" t="s">
        <v>1534</v>
      </c>
      <c r="C2515" s="1290"/>
      <c r="D2515" s="1290"/>
      <c r="E2515" s="694">
        <f>K2208</f>
        <v>416.79592324434907</v>
      </c>
      <c r="F2515" s="486"/>
      <c r="G2515" s="1183"/>
      <c r="H2515" s="1184"/>
      <c r="I2515" s="486"/>
      <c r="J2515" s="487" t="s">
        <v>716</v>
      </c>
      <c r="K2515" s="488">
        <f>E2515</f>
        <v>416.79592324434907</v>
      </c>
      <c r="L2515" s="486" t="s">
        <v>205</v>
      </c>
      <c r="M2515" s="112"/>
      <c r="N2515" s="54"/>
      <c r="T2515" s="60"/>
      <c r="U2515" s="10"/>
    </row>
    <row r="2516" spans="1:25" ht="30" customHeight="1" thickBot="1" x14ac:dyDescent="0.3">
      <c r="A2516" s="1180"/>
      <c r="B2516" s="1181"/>
      <c r="C2516" s="1181"/>
      <c r="D2516" s="1181"/>
      <c r="E2516" s="1181"/>
      <c r="F2516" s="1181"/>
      <c r="G2516" s="1181"/>
      <c r="H2516" s="1181"/>
      <c r="I2516" s="1181"/>
      <c r="J2516" s="1181"/>
      <c r="K2516" s="1181"/>
      <c r="L2516" s="1182"/>
      <c r="M2516" s="54"/>
      <c r="N2516" s="54"/>
      <c r="O2516" s="336"/>
      <c r="U2516" s="60"/>
    </row>
    <row r="2517" spans="1:25" ht="30" customHeight="1" x14ac:dyDescent="0.25">
      <c r="A2517" s="327" t="s">
        <v>5</v>
      </c>
      <c r="B2517" s="328">
        <v>3711</v>
      </c>
      <c r="C2517" s="1218" t="s">
        <v>1535</v>
      </c>
      <c r="D2517" s="1219"/>
      <c r="E2517" s="331" t="s">
        <v>8</v>
      </c>
      <c r="F2517" s="332" t="s">
        <v>205</v>
      </c>
      <c r="G2517" s="342" t="s">
        <v>74</v>
      </c>
      <c r="H2517" s="160">
        <v>3183</v>
      </c>
      <c r="I2517" s="331" t="s">
        <v>10</v>
      </c>
      <c r="J2517" s="1220" t="s">
        <v>1536</v>
      </c>
      <c r="K2517" s="1220"/>
      <c r="L2517" s="1221"/>
      <c r="M2517" s="111"/>
      <c r="N2517" s="54"/>
      <c r="O2517" s="336"/>
      <c r="V2517" s="10"/>
      <c r="W2517" s="10"/>
    </row>
    <row r="2518" spans="1:25" ht="30" customHeight="1" x14ac:dyDescent="0.25">
      <c r="A2518" s="356" t="s">
        <v>282</v>
      </c>
      <c r="B2518" s="1163" t="s">
        <v>13</v>
      </c>
      <c r="C2518" s="1163"/>
      <c r="D2518" s="1163"/>
      <c r="E2518" s="546" t="s">
        <v>116</v>
      </c>
      <c r="F2518" s="356" t="s">
        <v>283</v>
      </c>
      <c r="G2518" s="1314"/>
      <c r="H2518" s="1315"/>
      <c r="I2518" s="1276" t="s">
        <v>284</v>
      </c>
      <c r="J2518" s="1277"/>
      <c r="K2518" s="1236" t="s">
        <v>285</v>
      </c>
      <c r="L2518" s="1237"/>
      <c r="M2518" s="54"/>
      <c r="N2518" s="54"/>
      <c r="T2518" s="10"/>
      <c r="U2518" s="10"/>
    </row>
    <row r="2519" spans="1:25" ht="30" customHeight="1" x14ac:dyDescent="0.25">
      <c r="A2519" s="365">
        <v>17123</v>
      </c>
      <c r="B2519" s="1209" t="s">
        <v>1537</v>
      </c>
      <c r="C2519" s="1210"/>
      <c r="D2519" s="1211"/>
      <c r="E2519" s="272">
        <v>302</v>
      </c>
      <c r="F2519" s="275">
        <v>800</v>
      </c>
      <c r="G2519" s="579"/>
      <c r="H2519" s="579"/>
      <c r="I2519" s="1401">
        <v>0.9405</v>
      </c>
      <c r="J2519" s="1402"/>
      <c r="K2519" s="268">
        <f>+I2519*E2519</f>
        <v>284.03100000000001</v>
      </c>
      <c r="L2519" s="579" t="s">
        <v>205</v>
      </c>
      <c r="M2519" s="54"/>
      <c r="N2519" s="54"/>
      <c r="O2519" s="373"/>
      <c r="T2519" s="10"/>
      <c r="U2519" s="10"/>
    </row>
    <row r="2520" spans="1:25" ht="30" customHeight="1" x14ac:dyDescent="0.25">
      <c r="A2520" s="365">
        <v>17213</v>
      </c>
      <c r="B2520" s="1209" t="s">
        <v>1538</v>
      </c>
      <c r="C2520" s="1210"/>
      <c r="D2520" s="1211"/>
      <c r="E2520" s="272">
        <v>441</v>
      </c>
      <c r="F2520" s="275">
        <v>66000</v>
      </c>
      <c r="G2520" s="823"/>
      <c r="H2520" s="868"/>
      <c r="I2520" s="1401">
        <v>0.9405</v>
      </c>
      <c r="J2520" s="1402"/>
      <c r="K2520" s="268">
        <f>+I2520*E2520</f>
        <v>414.76049999999998</v>
      </c>
      <c r="L2520" s="579" t="s">
        <v>205</v>
      </c>
      <c r="M2520" s="54"/>
      <c r="N2520" s="112"/>
      <c r="O2520" s="373"/>
      <c r="T2520" s="10"/>
      <c r="U2520" s="10"/>
    </row>
    <row r="2521" spans="1:25" ht="30" customHeight="1" thickBot="1" x14ac:dyDescent="0.3">
      <c r="A2521" s="578"/>
      <c r="B2521" s="1214"/>
      <c r="C2521" s="1215"/>
      <c r="D2521" s="1216"/>
      <c r="E2521" s="832"/>
      <c r="F2521" s="869"/>
      <c r="G2521" s="832"/>
      <c r="H2521" s="833"/>
      <c r="I2521" s="578"/>
      <c r="J2521" s="359" t="s">
        <v>72</v>
      </c>
      <c r="K2521" s="268">
        <f>AVERAGE(K2519:K2520)</f>
        <v>349.39575000000002</v>
      </c>
      <c r="L2521" s="579" t="s">
        <v>205</v>
      </c>
      <c r="M2521" s="54"/>
      <c r="N2521" s="54"/>
      <c r="O2521" s="373"/>
      <c r="T2521" s="10"/>
      <c r="U2521" s="10"/>
    </row>
    <row r="2522" spans="1:25" ht="30" customHeight="1" thickBot="1" x14ac:dyDescent="0.3">
      <c r="A2522" s="1180"/>
      <c r="B2522" s="1181"/>
      <c r="C2522" s="1181"/>
      <c r="D2522" s="1181"/>
      <c r="E2522" s="1181"/>
      <c r="F2522" s="1181"/>
      <c r="G2522" s="1181"/>
      <c r="H2522" s="1181"/>
      <c r="I2522" s="1181"/>
      <c r="J2522" s="1181"/>
      <c r="K2522" s="1181"/>
      <c r="L2522" s="1182"/>
      <c r="M2522" s="54"/>
      <c r="N2522" s="111"/>
      <c r="T2522" s="10"/>
      <c r="U2522" s="10"/>
    </row>
    <row r="2523" spans="1:25" ht="30" customHeight="1" x14ac:dyDescent="0.25">
      <c r="A2523" s="327" t="s">
        <v>5</v>
      </c>
      <c r="B2523" s="328">
        <v>3712</v>
      </c>
      <c r="C2523" s="1218" t="s">
        <v>1539</v>
      </c>
      <c r="D2523" s="1219"/>
      <c r="E2523" s="331" t="s">
        <v>8</v>
      </c>
      <c r="F2523" s="332" t="s">
        <v>76</v>
      </c>
      <c r="G2523" s="338" t="s">
        <v>7</v>
      </c>
      <c r="H2523" s="160">
        <v>1</v>
      </c>
      <c r="I2523" s="331" t="s">
        <v>10</v>
      </c>
      <c r="J2523" s="1339" t="s">
        <v>3416</v>
      </c>
      <c r="K2523" s="1339"/>
      <c r="L2523" s="1340"/>
      <c r="M2523" s="112"/>
      <c r="N2523" s="54"/>
      <c r="T2523" s="10"/>
      <c r="U2523" s="10"/>
    </row>
    <row r="2524" spans="1:25" ht="30" customHeight="1" x14ac:dyDescent="0.25">
      <c r="A2524" s="356" t="s">
        <v>282</v>
      </c>
      <c r="B2524" s="1163" t="s">
        <v>13</v>
      </c>
      <c r="C2524" s="1163"/>
      <c r="D2524" s="1163"/>
      <c r="E2524" s="546" t="s">
        <v>116</v>
      </c>
      <c r="F2524" s="356" t="s">
        <v>283</v>
      </c>
      <c r="G2524" s="1314" t="s">
        <v>15</v>
      </c>
      <c r="H2524" s="1315"/>
      <c r="I2524" s="1276" t="s">
        <v>284</v>
      </c>
      <c r="J2524" s="1277"/>
      <c r="K2524" s="1236" t="s">
        <v>285</v>
      </c>
      <c r="L2524" s="1237"/>
      <c r="M2524" s="54"/>
      <c r="N2524" s="112"/>
      <c r="O2524" s="543"/>
      <c r="P2524" s="344"/>
      <c r="Q2524" s="345"/>
      <c r="R2524" s="345"/>
      <c r="S2524" s="345"/>
      <c r="T2524" s="345"/>
      <c r="U2524" s="10"/>
    </row>
    <row r="2525" spans="1:25" ht="30" customHeight="1" x14ac:dyDescent="0.25">
      <c r="A2525" s="365">
        <v>62010</v>
      </c>
      <c r="B2525" s="1164" t="s">
        <v>1540</v>
      </c>
      <c r="C2525" s="1164"/>
      <c r="D2525" s="1164"/>
      <c r="E2525" s="272">
        <v>235</v>
      </c>
      <c r="F2525" s="145">
        <v>230</v>
      </c>
      <c r="G2525" s="365" t="s">
        <v>205</v>
      </c>
      <c r="H2525" s="870"/>
      <c r="I2525" s="1378">
        <f>+'2022 MILCON Inflation Table'!F8</f>
        <v>1.4916874213561331</v>
      </c>
      <c r="J2525" s="1379"/>
      <c r="K2525" s="268">
        <f>+E2525*F2525*I2525</f>
        <v>80625.705124298998</v>
      </c>
      <c r="L2525" s="367" t="s">
        <v>76</v>
      </c>
      <c r="M2525" s="54"/>
      <c r="N2525" s="54"/>
      <c r="U2525" s="10"/>
    </row>
    <row r="2526" spans="1:25" ht="30" customHeight="1" x14ac:dyDescent="0.25">
      <c r="A2526" s="365">
        <v>17971</v>
      </c>
      <c r="B2526" s="1209" t="s">
        <v>1541</v>
      </c>
      <c r="C2526" s="1210"/>
      <c r="D2526" s="1211"/>
      <c r="E2526" s="272">
        <v>606194</v>
      </c>
      <c r="F2526" s="257">
        <v>1</v>
      </c>
      <c r="G2526" s="365" t="s">
        <v>76</v>
      </c>
      <c r="H2526" s="367"/>
      <c r="I2526" s="1183">
        <f>+'2022 MILCON Inflation Table'!F16</f>
        <v>1.0945893340593744</v>
      </c>
      <c r="J2526" s="1184"/>
      <c r="K2526" s="268">
        <f>+E2526*I2526</f>
        <v>663533.48677078844</v>
      </c>
      <c r="L2526" s="367" t="s">
        <v>76</v>
      </c>
      <c r="M2526" s="54"/>
      <c r="N2526" s="54"/>
    </row>
    <row r="2527" spans="1:25" ht="30" customHeight="1" x14ac:dyDescent="0.25">
      <c r="A2527" s="365" t="s">
        <v>1542</v>
      </c>
      <c r="B2527" s="1209" t="s">
        <v>1543</v>
      </c>
      <c r="C2527" s="1210"/>
      <c r="D2527" s="1211"/>
      <c r="E2527" s="272">
        <f>K365</f>
        <v>35023.56719999999</v>
      </c>
      <c r="F2527" s="257">
        <v>1</v>
      </c>
      <c r="G2527" s="365" t="s">
        <v>76</v>
      </c>
      <c r="H2527" s="367"/>
      <c r="I2527" s="1378"/>
      <c r="J2527" s="1379"/>
      <c r="K2527" s="272">
        <f>+E2527</f>
        <v>35023.56719999999</v>
      </c>
      <c r="L2527" s="367" t="s">
        <v>76</v>
      </c>
      <c r="M2527" s="111"/>
      <c r="N2527" s="54"/>
      <c r="T2527" s="10"/>
      <c r="V2527" s="345"/>
      <c r="W2527" s="345"/>
      <c r="X2527" s="345"/>
      <c r="Y2527" s="345"/>
    </row>
    <row r="2528" spans="1:25" s="345" customFormat="1" ht="30" customHeight="1" x14ac:dyDescent="0.25">
      <c r="A2528" s="365"/>
      <c r="B2528" s="1375"/>
      <c r="C2528" s="1376"/>
      <c r="D2528" s="1377"/>
      <c r="E2528" s="153"/>
      <c r="F2528" s="172"/>
      <c r="G2528" s="697"/>
      <c r="H2528" s="341"/>
      <c r="I2528" s="871"/>
      <c r="J2528" s="782" t="s">
        <v>343</v>
      </c>
      <c r="K2528" s="268">
        <f>SUM(K2525:K2527)</f>
        <v>779182.75909508741</v>
      </c>
      <c r="L2528" s="367" t="s">
        <v>76</v>
      </c>
      <c r="M2528" s="54"/>
      <c r="O2528" s="334"/>
      <c r="P2528" s="340"/>
      <c r="Q2528" s="334"/>
      <c r="R2528" s="334"/>
      <c r="S2528" s="334"/>
      <c r="T2528" s="60"/>
      <c r="U2528" s="60"/>
      <c r="V2528" s="334"/>
      <c r="W2528" s="334"/>
      <c r="X2528" s="334"/>
      <c r="Y2528" s="334"/>
    </row>
    <row r="2529" spans="1:25" ht="30" customHeight="1" thickBot="1" x14ac:dyDescent="0.3">
      <c r="A2529" s="365"/>
      <c r="B2529" s="1214"/>
      <c r="C2529" s="1215"/>
      <c r="D2529" s="1216"/>
      <c r="E2529" s="333"/>
      <c r="F2529" s="744"/>
      <c r="G2529" s="333"/>
      <c r="H2529" s="729"/>
      <c r="I2529" s="721"/>
      <c r="J2529" s="359" t="s">
        <v>72</v>
      </c>
      <c r="K2529" s="268">
        <f>+K2528</f>
        <v>779182.75909508741</v>
      </c>
      <c r="L2529" s="367" t="s">
        <v>76</v>
      </c>
      <c r="M2529" s="54"/>
      <c r="N2529" s="112"/>
      <c r="T2529" s="10"/>
      <c r="U2529" s="10"/>
    </row>
    <row r="2530" spans="1:25" ht="30" customHeight="1" thickBot="1" x14ac:dyDescent="0.3">
      <c r="A2530" s="1180"/>
      <c r="B2530" s="1181"/>
      <c r="C2530" s="1181"/>
      <c r="D2530" s="1181"/>
      <c r="E2530" s="1181"/>
      <c r="F2530" s="1181"/>
      <c r="G2530" s="1181"/>
      <c r="H2530" s="1181"/>
      <c r="I2530" s="1181"/>
      <c r="J2530" s="1181"/>
      <c r="K2530" s="1181"/>
      <c r="L2530" s="1182"/>
      <c r="M2530" s="54"/>
      <c r="N2530" s="54"/>
      <c r="O2530" s="336"/>
      <c r="P2530" s="334"/>
      <c r="Q2530" s="335"/>
      <c r="R2530" s="336"/>
      <c r="S2530" s="337"/>
    </row>
    <row r="2531" spans="1:25" ht="30" customHeight="1" x14ac:dyDescent="0.25">
      <c r="A2531" s="327" t="s">
        <v>5</v>
      </c>
      <c r="B2531" s="328">
        <v>3713</v>
      </c>
      <c r="C2531" s="1218" t="s">
        <v>1544</v>
      </c>
      <c r="D2531" s="1219"/>
      <c r="E2531" s="331" t="s">
        <v>8</v>
      </c>
      <c r="F2531" s="332" t="s">
        <v>76</v>
      </c>
      <c r="G2531" s="338" t="s">
        <v>7</v>
      </c>
      <c r="H2531" s="160">
        <v>1</v>
      </c>
      <c r="I2531" s="331" t="s">
        <v>10</v>
      </c>
      <c r="J2531" s="1339" t="s">
        <v>3416</v>
      </c>
      <c r="K2531" s="1339"/>
      <c r="L2531" s="1340"/>
      <c r="M2531" s="111"/>
      <c r="N2531" s="54"/>
      <c r="O2531" s="336"/>
      <c r="P2531" s="334"/>
      <c r="Q2531" s="335"/>
      <c r="R2531" s="336"/>
      <c r="S2531" s="337"/>
    </row>
    <row r="2532" spans="1:25" ht="30" customHeight="1" x14ac:dyDescent="0.25">
      <c r="A2532" s="356" t="s">
        <v>282</v>
      </c>
      <c r="B2532" s="1163" t="s">
        <v>13</v>
      </c>
      <c r="C2532" s="1163"/>
      <c r="D2532" s="1163"/>
      <c r="E2532" s="546" t="s">
        <v>116</v>
      </c>
      <c r="F2532" s="356" t="s">
        <v>283</v>
      </c>
      <c r="G2532" s="1314" t="s">
        <v>15</v>
      </c>
      <c r="H2532" s="1315"/>
      <c r="I2532" s="1276" t="s">
        <v>284</v>
      </c>
      <c r="J2532" s="1277"/>
      <c r="K2532" s="1236" t="s">
        <v>285</v>
      </c>
      <c r="L2532" s="1237"/>
      <c r="M2532" s="54"/>
      <c r="N2532" s="112"/>
      <c r="O2532" s="336"/>
      <c r="P2532" s="334"/>
      <c r="Q2532" s="335"/>
      <c r="R2532" s="336"/>
      <c r="S2532" s="337"/>
    </row>
    <row r="2533" spans="1:25" ht="30" customHeight="1" x14ac:dyDescent="0.25">
      <c r="A2533" s="365">
        <v>17123</v>
      </c>
      <c r="B2533" s="1209" t="s">
        <v>1545</v>
      </c>
      <c r="C2533" s="1210"/>
      <c r="D2533" s="1211"/>
      <c r="E2533" s="276">
        <v>207</v>
      </c>
      <c r="F2533" s="277">
        <v>2576</v>
      </c>
      <c r="G2533" s="367" t="s">
        <v>205</v>
      </c>
      <c r="H2533" s="367"/>
      <c r="I2533" s="1378">
        <f>+'2022 MILCON Inflation Table'!F10</f>
        <v>1.4125755730404082</v>
      </c>
      <c r="J2533" s="1379"/>
      <c r="K2533" s="268">
        <f>+E2533*F2533*I2533</f>
        <v>753230.49796348286</v>
      </c>
      <c r="L2533" s="367" t="s">
        <v>76</v>
      </c>
      <c r="M2533" s="54"/>
      <c r="N2533" s="54"/>
      <c r="O2533" s="336"/>
      <c r="P2533" s="334"/>
      <c r="Q2533" s="335"/>
      <c r="R2533" s="336"/>
      <c r="S2533" s="337"/>
    </row>
    <row r="2534" spans="1:25" ht="30" customHeight="1" x14ac:dyDescent="0.25">
      <c r="A2534" s="365">
        <v>62010</v>
      </c>
      <c r="B2534" s="1164" t="s">
        <v>1546</v>
      </c>
      <c r="C2534" s="1164"/>
      <c r="D2534" s="1164"/>
      <c r="E2534" s="276">
        <v>235</v>
      </c>
      <c r="F2534" s="13">
        <v>230</v>
      </c>
      <c r="G2534" s="367" t="s">
        <v>205</v>
      </c>
      <c r="H2534" s="870"/>
      <c r="I2534" s="1378">
        <f>+'2022 MILCON Inflation Table'!F8</f>
        <v>1.4916874213561331</v>
      </c>
      <c r="J2534" s="1379"/>
      <c r="K2534" s="268">
        <f>+E2534*F2534*I2534</f>
        <v>80625.705124298998</v>
      </c>
      <c r="L2534" s="367" t="s">
        <v>76</v>
      </c>
      <c r="M2534" s="54"/>
      <c r="N2534" s="111"/>
      <c r="O2534" s="336"/>
      <c r="P2534" s="334"/>
      <c r="Q2534" s="335"/>
      <c r="R2534" s="336"/>
      <c r="S2534" s="337"/>
    </row>
    <row r="2535" spans="1:25" ht="30" customHeight="1" x14ac:dyDescent="0.25">
      <c r="A2535" s="365">
        <v>17971</v>
      </c>
      <c r="B2535" s="1209" t="s">
        <v>1547</v>
      </c>
      <c r="C2535" s="1210"/>
      <c r="D2535" s="1211"/>
      <c r="E2535" s="276">
        <v>730318</v>
      </c>
      <c r="F2535" s="277">
        <v>1</v>
      </c>
      <c r="G2535" s="367" t="s">
        <v>76</v>
      </c>
      <c r="H2535" s="367"/>
      <c r="I2535" s="1183">
        <f>+'2022 MILCON Inflation Table'!F20</f>
        <v>0.95928782471892859</v>
      </c>
      <c r="J2535" s="1184"/>
      <c r="K2535" s="268">
        <f>+E2535*I2535</f>
        <v>700585.16557307844</v>
      </c>
      <c r="L2535" s="367" t="s">
        <v>76</v>
      </c>
      <c r="M2535" s="112"/>
      <c r="N2535" s="54"/>
      <c r="O2535" s="336"/>
      <c r="P2535" s="334"/>
      <c r="Q2535" s="335"/>
      <c r="R2535" s="336"/>
      <c r="S2535" s="337"/>
    </row>
    <row r="2536" spans="1:25" ht="30" customHeight="1" x14ac:dyDescent="0.25">
      <c r="A2536" s="365">
        <v>85110</v>
      </c>
      <c r="B2536" s="1281" t="s">
        <v>1548</v>
      </c>
      <c r="C2536" s="1281"/>
      <c r="D2536" s="1281"/>
      <c r="E2536" s="276">
        <v>60</v>
      </c>
      <c r="F2536" s="277">
        <v>147</v>
      </c>
      <c r="G2536" s="367" t="s">
        <v>9</v>
      </c>
      <c r="H2536" s="367"/>
      <c r="I2536" s="1183">
        <f>+'2022 MILCON Inflation Table'!F21</f>
        <v>0.94047825952836139</v>
      </c>
      <c r="J2536" s="1184"/>
      <c r="K2536" s="268">
        <f>+E2536*F2536*I2536</f>
        <v>8295.0182490401476</v>
      </c>
      <c r="L2536" s="367" t="s">
        <v>76</v>
      </c>
      <c r="M2536" s="54"/>
      <c r="N2536" s="54"/>
      <c r="O2536" s="336"/>
      <c r="P2536" s="334"/>
      <c r="Q2536" s="335"/>
      <c r="R2536" s="336"/>
      <c r="S2536" s="337"/>
    </row>
    <row r="2537" spans="1:25" ht="30" customHeight="1" x14ac:dyDescent="0.25">
      <c r="A2537" s="365" t="s">
        <v>1542</v>
      </c>
      <c r="B2537" s="1281" t="s">
        <v>1549</v>
      </c>
      <c r="C2537" s="1281"/>
      <c r="D2537" s="1281"/>
      <c r="E2537" s="276">
        <f>+K365</f>
        <v>35023.56719999999</v>
      </c>
      <c r="F2537" s="277">
        <v>1</v>
      </c>
      <c r="G2537" s="367" t="s">
        <v>76</v>
      </c>
      <c r="H2537" s="367"/>
      <c r="I2537" s="730"/>
      <c r="J2537" s="782"/>
      <c r="K2537" s="272">
        <f>+E2537</f>
        <v>35023.56719999999</v>
      </c>
      <c r="L2537" s="367" t="s">
        <v>76</v>
      </c>
      <c r="M2537" s="111"/>
      <c r="N2537" s="54"/>
      <c r="O2537" s="336"/>
      <c r="P2537" s="334"/>
      <c r="Q2537" s="335"/>
      <c r="R2537" s="336"/>
      <c r="S2537" s="337"/>
    </row>
    <row r="2538" spans="1:25" ht="30" customHeight="1" thickBot="1" x14ac:dyDescent="0.3">
      <c r="A2538" s="365"/>
      <c r="B2538" s="1403"/>
      <c r="C2538" s="1404"/>
      <c r="D2538" s="1405"/>
      <c r="E2538" s="333"/>
      <c r="F2538" s="744"/>
      <c r="G2538" s="333"/>
      <c r="H2538" s="729"/>
      <c r="I2538" s="366" t="s">
        <v>343</v>
      </c>
      <c r="J2538" s="359" t="s">
        <v>72</v>
      </c>
      <c r="K2538" s="268">
        <f>SUM(K2533:K2537)</f>
        <v>1577759.9541099004</v>
      </c>
      <c r="L2538" s="367" t="s">
        <v>76</v>
      </c>
      <c r="M2538" s="54"/>
      <c r="O2538" s="336"/>
      <c r="P2538" s="334"/>
      <c r="Q2538" s="335"/>
      <c r="R2538" s="336"/>
      <c r="S2538" s="337"/>
    </row>
    <row r="2539" spans="1:25" ht="30" customHeight="1" thickBot="1" x14ac:dyDescent="0.3">
      <c r="A2539" s="1180"/>
      <c r="B2539" s="1181"/>
      <c r="C2539" s="1181"/>
      <c r="D2539" s="1181"/>
      <c r="E2539" s="1181"/>
      <c r="F2539" s="1181"/>
      <c r="G2539" s="1181"/>
      <c r="H2539" s="1181"/>
      <c r="I2539" s="1181"/>
      <c r="J2539" s="1181"/>
      <c r="K2539" s="1181"/>
      <c r="L2539" s="1182"/>
      <c r="M2539" s="112"/>
      <c r="O2539" s="336"/>
      <c r="P2539" s="334"/>
      <c r="Q2539" s="335"/>
      <c r="R2539" s="336"/>
      <c r="S2539" s="337"/>
      <c r="U2539" s="11"/>
    </row>
    <row r="2540" spans="1:25" ht="30" customHeight="1" x14ac:dyDescent="0.25">
      <c r="A2540" s="327" t="s">
        <v>5</v>
      </c>
      <c r="B2540" s="328">
        <v>3901</v>
      </c>
      <c r="C2540" s="1218" t="s">
        <v>1550</v>
      </c>
      <c r="D2540" s="1219"/>
      <c r="E2540" s="331" t="s">
        <v>8</v>
      </c>
      <c r="F2540" s="332" t="s">
        <v>76</v>
      </c>
      <c r="G2540" s="342" t="s">
        <v>74</v>
      </c>
      <c r="H2540" s="160">
        <v>1</v>
      </c>
      <c r="I2540" s="331" t="s">
        <v>10</v>
      </c>
      <c r="J2540" s="1220" t="s">
        <v>1551</v>
      </c>
      <c r="K2540" s="1220"/>
      <c r="L2540" s="1221"/>
      <c r="M2540" s="112"/>
      <c r="N2540" s="54"/>
      <c r="O2540" s="543"/>
      <c r="P2540" s="344"/>
      <c r="Q2540" s="345"/>
      <c r="R2540" s="345"/>
      <c r="S2540" s="345"/>
      <c r="T2540" s="345"/>
    </row>
    <row r="2541" spans="1:25" ht="30" customHeight="1" x14ac:dyDescent="0.25">
      <c r="A2541" s="356"/>
      <c r="B2541" s="1163" t="s">
        <v>13</v>
      </c>
      <c r="C2541" s="1163"/>
      <c r="D2541" s="1163"/>
      <c r="E2541" s="356" t="s">
        <v>116</v>
      </c>
      <c r="F2541" s="356" t="s">
        <v>117</v>
      </c>
      <c r="G2541" s="1194" t="s">
        <v>118</v>
      </c>
      <c r="H2541" s="1195"/>
      <c r="I2541" s="356" t="s">
        <v>119</v>
      </c>
      <c r="J2541" s="356" t="s">
        <v>120</v>
      </c>
      <c r="K2541" s="1236" t="s">
        <v>72</v>
      </c>
      <c r="L2541" s="1237"/>
      <c r="M2541" s="54"/>
      <c r="N2541" s="54"/>
      <c r="U2541" s="345"/>
    </row>
    <row r="2542" spans="1:25" ht="30" customHeight="1" thickBot="1" x14ac:dyDescent="0.3">
      <c r="A2542" s="360"/>
      <c r="B2542" s="1290" t="s">
        <v>1552</v>
      </c>
      <c r="C2542" s="1290"/>
      <c r="D2542" s="1290"/>
      <c r="E2542" s="485">
        <f>K2529</f>
        <v>779182.75909508741</v>
      </c>
      <c r="F2542" s="486" t="s">
        <v>76</v>
      </c>
      <c r="G2542" s="1183"/>
      <c r="H2542" s="1184"/>
      <c r="I2542" s="486"/>
      <c r="J2542" s="487" t="s">
        <v>716</v>
      </c>
      <c r="K2542" s="488">
        <f>E2542</f>
        <v>779182.75909508741</v>
      </c>
      <c r="L2542" s="341" t="s">
        <v>76</v>
      </c>
      <c r="M2542" s="54"/>
      <c r="N2542" s="54"/>
    </row>
    <row r="2543" spans="1:25" ht="30" customHeight="1" thickBot="1" x14ac:dyDescent="0.3">
      <c r="A2543" s="1180"/>
      <c r="B2543" s="1181"/>
      <c r="C2543" s="1181"/>
      <c r="D2543" s="1181"/>
      <c r="E2543" s="1181"/>
      <c r="F2543" s="1181"/>
      <c r="G2543" s="1181"/>
      <c r="H2543" s="1181"/>
      <c r="I2543" s="1181"/>
      <c r="J2543" s="1181"/>
      <c r="K2543" s="1181"/>
      <c r="L2543" s="1182"/>
      <c r="M2543" s="112"/>
      <c r="N2543" s="54"/>
      <c r="V2543" s="345"/>
      <c r="W2543" s="345"/>
      <c r="X2543" s="345"/>
      <c r="Y2543" s="345"/>
    </row>
    <row r="2544" spans="1:25" s="345" customFormat="1" ht="30" customHeight="1" x14ac:dyDescent="0.25">
      <c r="A2544" s="327" t="s">
        <v>5</v>
      </c>
      <c r="B2544" s="328">
        <v>3902</v>
      </c>
      <c r="C2544" s="1218" t="s">
        <v>1553</v>
      </c>
      <c r="D2544" s="1219"/>
      <c r="E2544" s="331" t="s">
        <v>8</v>
      </c>
      <c r="F2544" s="332" t="s">
        <v>712</v>
      </c>
      <c r="G2544" s="342" t="s">
        <v>74</v>
      </c>
      <c r="H2544" s="160">
        <v>16877</v>
      </c>
      <c r="I2544" s="331" t="s">
        <v>10</v>
      </c>
      <c r="J2544" s="1220" t="s">
        <v>1554</v>
      </c>
      <c r="K2544" s="1220"/>
      <c r="L2544" s="1221"/>
      <c r="M2544" s="111"/>
      <c r="N2544" s="54"/>
      <c r="O2544" s="334"/>
      <c r="P2544" s="340"/>
      <c r="Q2544" s="334"/>
      <c r="R2544" s="334"/>
      <c r="S2544" s="334"/>
      <c r="T2544" s="334"/>
      <c r="U2544" s="334"/>
      <c r="V2544" s="334"/>
      <c r="W2544" s="334"/>
      <c r="X2544" s="334"/>
      <c r="Y2544" s="334"/>
    </row>
    <row r="2545" spans="1:25" ht="30" customHeight="1" x14ac:dyDescent="0.25">
      <c r="A2545" s="356"/>
      <c r="B2545" s="1163" t="s">
        <v>13</v>
      </c>
      <c r="C2545" s="1163"/>
      <c r="D2545" s="1163"/>
      <c r="E2545" s="356" t="s">
        <v>116</v>
      </c>
      <c r="F2545" s="356" t="s">
        <v>117</v>
      </c>
      <c r="G2545" s="1194" t="s">
        <v>118</v>
      </c>
      <c r="H2545" s="1195"/>
      <c r="I2545" s="356" t="s">
        <v>119</v>
      </c>
      <c r="J2545" s="356" t="s">
        <v>120</v>
      </c>
      <c r="K2545" s="1236" t="s">
        <v>72</v>
      </c>
      <c r="L2545" s="1237"/>
      <c r="M2545" s="54"/>
      <c r="N2545" s="54"/>
      <c r="T2545" s="10"/>
      <c r="V2545" s="345"/>
      <c r="W2545" s="345"/>
      <c r="X2545" s="345"/>
      <c r="Y2545" s="345"/>
    </row>
    <row r="2546" spans="1:25" s="345" customFormat="1" ht="30" customHeight="1" thickBot="1" x14ac:dyDescent="0.3">
      <c r="A2546" s="360"/>
      <c r="B2546" s="1290" t="s">
        <v>716</v>
      </c>
      <c r="C2546" s="1290"/>
      <c r="D2546" s="1290"/>
      <c r="E2546" s="485"/>
      <c r="F2546" s="486"/>
      <c r="G2546" s="1183"/>
      <c r="H2546" s="1184"/>
      <c r="I2546" s="486"/>
      <c r="J2546" s="487" t="s">
        <v>716</v>
      </c>
      <c r="K2546" s="337" t="s">
        <v>716</v>
      </c>
      <c r="L2546" s="1098" t="s">
        <v>712</v>
      </c>
      <c r="M2546" s="54"/>
      <c r="N2546" s="54"/>
      <c r="O2546" s="334"/>
      <c r="P2546" s="340"/>
      <c r="Q2546" s="334"/>
      <c r="R2546" s="334"/>
      <c r="S2546" s="334"/>
      <c r="T2546" s="10"/>
      <c r="U2546" s="10"/>
      <c r="V2546" s="334"/>
      <c r="W2546" s="334"/>
      <c r="X2546" s="334"/>
      <c r="Y2546" s="334"/>
    </row>
    <row r="2547" spans="1:25" ht="30" customHeight="1" thickBot="1" x14ac:dyDescent="0.3">
      <c r="A2547" s="1180"/>
      <c r="B2547" s="1181"/>
      <c r="C2547" s="1181"/>
      <c r="D2547" s="1181"/>
      <c r="E2547" s="1181"/>
      <c r="F2547" s="1181"/>
      <c r="G2547" s="1181"/>
      <c r="H2547" s="1181"/>
      <c r="I2547" s="1181"/>
      <c r="J2547" s="1181"/>
      <c r="K2547" s="1181"/>
      <c r="L2547" s="1182"/>
      <c r="M2547" s="112"/>
      <c r="N2547" s="54"/>
      <c r="O2547" s="336"/>
      <c r="P2547" s="334"/>
      <c r="Q2547" s="335"/>
      <c r="R2547" s="336"/>
      <c r="S2547" s="337"/>
      <c r="U2547" s="10"/>
    </row>
    <row r="2548" spans="1:25" ht="30" customHeight="1" x14ac:dyDescent="0.25">
      <c r="A2548" s="327" t="s">
        <v>5</v>
      </c>
      <c r="B2548" s="328">
        <v>3903</v>
      </c>
      <c r="C2548" s="1218" t="s">
        <v>1555</v>
      </c>
      <c r="D2548" s="1219"/>
      <c r="E2548" s="331" t="s">
        <v>8</v>
      </c>
      <c r="F2548" s="332" t="s">
        <v>76</v>
      </c>
      <c r="G2548" s="342" t="s">
        <v>74</v>
      </c>
      <c r="H2548" s="160">
        <v>1</v>
      </c>
      <c r="I2548" s="331" t="s">
        <v>10</v>
      </c>
      <c r="J2548" s="1220" t="s">
        <v>1556</v>
      </c>
      <c r="K2548" s="1220"/>
      <c r="L2548" s="1221"/>
      <c r="M2548" s="111"/>
      <c r="N2548" s="111"/>
      <c r="O2548" s="336"/>
      <c r="P2548" s="334"/>
      <c r="Q2548" s="335"/>
      <c r="R2548" s="336"/>
      <c r="S2548" s="337"/>
    </row>
    <row r="2549" spans="1:25" ht="30" customHeight="1" x14ac:dyDescent="0.25">
      <c r="A2549" s="356" t="s">
        <v>282</v>
      </c>
      <c r="B2549" s="1163" t="s">
        <v>13</v>
      </c>
      <c r="C2549" s="1163"/>
      <c r="D2549" s="1163"/>
      <c r="E2549" s="356" t="s">
        <v>116</v>
      </c>
      <c r="F2549" s="356" t="s">
        <v>117</v>
      </c>
      <c r="G2549" s="1194" t="s">
        <v>118</v>
      </c>
      <c r="H2549" s="1195"/>
      <c r="I2549" s="356" t="s">
        <v>119</v>
      </c>
      <c r="J2549" s="356" t="s">
        <v>120</v>
      </c>
      <c r="K2549" s="1236" t="s">
        <v>72</v>
      </c>
      <c r="L2549" s="1237"/>
      <c r="M2549" s="111"/>
      <c r="N2549" s="54"/>
      <c r="O2549" s="336"/>
      <c r="P2549" s="334"/>
      <c r="Q2549" s="335"/>
      <c r="R2549" s="336"/>
      <c r="S2549" s="337"/>
    </row>
    <row r="2550" spans="1:25" ht="30" customHeight="1" x14ac:dyDescent="0.25">
      <c r="A2550" s="360"/>
      <c r="B2550" s="1566" t="s">
        <v>1557</v>
      </c>
      <c r="C2550" s="1566"/>
      <c r="D2550" s="1566"/>
      <c r="E2550" s="485">
        <v>43156724</v>
      </c>
      <c r="F2550" s="486" t="s">
        <v>76</v>
      </c>
      <c r="G2550" s="1183"/>
      <c r="H2550" s="1184"/>
      <c r="I2550" s="872">
        <v>0.9</v>
      </c>
      <c r="J2550" s="487">
        <f>'2022 MILCON Inflation Table'!F17</f>
        <v>1.0833841548808889</v>
      </c>
      <c r="K2550" s="488">
        <f>E2550*I2550*J2550</f>
        <v>42079779.862351</v>
      </c>
      <c r="L2550" s="486" t="s">
        <v>76</v>
      </c>
      <c r="M2550" s="112"/>
      <c r="N2550" s="54"/>
      <c r="O2550" s="336"/>
      <c r="P2550" s="334"/>
      <c r="Q2550" s="335"/>
      <c r="R2550" s="336"/>
      <c r="S2550" s="337"/>
    </row>
    <row r="2551" spans="1:25" ht="30" customHeight="1" x14ac:dyDescent="0.25">
      <c r="A2551" s="873"/>
      <c r="B2551" s="874"/>
      <c r="C2551" s="874"/>
      <c r="D2551" s="874"/>
      <c r="E2551" s="875"/>
      <c r="F2551" s="876"/>
      <c r="G2551" s="366"/>
      <c r="H2551" s="366"/>
      <c r="I2551" s="877" t="s">
        <v>306</v>
      </c>
      <c r="J2551" s="521">
        <f>VLOOKUP(B2548,'Mil Cost Premiums for PUCs'!$A$4:$R$277,18,FALSE)</f>
        <v>1.2185124180109259</v>
      </c>
      <c r="K2551" s="268">
        <f>K2550*J2551</f>
        <v>51274734.309440784</v>
      </c>
      <c r="L2551" s="365" t="s">
        <v>76</v>
      </c>
      <c r="M2551" s="54"/>
      <c r="N2551" s="54"/>
      <c r="O2551" s="336"/>
      <c r="P2551" s="334"/>
      <c r="Q2551" s="335"/>
      <c r="R2551" s="336"/>
      <c r="S2551" s="337"/>
    </row>
    <row r="2552" spans="1:25" ht="30" customHeight="1" thickBot="1" x14ac:dyDescent="0.3">
      <c r="A2552" s="1291" t="s">
        <v>1558</v>
      </c>
      <c r="B2552" s="1292"/>
      <c r="C2552" s="1292"/>
      <c r="D2552" s="1292"/>
      <c r="E2552" s="1292"/>
      <c r="F2552" s="1292"/>
      <c r="G2552" s="1292"/>
      <c r="H2552" s="1292"/>
      <c r="I2552" s="1292"/>
      <c r="J2552" s="1292"/>
      <c r="K2552" s="1292"/>
      <c r="L2552" s="1293"/>
      <c r="M2552" s="54"/>
      <c r="N2552" s="54"/>
      <c r="O2552" s="344"/>
      <c r="P2552" s="334"/>
      <c r="Q2552" s="335"/>
      <c r="R2552" s="336"/>
      <c r="S2552" s="337"/>
    </row>
    <row r="2553" spans="1:25" ht="30" customHeight="1" thickBot="1" x14ac:dyDescent="0.3">
      <c r="A2553" s="1180"/>
      <c r="B2553" s="1181"/>
      <c r="C2553" s="1181"/>
      <c r="D2553" s="1181"/>
      <c r="E2553" s="1181"/>
      <c r="F2553" s="1181"/>
      <c r="G2553" s="1181"/>
      <c r="H2553" s="1181"/>
      <c r="I2553" s="1181"/>
      <c r="J2553" s="1181"/>
      <c r="K2553" s="1181"/>
      <c r="L2553" s="1182"/>
      <c r="N2553" s="112"/>
      <c r="O2553" s="344"/>
      <c r="P2553" s="334"/>
      <c r="Q2553" s="335"/>
      <c r="R2553" s="336"/>
      <c r="S2553" s="337"/>
    </row>
    <row r="2554" spans="1:25" ht="30" customHeight="1" x14ac:dyDescent="0.25">
      <c r="A2554" s="327" t="s">
        <v>5</v>
      </c>
      <c r="B2554" s="328">
        <v>3904</v>
      </c>
      <c r="C2554" s="1251" t="s">
        <v>1559</v>
      </c>
      <c r="D2554" s="1252"/>
      <c r="E2554" s="331" t="s">
        <v>8</v>
      </c>
      <c r="F2554" s="332" t="s">
        <v>76</v>
      </c>
      <c r="G2554" s="342" t="s">
        <v>74</v>
      </c>
      <c r="H2554" s="156">
        <v>26854</v>
      </c>
      <c r="I2554" s="331" t="s">
        <v>10</v>
      </c>
      <c r="J2554" s="1220" t="s">
        <v>3417</v>
      </c>
      <c r="K2554" s="1220"/>
      <c r="L2554" s="1221"/>
      <c r="M2554" s="115"/>
      <c r="N2554" s="54"/>
      <c r="T2554" s="10"/>
    </row>
    <row r="2555" spans="1:25" ht="30" customHeight="1" x14ac:dyDescent="0.25">
      <c r="A2555" s="356" t="s">
        <v>282</v>
      </c>
      <c r="B2555" s="1163" t="s">
        <v>13</v>
      </c>
      <c r="C2555" s="1163"/>
      <c r="D2555" s="1163"/>
      <c r="E2555" s="356" t="s">
        <v>576</v>
      </c>
      <c r="F2555" s="356" t="s">
        <v>117</v>
      </c>
      <c r="G2555" s="1194" t="s">
        <v>118</v>
      </c>
      <c r="H2555" s="1195"/>
      <c r="I2555" s="828" t="s">
        <v>119</v>
      </c>
      <c r="J2555" s="356" t="s">
        <v>120</v>
      </c>
      <c r="K2555" s="1236" t="s">
        <v>285</v>
      </c>
      <c r="L2555" s="1237"/>
      <c r="M2555" s="54"/>
      <c r="N2555" s="54"/>
      <c r="O2555" s="336"/>
      <c r="P2555" s="334"/>
      <c r="Q2555" s="335"/>
      <c r="R2555" s="336"/>
      <c r="S2555" s="337"/>
    </row>
    <row r="2556" spans="1:25" ht="30" customHeight="1" x14ac:dyDescent="0.25">
      <c r="A2556" s="365">
        <v>21140</v>
      </c>
      <c r="B2556" s="1214" t="s">
        <v>1132</v>
      </c>
      <c r="C2556" s="1215"/>
      <c r="D2556" s="1216"/>
      <c r="E2556" s="276">
        <v>229</v>
      </c>
      <c r="F2556" s="277" t="s">
        <v>205</v>
      </c>
      <c r="G2556" s="638">
        <f>H2554</f>
        <v>26854</v>
      </c>
      <c r="H2556" s="367" t="s">
        <v>329</v>
      </c>
      <c r="I2556" s="878">
        <v>1.06</v>
      </c>
      <c r="J2556" s="749">
        <f>+'2022 MILCON Inflation Table'!F10</f>
        <v>1.4125755730404082</v>
      </c>
      <c r="K2556" s="278">
        <f>+E2556*G2556*I2556*J2556</f>
        <v>9207930.3193838</v>
      </c>
      <c r="L2556" s="367" t="s">
        <v>76</v>
      </c>
      <c r="M2556" s="54"/>
      <c r="N2556" s="54"/>
      <c r="O2556" s="336"/>
      <c r="P2556" s="334"/>
      <c r="Q2556" s="335"/>
      <c r="R2556" s="336"/>
      <c r="S2556" s="337"/>
    </row>
    <row r="2557" spans="1:25" ht="30" customHeight="1" x14ac:dyDescent="0.25">
      <c r="A2557" s="486" t="s">
        <v>1560</v>
      </c>
      <c r="B2557" s="1281" t="s">
        <v>1561</v>
      </c>
      <c r="C2557" s="1281"/>
      <c r="D2557" s="1281"/>
      <c r="E2557" s="383">
        <v>9590000</v>
      </c>
      <c r="F2557" s="879" t="s">
        <v>76</v>
      </c>
      <c r="G2557" s="616" t="s">
        <v>1562</v>
      </c>
      <c r="H2557" s="732"/>
      <c r="I2557" s="878">
        <v>1.06</v>
      </c>
      <c r="J2557" s="715">
        <f>+'2022 MILCON Inflation Table'!F4</f>
        <v>1.4758838504863185</v>
      </c>
      <c r="K2557" s="383">
        <f>+E2557/I2557*J2557</f>
        <v>13352571.817135654</v>
      </c>
      <c r="L2557" s="360" t="s">
        <v>76</v>
      </c>
      <c r="M2557" s="54"/>
      <c r="N2557" s="111"/>
      <c r="O2557" s="336"/>
      <c r="P2557" s="334"/>
      <c r="Q2557" s="335"/>
      <c r="R2557" s="336"/>
      <c r="S2557" s="337"/>
    </row>
    <row r="2558" spans="1:25" ht="30" customHeight="1" x14ac:dyDescent="0.25">
      <c r="A2558" s="360"/>
      <c r="B2558" s="385"/>
      <c r="C2558" s="385"/>
      <c r="D2558" s="385"/>
      <c r="E2558" s="880"/>
      <c r="F2558" s="360"/>
      <c r="G2558" s="366"/>
      <c r="H2558" s="732"/>
      <c r="I2558" s="360"/>
      <c r="J2558" s="360" t="s">
        <v>300</v>
      </c>
      <c r="K2558" s="383">
        <f>AVERAGE(K2556:K2557)</f>
        <v>11280251.068259727</v>
      </c>
      <c r="L2558" s="360" t="s">
        <v>76</v>
      </c>
      <c r="M2558" s="54"/>
      <c r="N2558" s="54"/>
      <c r="O2558" s="336"/>
      <c r="P2558" s="334"/>
      <c r="Q2558" s="335"/>
      <c r="R2558" s="336"/>
      <c r="S2558" s="337"/>
    </row>
    <row r="2559" spans="1:25" ht="30" customHeight="1" x14ac:dyDescent="0.25">
      <c r="A2559" s="365"/>
      <c r="B2559" s="1281" t="s">
        <v>3418</v>
      </c>
      <c r="C2559" s="1281"/>
      <c r="D2559" s="1281"/>
      <c r="F2559" s="366"/>
      <c r="G2559" s="1209" t="s">
        <v>1563</v>
      </c>
      <c r="H2559" s="1210"/>
      <c r="I2559" s="1211"/>
      <c r="J2559" s="359" t="s">
        <v>72</v>
      </c>
      <c r="K2559" s="278">
        <f>+K2558</f>
        <v>11280251.068259727</v>
      </c>
      <c r="L2559" s="365" t="s">
        <v>76</v>
      </c>
      <c r="M2559" s="54"/>
      <c r="N2559" s="54"/>
      <c r="O2559" s="336"/>
      <c r="P2559" s="334"/>
      <c r="Q2559" s="335"/>
      <c r="R2559" s="336"/>
      <c r="S2559" s="337"/>
    </row>
    <row r="2560" spans="1:25" ht="30" customHeight="1" thickBot="1" x14ac:dyDescent="0.3">
      <c r="A2560" s="1291" t="s">
        <v>1564</v>
      </c>
      <c r="B2560" s="1292"/>
      <c r="C2560" s="1292"/>
      <c r="D2560" s="1292"/>
      <c r="E2560" s="1292"/>
      <c r="F2560" s="1292"/>
      <c r="G2560" s="1292"/>
      <c r="H2560" s="1292"/>
      <c r="I2560" s="1292"/>
      <c r="J2560" s="1292"/>
      <c r="K2560" s="1292"/>
      <c r="L2560" s="1293"/>
      <c r="M2560" s="54"/>
      <c r="N2560" s="54"/>
      <c r="O2560" s="336"/>
      <c r="P2560" s="334"/>
      <c r="Q2560" s="335"/>
      <c r="R2560" s="336"/>
      <c r="S2560" s="337"/>
    </row>
    <row r="2561" spans="1:19" ht="30" customHeight="1" thickBot="1" x14ac:dyDescent="0.3">
      <c r="A2561" s="1180"/>
      <c r="B2561" s="1181"/>
      <c r="C2561" s="1181"/>
      <c r="D2561" s="1181"/>
      <c r="E2561" s="1181"/>
      <c r="F2561" s="1181"/>
      <c r="G2561" s="1181"/>
      <c r="H2561" s="1181"/>
      <c r="I2561" s="1181"/>
      <c r="J2561" s="1181"/>
      <c r="K2561" s="1181"/>
      <c r="L2561" s="1182"/>
      <c r="M2561" s="54"/>
      <c r="N2561" s="54"/>
      <c r="O2561" s="336"/>
      <c r="P2561" s="334"/>
      <c r="Q2561" s="335"/>
      <c r="R2561" s="336"/>
      <c r="S2561" s="337"/>
    </row>
    <row r="2562" spans="1:19" ht="30" customHeight="1" x14ac:dyDescent="0.25">
      <c r="A2562" s="327" t="s">
        <v>5</v>
      </c>
      <c r="B2562" s="328">
        <v>4111</v>
      </c>
      <c r="C2562" s="1251" t="s">
        <v>1565</v>
      </c>
      <c r="D2562" s="1252"/>
      <c r="E2562" s="331" t="s">
        <v>8</v>
      </c>
      <c r="F2562" s="332" t="s">
        <v>1566</v>
      </c>
      <c r="G2562" s="333" t="s">
        <v>7</v>
      </c>
      <c r="H2562" s="156">
        <v>50000</v>
      </c>
      <c r="I2562" s="331" t="s">
        <v>10</v>
      </c>
      <c r="J2562" s="1220" t="s">
        <v>1567</v>
      </c>
      <c r="K2562" s="1220"/>
      <c r="L2562" s="1221"/>
      <c r="M2562" s="112"/>
      <c r="N2562" s="111"/>
      <c r="O2562" s="344"/>
      <c r="P2562" s="334"/>
      <c r="Q2562" s="335"/>
      <c r="R2562" s="336"/>
      <c r="S2562" s="337"/>
    </row>
    <row r="2563" spans="1:19" ht="30" customHeight="1" x14ac:dyDescent="0.25">
      <c r="A2563" s="495" t="s">
        <v>12</v>
      </c>
      <c r="B2563" s="1196" t="s">
        <v>13</v>
      </c>
      <c r="C2563" s="1197"/>
      <c r="D2563" s="1198"/>
      <c r="E2563" s="490" t="s">
        <v>14</v>
      </c>
      <c r="F2563" s="522" t="s">
        <v>15</v>
      </c>
      <c r="G2563" s="492" t="s">
        <v>16</v>
      </c>
      <c r="H2563" s="493" t="s">
        <v>17</v>
      </c>
      <c r="I2563" s="493" t="s">
        <v>18</v>
      </c>
      <c r="J2563" s="494" t="s">
        <v>19</v>
      </c>
      <c r="K2563" s="495" t="s">
        <v>20</v>
      </c>
      <c r="L2563" s="523" t="s">
        <v>75</v>
      </c>
      <c r="M2563" s="54"/>
      <c r="N2563" s="111"/>
      <c r="O2563" s="344"/>
      <c r="P2563" s="334"/>
      <c r="Q2563" s="335"/>
      <c r="R2563" s="336"/>
      <c r="S2563" s="337"/>
    </row>
    <row r="2564" spans="1:19" ht="30" customHeight="1" x14ac:dyDescent="0.25">
      <c r="A2564" s="524" t="s">
        <v>215</v>
      </c>
      <c r="B2564" s="1188" t="s">
        <v>216</v>
      </c>
      <c r="C2564" s="1189"/>
      <c r="D2564" s="1190"/>
      <c r="E2564" s="525">
        <v>5162</v>
      </c>
      <c r="F2564" s="526" t="s">
        <v>25</v>
      </c>
      <c r="G2564" s="526">
        <v>136270.32999999999</v>
      </c>
      <c r="H2564" s="526">
        <v>10385.91</v>
      </c>
      <c r="I2564" s="526">
        <v>14605.21</v>
      </c>
      <c r="J2564" s="526">
        <v>97267.05</v>
      </c>
      <c r="K2564" s="527">
        <v>161261.45000000001</v>
      </c>
      <c r="L2564" s="526" t="s">
        <v>25</v>
      </c>
      <c r="M2564" s="54"/>
      <c r="N2564" s="111"/>
      <c r="O2564" s="344"/>
      <c r="P2564" s="334"/>
      <c r="Q2564" s="335"/>
      <c r="R2564" s="336"/>
      <c r="S2564" s="337"/>
    </row>
    <row r="2565" spans="1:19" ht="30" customHeight="1" x14ac:dyDescent="0.25">
      <c r="A2565" s="524" t="s">
        <v>217</v>
      </c>
      <c r="B2565" s="1188" t="s">
        <v>218</v>
      </c>
      <c r="C2565" s="1189"/>
      <c r="D2565" s="1190"/>
      <c r="E2565" s="525">
        <v>151</v>
      </c>
      <c r="F2565" s="526" t="s">
        <v>25</v>
      </c>
      <c r="G2565" s="526">
        <v>74312.240000000005</v>
      </c>
      <c r="H2565" s="526">
        <v>76614.34</v>
      </c>
      <c r="I2565" s="526">
        <v>3148.12</v>
      </c>
      <c r="J2565" s="526">
        <v>83626.55</v>
      </c>
      <c r="K2565" s="527">
        <v>154074.70000000001</v>
      </c>
      <c r="L2565" s="526" t="s">
        <v>25</v>
      </c>
      <c r="M2565" s="54"/>
      <c r="N2565" s="111"/>
      <c r="O2565" s="344"/>
      <c r="P2565" s="334"/>
      <c r="Q2565" s="335"/>
      <c r="R2565" s="336"/>
      <c r="S2565" s="337"/>
    </row>
    <row r="2566" spans="1:19" ht="30" customHeight="1" x14ac:dyDescent="0.25">
      <c r="A2566" s="524" t="s">
        <v>219</v>
      </c>
      <c r="B2566" s="1188" t="s">
        <v>220</v>
      </c>
      <c r="C2566" s="1189"/>
      <c r="D2566" s="1190"/>
      <c r="E2566" s="525">
        <v>1178</v>
      </c>
      <c r="F2566" s="526" t="s">
        <v>40</v>
      </c>
      <c r="G2566" s="526">
        <v>73125.83</v>
      </c>
      <c r="H2566" s="526">
        <v>26089.599999999999</v>
      </c>
      <c r="I2566" s="526">
        <v>0</v>
      </c>
      <c r="J2566" s="526">
        <v>57094.36</v>
      </c>
      <c r="K2566" s="527">
        <v>99215.43</v>
      </c>
      <c r="L2566" s="526" t="s">
        <v>40</v>
      </c>
      <c r="M2566" s="54"/>
      <c r="N2566" s="111"/>
      <c r="O2566" s="344"/>
      <c r="P2566" s="334"/>
      <c r="Q2566" s="335"/>
      <c r="R2566" s="336"/>
      <c r="S2566" s="337"/>
    </row>
    <row r="2567" spans="1:19" ht="30" customHeight="1" x14ac:dyDescent="0.25">
      <c r="A2567" s="524" t="s">
        <v>221</v>
      </c>
      <c r="B2567" s="1188" t="s">
        <v>222</v>
      </c>
      <c r="C2567" s="1189"/>
      <c r="D2567" s="1190"/>
      <c r="E2567" s="525">
        <v>12756.41</v>
      </c>
      <c r="F2567" s="526" t="s">
        <v>40</v>
      </c>
      <c r="G2567" s="526">
        <v>248709.77</v>
      </c>
      <c r="H2567" s="526">
        <v>186632.42</v>
      </c>
      <c r="I2567" s="526">
        <v>0</v>
      </c>
      <c r="J2567" s="526">
        <v>240453.23</v>
      </c>
      <c r="K2567" s="527">
        <v>435342.19</v>
      </c>
      <c r="L2567" s="526" t="s">
        <v>40</v>
      </c>
      <c r="M2567" s="54"/>
      <c r="N2567" s="111"/>
      <c r="O2567" s="344"/>
      <c r="P2567" s="334"/>
      <c r="Q2567" s="335"/>
      <c r="R2567" s="336"/>
      <c r="S2567" s="337"/>
    </row>
    <row r="2568" spans="1:19" ht="30" customHeight="1" x14ac:dyDescent="0.25">
      <c r="A2568" s="524" t="s">
        <v>223</v>
      </c>
      <c r="B2568" s="1188" t="s">
        <v>224</v>
      </c>
      <c r="C2568" s="1189"/>
      <c r="D2568" s="1190"/>
      <c r="E2568" s="525">
        <v>63</v>
      </c>
      <c r="F2568" s="526" t="s">
        <v>76</v>
      </c>
      <c r="G2568" s="526">
        <v>43041.03</v>
      </c>
      <c r="H2568" s="526">
        <v>8690.93</v>
      </c>
      <c r="I2568" s="526">
        <v>1024.8499999999999</v>
      </c>
      <c r="J2568" s="526">
        <v>31082.41</v>
      </c>
      <c r="K2568" s="527">
        <v>52756.81</v>
      </c>
      <c r="L2568" s="526" t="s">
        <v>76</v>
      </c>
      <c r="M2568" s="54"/>
      <c r="N2568" s="111"/>
      <c r="O2568" s="344"/>
      <c r="P2568" s="334"/>
      <c r="Q2568" s="335"/>
      <c r="R2568" s="336"/>
      <c r="S2568" s="337"/>
    </row>
    <row r="2569" spans="1:19" ht="30" customHeight="1" x14ac:dyDescent="0.25">
      <c r="A2569" s="524" t="s">
        <v>1568</v>
      </c>
      <c r="B2569" s="1188" t="s">
        <v>1569</v>
      </c>
      <c r="C2569" s="1189"/>
      <c r="D2569" s="1190"/>
      <c r="E2569" s="525">
        <v>1</v>
      </c>
      <c r="F2569" s="526" t="s">
        <v>76</v>
      </c>
      <c r="G2569" s="526">
        <v>0</v>
      </c>
      <c r="H2569" s="526">
        <v>0</v>
      </c>
      <c r="I2569" s="526">
        <v>0</v>
      </c>
      <c r="J2569" s="526">
        <v>1056000</v>
      </c>
      <c r="K2569" s="527">
        <v>1376580</v>
      </c>
      <c r="L2569" s="526" t="s">
        <v>76</v>
      </c>
      <c r="M2569" s="54"/>
      <c r="N2569" s="111"/>
      <c r="O2569" s="344"/>
      <c r="P2569" s="334"/>
      <c r="Q2569" s="335"/>
      <c r="R2569" s="336"/>
      <c r="S2569" s="337"/>
    </row>
    <row r="2570" spans="1:19" ht="30" customHeight="1" x14ac:dyDescent="0.25">
      <c r="A2570" s="524" t="s">
        <v>227</v>
      </c>
      <c r="B2570" s="1188" t="s">
        <v>228</v>
      </c>
      <c r="C2570" s="1189"/>
      <c r="D2570" s="1190"/>
      <c r="E2570" s="525">
        <v>951.75</v>
      </c>
      <c r="F2570" s="526" t="s">
        <v>40</v>
      </c>
      <c r="G2570" s="526">
        <v>482288.19</v>
      </c>
      <c r="H2570" s="526">
        <v>51650.52</v>
      </c>
      <c r="I2570" s="526">
        <v>68873.149999999994</v>
      </c>
      <c r="J2570" s="526">
        <v>361804.43</v>
      </c>
      <c r="K2570" s="527">
        <v>602811.86</v>
      </c>
      <c r="L2570" s="526" t="s">
        <v>40</v>
      </c>
      <c r="M2570" s="54"/>
      <c r="N2570" s="111"/>
      <c r="O2570" s="344"/>
      <c r="P2570" s="334"/>
      <c r="Q2570" s="335"/>
      <c r="R2570" s="336"/>
      <c r="S2570" s="337"/>
    </row>
    <row r="2571" spans="1:19" ht="30" customHeight="1" x14ac:dyDescent="0.25">
      <c r="A2571" s="524" t="s">
        <v>229</v>
      </c>
      <c r="B2571" s="1188" t="s">
        <v>230</v>
      </c>
      <c r="C2571" s="1189"/>
      <c r="D2571" s="1190"/>
      <c r="E2571" s="525">
        <v>42460.28</v>
      </c>
      <c r="F2571" s="526" t="s">
        <v>205</v>
      </c>
      <c r="G2571" s="526">
        <v>491086.57</v>
      </c>
      <c r="H2571" s="526">
        <v>352401.19</v>
      </c>
      <c r="I2571" s="526">
        <v>2018.45</v>
      </c>
      <c r="J2571" s="526">
        <v>468404.82</v>
      </c>
      <c r="K2571" s="527">
        <v>845506.21</v>
      </c>
      <c r="L2571" s="526" t="s">
        <v>205</v>
      </c>
      <c r="M2571" s="54"/>
      <c r="N2571" s="111"/>
      <c r="O2571" s="344"/>
      <c r="P2571" s="334"/>
      <c r="Q2571" s="335"/>
      <c r="R2571" s="336"/>
      <c r="S2571" s="337"/>
    </row>
    <row r="2572" spans="1:19" ht="30" customHeight="1" x14ac:dyDescent="0.25">
      <c r="A2572" s="524" t="s">
        <v>231</v>
      </c>
      <c r="B2572" s="1188" t="s">
        <v>232</v>
      </c>
      <c r="C2572" s="1189"/>
      <c r="D2572" s="1190"/>
      <c r="E2572" s="525">
        <v>11</v>
      </c>
      <c r="F2572" s="526" t="s">
        <v>80</v>
      </c>
      <c r="G2572" s="526">
        <v>41778.959999999999</v>
      </c>
      <c r="H2572" s="526">
        <v>7004.56</v>
      </c>
      <c r="I2572" s="526">
        <v>1731.18</v>
      </c>
      <c r="J2572" s="526">
        <v>29945.21</v>
      </c>
      <c r="K2572" s="527">
        <v>50514.7</v>
      </c>
      <c r="L2572" s="526" t="s">
        <v>80</v>
      </c>
      <c r="M2572" s="54"/>
      <c r="N2572" s="111"/>
      <c r="O2572" s="344"/>
      <c r="P2572" s="334"/>
      <c r="Q2572" s="335"/>
      <c r="R2572" s="336"/>
      <c r="S2572" s="337"/>
    </row>
    <row r="2573" spans="1:19" ht="30" customHeight="1" x14ac:dyDescent="0.25">
      <c r="A2573" s="528"/>
      <c r="B2573" s="1199"/>
      <c r="C2573" s="1199"/>
      <c r="D2573" s="1199"/>
      <c r="E2573" s="529"/>
      <c r="F2573" s="529"/>
      <c r="G2573" s="529"/>
      <c r="H2573" s="529"/>
      <c r="I2573" s="529"/>
      <c r="J2573" s="530">
        <f>SUM(J2564:J2572)</f>
        <v>2425678.06</v>
      </c>
      <c r="K2573" s="531">
        <f>SUM(K2564:K2572)</f>
        <v>3778063.35</v>
      </c>
      <c r="L2573" s="526"/>
      <c r="M2573" s="111"/>
      <c r="N2573" s="54"/>
      <c r="O2573" s="344"/>
      <c r="P2573" s="334"/>
      <c r="Q2573" s="335"/>
      <c r="R2573" s="336"/>
      <c r="S2573" s="337"/>
    </row>
    <row r="2574" spans="1:19" ht="30" customHeight="1" thickBot="1" x14ac:dyDescent="0.3">
      <c r="A2574" s="532"/>
      <c r="B2574" s="1200" t="s">
        <v>1570</v>
      </c>
      <c r="C2574" s="1200"/>
      <c r="D2574" s="1200"/>
      <c r="E2574" s="533"/>
      <c r="F2574" s="534"/>
      <c r="G2574" s="1201"/>
      <c r="H2574" s="1202"/>
      <c r="I2574" s="534"/>
      <c r="J2574" s="535" t="s">
        <v>72</v>
      </c>
      <c r="K2574" s="536">
        <f>K2573/H2562</f>
        <v>75.561267000000001</v>
      </c>
      <c r="L2574" s="534" t="s">
        <v>1566</v>
      </c>
      <c r="M2574" s="54"/>
      <c r="N2574" s="54"/>
      <c r="P2574" s="334"/>
      <c r="Q2574" s="335"/>
      <c r="R2574" s="336"/>
      <c r="S2574" s="337"/>
    </row>
    <row r="2575" spans="1:19" ht="30" customHeight="1" thickBot="1" x14ac:dyDescent="0.3">
      <c r="A2575" s="1180"/>
      <c r="B2575" s="1181"/>
      <c r="C2575" s="1181"/>
      <c r="D2575" s="1181"/>
      <c r="E2575" s="1181"/>
      <c r="F2575" s="1181"/>
      <c r="G2575" s="1181"/>
      <c r="H2575" s="1181"/>
      <c r="I2575" s="1181"/>
      <c r="J2575" s="1181"/>
      <c r="K2575" s="1181"/>
      <c r="L2575" s="1182"/>
      <c r="M2575" s="54"/>
      <c r="N2575" s="117"/>
      <c r="P2575" s="334"/>
      <c r="Q2575" s="335"/>
      <c r="R2575" s="336"/>
      <c r="S2575" s="337"/>
    </row>
    <row r="2576" spans="1:19" ht="30" customHeight="1" x14ac:dyDescent="0.25">
      <c r="A2576" s="327" t="s">
        <v>5</v>
      </c>
      <c r="B2576" s="328">
        <v>4112</v>
      </c>
      <c r="C2576" s="1251" t="s">
        <v>1571</v>
      </c>
      <c r="D2576" s="1252"/>
      <c r="E2576" s="331" t="s">
        <v>8</v>
      </c>
      <c r="F2576" s="332" t="s">
        <v>1566</v>
      </c>
      <c r="G2576" s="333" t="s">
        <v>7</v>
      </c>
      <c r="H2576" s="156">
        <v>150000</v>
      </c>
      <c r="I2576" s="331" t="s">
        <v>10</v>
      </c>
      <c r="J2576" s="1220" t="s">
        <v>1567</v>
      </c>
      <c r="K2576" s="1220"/>
      <c r="L2576" s="1221"/>
      <c r="M2576" s="112"/>
      <c r="N2576" s="57"/>
      <c r="P2576" s="334"/>
      <c r="Q2576" s="335"/>
      <c r="R2576" s="336"/>
      <c r="S2576" s="337"/>
    </row>
    <row r="2577" spans="1:19" ht="30" customHeight="1" x14ac:dyDescent="0.25">
      <c r="A2577" s="495" t="s">
        <v>12</v>
      </c>
      <c r="B2577" s="1196" t="s">
        <v>13</v>
      </c>
      <c r="C2577" s="1197"/>
      <c r="D2577" s="1198"/>
      <c r="E2577" s="490" t="s">
        <v>14</v>
      </c>
      <c r="F2577" s="522" t="s">
        <v>15</v>
      </c>
      <c r="G2577" s="492" t="s">
        <v>16</v>
      </c>
      <c r="H2577" s="493" t="s">
        <v>17</v>
      </c>
      <c r="I2577" s="493" t="s">
        <v>18</v>
      </c>
      <c r="J2577" s="494" t="s">
        <v>19</v>
      </c>
      <c r="K2577" s="495" t="s">
        <v>20</v>
      </c>
      <c r="L2577" s="523" t="s">
        <v>75</v>
      </c>
      <c r="M2577" s="54"/>
      <c r="N2577" s="111"/>
      <c r="O2577" s="344"/>
      <c r="P2577" s="334"/>
      <c r="Q2577" s="335"/>
      <c r="R2577" s="336"/>
      <c r="S2577" s="337"/>
    </row>
    <row r="2578" spans="1:19" ht="30" customHeight="1" x14ac:dyDescent="0.25">
      <c r="A2578" s="524" t="s">
        <v>215</v>
      </c>
      <c r="B2578" s="1188" t="s">
        <v>216</v>
      </c>
      <c r="C2578" s="1189"/>
      <c r="D2578" s="1190"/>
      <c r="E2578" s="525">
        <v>12252</v>
      </c>
      <c r="F2578" s="526" t="s">
        <v>25</v>
      </c>
      <c r="G2578" s="526">
        <v>324008.36</v>
      </c>
      <c r="H2578" s="526">
        <v>24694.45</v>
      </c>
      <c r="I2578" s="526">
        <v>34726.639999999999</v>
      </c>
      <c r="J2578" s="526">
        <v>230863.21</v>
      </c>
      <c r="K2578" s="527">
        <v>383429.44</v>
      </c>
      <c r="L2578" s="526" t="s">
        <v>25</v>
      </c>
      <c r="M2578" s="54"/>
      <c r="N2578" s="111"/>
      <c r="O2578" s="344"/>
      <c r="P2578" s="334"/>
      <c r="Q2578" s="335"/>
      <c r="R2578" s="336"/>
      <c r="S2578" s="337"/>
    </row>
    <row r="2579" spans="1:19" ht="30" customHeight="1" x14ac:dyDescent="0.25">
      <c r="A2579" s="524" t="s">
        <v>217</v>
      </c>
      <c r="B2579" s="1188" t="s">
        <v>218</v>
      </c>
      <c r="C2579" s="1189"/>
      <c r="D2579" s="1190"/>
      <c r="E2579" s="525">
        <v>358</v>
      </c>
      <c r="F2579" s="526" t="s">
        <v>25</v>
      </c>
      <c r="G2579" s="526">
        <v>176494.98</v>
      </c>
      <c r="H2579" s="526">
        <v>181962.58</v>
      </c>
      <c r="I2579" s="526">
        <v>7476.93</v>
      </c>
      <c r="J2579" s="526">
        <v>198266.92</v>
      </c>
      <c r="K2579" s="527">
        <v>365934.49</v>
      </c>
      <c r="L2579" s="526" t="s">
        <v>25</v>
      </c>
      <c r="M2579" s="54"/>
      <c r="N2579" s="111"/>
      <c r="O2579" s="344"/>
      <c r="P2579" s="334"/>
      <c r="Q2579" s="335"/>
      <c r="R2579" s="336"/>
      <c r="S2579" s="337"/>
    </row>
    <row r="2580" spans="1:19" ht="30" customHeight="1" x14ac:dyDescent="0.25">
      <c r="A2580" s="524" t="s">
        <v>219</v>
      </c>
      <c r="B2580" s="1188" t="s">
        <v>220</v>
      </c>
      <c r="C2580" s="1189"/>
      <c r="D2580" s="1190"/>
      <c r="E2580" s="525">
        <v>2797</v>
      </c>
      <c r="F2580" s="526" t="s">
        <v>40</v>
      </c>
      <c r="G2580" s="526">
        <v>173933.78</v>
      </c>
      <c r="H2580" s="526">
        <v>62055.53</v>
      </c>
      <c r="I2580" s="526">
        <v>0</v>
      </c>
      <c r="J2580" s="526">
        <v>135562.76</v>
      </c>
      <c r="K2580" s="527">
        <v>235989.3</v>
      </c>
      <c r="L2580" s="526" t="s">
        <v>40</v>
      </c>
      <c r="M2580" s="54"/>
      <c r="N2580" s="111"/>
      <c r="O2580" s="344"/>
      <c r="P2580" s="334"/>
      <c r="Q2580" s="335"/>
      <c r="R2580" s="336"/>
      <c r="S2580" s="337"/>
    </row>
    <row r="2581" spans="1:19" ht="30" customHeight="1" x14ac:dyDescent="0.25">
      <c r="A2581" s="524" t="s">
        <v>221</v>
      </c>
      <c r="B2581" s="1188" t="s">
        <v>222</v>
      </c>
      <c r="C2581" s="1189"/>
      <c r="D2581" s="1190"/>
      <c r="E2581" s="525">
        <v>34696.18</v>
      </c>
      <c r="F2581" s="526" t="s">
        <v>40</v>
      </c>
      <c r="G2581" s="526">
        <v>677660.16000000003</v>
      </c>
      <c r="H2581" s="526">
        <v>508517.85</v>
      </c>
      <c r="I2581" s="526">
        <v>0</v>
      </c>
      <c r="J2581" s="526">
        <v>654009.11</v>
      </c>
      <c r="K2581" s="527">
        <v>1186178</v>
      </c>
      <c r="L2581" s="526" t="s">
        <v>40</v>
      </c>
      <c r="M2581" s="54"/>
      <c r="N2581" s="111"/>
      <c r="O2581" s="344"/>
      <c r="P2581" s="334"/>
      <c r="Q2581" s="335"/>
      <c r="R2581" s="336"/>
      <c r="S2581" s="337"/>
    </row>
    <row r="2582" spans="1:19" ht="30" customHeight="1" x14ac:dyDescent="0.25">
      <c r="A2582" s="524" t="s">
        <v>223</v>
      </c>
      <c r="B2582" s="1188" t="s">
        <v>224</v>
      </c>
      <c r="C2582" s="1189"/>
      <c r="D2582" s="1190"/>
      <c r="E2582" s="525">
        <v>151</v>
      </c>
      <c r="F2582" s="526" t="s">
        <v>76</v>
      </c>
      <c r="G2582" s="526">
        <v>103343.92</v>
      </c>
      <c r="H2582" s="526">
        <v>20867.419999999998</v>
      </c>
      <c r="I2582" s="526">
        <v>2460.71</v>
      </c>
      <c r="J2582" s="526">
        <v>74499.11</v>
      </c>
      <c r="K2582" s="527">
        <v>126672.05</v>
      </c>
      <c r="L2582" s="526" t="s">
        <v>76</v>
      </c>
      <c r="M2582" s="54"/>
      <c r="N2582" s="111"/>
      <c r="O2582" s="344"/>
      <c r="P2582" s="334"/>
      <c r="Q2582" s="335"/>
      <c r="R2582" s="336"/>
      <c r="S2582" s="337"/>
    </row>
    <row r="2583" spans="1:19" ht="30" customHeight="1" x14ac:dyDescent="0.25">
      <c r="A2583" s="524" t="s">
        <v>1568</v>
      </c>
      <c r="B2583" s="1188" t="s">
        <v>1569</v>
      </c>
      <c r="C2583" s="1189"/>
      <c r="D2583" s="1190"/>
      <c r="E2583" s="525">
        <v>1</v>
      </c>
      <c r="F2583" s="526" t="s">
        <v>76</v>
      </c>
      <c r="G2583" s="526">
        <v>0</v>
      </c>
      <c r="H2583" s="526">
        <v>0</v>
      </c>
      <c r="I2583" s="526">
        <v>0</v>
      </c>
      <c r="J2583" s="526">
        <v>2232000</v>
      </c>
      <c r="K2583" s="527">
        <v>2909590</v>
      </c>
      <c r="L2583" s="526" t="s">
        <v>76</v>
      </c>
      <c r="M2583" s="54"/>
      <c r="N2583" s="111"/>
      <c r="O2583" s="344"/>
      <c r="P2583" s="334"/>
      <c r="Q2583" s="335"/>
      <c r="R2583" s="336"/>
      <c r="S2583" s="337"/>
    </row>
    <row r="2584" spans="1:19" ht="30" customHeight="1" x14ac:dyDescent="0.25">
      <c r="A2584" s="524" t="s">
        <v>227</v>
      </c>
      <c r="B2584" s="1188" t="s">
        <v>228</v>
      </c>
      <c r="C2584" s="1189"/>
      <c r="D2584" s="1190"/>
      <c r="E2584" s="525">
        <v>1571.76</v>
      </c>
      <c r="F2584" s="526" t="s">
        <v>40</v>
      </c>
      <c r="G2584" s="526">
        <v>797876.9</v>
      </c>
      <c r="H2584" s="526">
        <v>85448.41</v>
      </c>
      <c r="I2584" s="526">
        <v>113940.78</v>
      </c>
      <c r="J2584" s="526">
        <v>597499.06000000006</v>
      </c>
      <c r="K2584" s="527">
        <v>997266.09</v>
      </c>
      <c r="L2584" s="526" t="s">
        <v>40</v>
      </c>
      <c r="M2584" s="54"/>
      <c r="N2584" s="111"/>
      <c r="O2584" s="344"/>
      <c r="P2584" s="334"/>
      <c r="Q2584" s="335"/>
      <c r="R2584" s="336"/>
      <c r="S2584" s="337"/>
    </row>
    <row r="2585" spans="1:19" ht="30" customHeight="1" x14ac:dyDescent="0.25">
      <c r="A2585" s="524" t="s">
        <v>229</v>
      </c>
      <c r="B2585" s="1188" t="s">
        <v>230</v>
      </c>
      <c r="C2585" s="1189"/>
      <c r="D2585" s="1190"/>
      <c r="E2585" s="525">
        <v>115800.75</v>
      </c>
      <c r="F2585" s="526" t="s">
        <v>205</v>
      </c>
      <c r="G2585" s="526">
        <v>1341690.97</v>
      </c>
      <c r="H2585" s="526">
        <v>962790.51</v>
      </c>
      <c r="I2585" s="526">
        <v>5514.58</v>
      </c>
      <c r="J2585" s="526">
        <v>1277467.55</v>
      </c>
      <c r="K2585" s="527">
        <v>2309996</v>
      </c>
      <c r="L2585" s="526" t="s">
        <v>205</v>
      </c>
      <c r="M2585" s="54"/>
      <c r="N2585" s="111"/>
      <c r="O2585" s="344"/>
      <c r="P2585" s="334"/>
      <c r="Q2585" s="335"/>
      <c r="R2585" s="336"/>
      <c r="S2585" s="337"/>
    </row>
    <row r="2586" spans="1:19" ht="30" customHeight="1" x14ac:dyDescent="0.25">
      <c r="A2586" s="524" t="s">
        <v>231</v>
      </c>
      <c r="B2586" s="1188" t="s">
        <v>232</v>
      </c>
      <c r="C2586" s="1189"/>
      <c r="D2586" s="1190"/>
      <c r="E2586" s="525">
        <v>30</v>
      </c>
      <c r="F2586" s="526" t="s">
        <v>80</v>
      </c>
      <c r="G2586" s="526">
        <v>114143.73</v>
      </c>
      <c r="H2586" s="526">
        <v>19137.07</v>
      </c>
      <c r="I2586" s="526">
        <v>4729.7299999999996</v>
      </c>
      <c r="J2586" s="526">
        <v>81668.75</v>
      </c>
      <c r="K2586" s="527">
        <v>138010.54</v>
      </c>
      <c r="L2586" s="526" t="s">
        <v>80</v>
      </c>
      <c r="M2586" s="54"/>
      <c r="N2586" s="111"/>
      <c r="O2586" s="344"/>
      <c r="P2586" s="334"/>
      <c r="Q2586" s="335"/>
      <c r="R2586" s="336"/>
      <c r="S2586" s="337"/>
    </row>
    <row r="2587" spans="1:19" ht="30" customHeight="1" x14ac:dyDescent="0.25">
      <c r="A2587" s="528"/>
      <c r="B2587" s="1199"/>
      <c r="C2587" s="1199"/>
      <c r="D2587" s="1199"/>
      <c r="E2587" s="529"/>
      <c r="F2587" s="529"/>
      <c r="G2587" s="529"/>
      <c r="H2587" s="529"/>
      <c r="I2587" s="529"/>
      <c r="J2587" s="530">
        <f>SUM(J2578:J2586)</f>
        <v>5481836.4700000007</v>
      </c>
      <c r="K2587" s="531">
        <f>SUM(K2578:K2586)</f>
        <v>8653065.9099999983</v>
      </c>
      <c r="L2587" s="526"/>
      <c r="M2587" s="111"/>
      <c r="N2587" s="54"/>
      <c r="O2587" s="344"/>
      <c r="P2587" s="334"/>
      <c r="Q2587" s="335"/>
      <c r="R2587" s="336"/>
      <c r="S2587" s="337"/>
    </row>
    <row r="2588" spans="1:19" ht="30" customHeight="1" thickBot="1" x14ac:dyDescent="0.3">
      <c r="A2588" s="532"/>
      <c r="B2588" s="1200" t="s">
        <v>1570</v>
      </c>
      <c r="C2588" s="1200"/>
      <c r="D2588" s="1200"/>
      <c r="E2588" s="533"/>
      <c r="F2588" s="534"/>
      <c r="G2588" s="1201"/>
      <c r="H2588" s="1202"/>
      <c r="I2588" s="534"/>
      <c r="J2588" s="535" t="s">
        <v>72</v>
      </c>
      <c r="K2588" s="536">
        <f>K2587/H2576</f>
        <v>57.687106066666658</v>
      </c>
      <c r="L2588" s="534" t="s">
        <v>1566</v>
      </c>
      <c r="M2588" s="54"/>
      <c r="N2588" s="54"/>
      <c r="P2588" s="334"/>
      <c r="Q2588" s="335"/>
      <c r="R2588" s="336"/>
      <c r="S2588" s="337"/>
    </row>
    <row r="2589" spans="1:19" ht="30" customHeight="1" thickBot="1" x14ac:dyDescent="0.3">
      <c r="A2589" s="1180"/>
      <c r="B2589" s="1181"/>
      <c r="C2589" s="1181"/>
      <c r="D2589" s="1181"/>
      <c r="E2589" s="1181"/>
      <c r="F2589" s="1181"/>
      <c r="G2589" s="1181"/>
      <c r="H2589" s="1181"/>
      <c r="I2589" s="1181"/>
      <c r="J2589" s="1181"/>
      <c r="K2589" s="1181"/>
      <c r="L2589" s="1182"/>
      <c r="M2589" s="54"/>
      <c r="N2589" s="54"/>
      <c r="O2589" s="336"/>
      <c r="P2589" s="334"/>
      <c r="Q2589" s="335"/>
      <c r="R2589" s="336"/>
      <c r="S2589" s="337"/>
    </row>
    <row r="2590" spans="1:19" ht="30" customHeight="1" x14ac:dyDescent="0.25">
      <c r="A2590" s="327" t="s">
        <v>5</v>
      </c>
      <c r="B2590" s="328">
        <v>4113</v>
      </c>
      <c r="C2590" s="1251" t="s">
        <v>1572</v>
      </c>
      <c r="D2590" s="1252"/>
      <c r="E2590" s="331" t="s">
        <v>8</v>
      </c>
      <c r="F2590" s="332" t="s">
        <v>1566</v>
      </c>
      <c r="G2590" s="333" t="s">
        <v>7</v>
      </c>
      <c r="H2590" s="156">
        <v>50000</v>
      </c>
      <c r="I2590" s="331" t="s">
        <v>10</v>
      </c>
      <c r="J2590" s="1220" t="s">
        <v>1567</v>
      </c>
      <c r="K2590" s="1220"/>
      <c r="L2590" s="1221"/>
      <c r="M2590" s="112"/>
      <c r="N2590" s="54"/>
      <c r="O2590" s="336"/>
      <c r="P2590" s="334"/>
      <c r="Q2590" s="335"/>
      <c r="R2590" s="336"/>
      <c r="S2590" s="337"/>
    </row>
    <row r="2591" spans="1:19" ht="30" customHeight="1" x14ac:dyDescent="0.25">
      <c r="A2591" s="495" t="s">
        <v>12</v>
      </c>
      <c r="B2591" s="1196" t="s">
        <v>13</v>
      </c>
      <c r="C2591" s="1197"/>
      <c r="D2591" s="1198"/>
      <c r="E2591" s="490" t="s">
        <v>14</v>
      </c>
      <c r="F2591" s="522" t="s">
        <v>15</v>
      </c>
      <c r="G2591" s="492" t="s">
        <v>16</v>
      </c>
      <c r="H2591" s="493" t="s">
        <v>17</v>
      </c>
      <c r="I2591" s="493" t="s">
        <v>18</v>
      </c>
      <c r="J2591" s="494" t="s">
        <v>19</v>
      </c>
      <c r="K2591" s="495" t="s">
        <v>20</v>
      </c>
      <c r="L2591" s="523" t="s">
        <v>75</v>
      </c>
      <c r="M2591" s="54"/>
      <c r="N2591" s="111"/>
      <c r="O2591" s="344"/>
      <c r="P2591" s="334"/>
      <c r="Q2591" s="335"/>
      <c r="R2591" s="336"/>
      <c r="S2591" s="337"/>
    </row>
    <row r="2592" spans="1:19" ht="30" customHeight="1" x14ac:dyDescent="0.25">
      <c r="A2592" s="524" t="s">
        <v>1573</v>
      </c>
      <c r="B2592" s="1188" t="s">
        <v>1574</v>
      </c>
      <c r="C2592" s="1189"/>
      <c r="D2592" s="1190"/>
      <c r="E2592" s="525">
        <v>7796.07</v>
      </c>
      <c r="F2592" s="526" t="s">
        <v>25</v>
      </c>
      <c r="G2592" s="526">
        <v>6446225.5999999996</v>
      </c>
      <c r="H2592" s="526">
        <v>19273272</v>
      </c>
      <c r="I2592" s="526">
        <v>22057.97</v>
      </c>
      <c r="J2592" s="526">
        <v>13068418.83</v>
      </c>
      <c r="K2592" s="527">
        <v>25741555</v>
      </c>
      <c r="L2592" s="526" t="s">
        <v>25</v>
      </c>
      <c r="M2592" s="54"/>
      <c r="N2592" s="111"/>
      <c r="O2592" s="344"/>
      <c r="P2592" s="334"/>
      <c r="Q2592" s="335"/>
      <c r="R2592" s="336"/>
      <c r="S2592" s="337"/>
    </row>
    <row r="2593" spans="1:19" ht="30" customHeight="1" x14ac:dyDescent="0.25">
      <c r="A2593" s="524" t="s">
        <v>1575</v>
      </c>
      <c r="B2593" s="1188" t="s">
        <v>1576</v>
      </c>
      <c r="C2593" s="1189"/>
      <c r="D2593" s="1190"/>
      <c r="E2593" s="525">
        <v>150</v>
      </c>
      <c r="F2593" s="526" t="s">
        <v>25</v>
      </c>
      <c r="G2593" s="526">
        <v>71188.399999999994</v>
      </c>
      <c r="H2593" s="526">
        <v>47859.23</v>
      </c>
      <c r="I2593" s="526">
        <v>3127.27</v>
      </c>
      <c r="J2593" s="526">
        <v>68111.399999999994</v>
      </c>
      <c r="K2593" s="527">
        <v>122174.91</v>
      </c>
      <c r="L2593" s="526" t="s">
        <v>25</v>
      </c>
      <c r="M2593" s="54"/>
      <c r="N2593" s="111"/>
      <c r="O2593" s="344"/>
      <c r="P2593" s="334"/>
      <c r="Q2593" s="335"/>
      <c r="R2593" s="336"/>
      <c r="S2593" s="337"/>
    </row>
    <row r="2594" spans="1:19" ht="30" customHeight="1" x14ac:dyDescent="0.25">
      <c r="A2594" s="524" t="s">
        <v>1577</v>
      </c>
      <c r="B2594" s="1188" t="s">
        <v>1578</v>
      </c>
      <c r="C2594" s="1189"/>
      <c r="D2594" s="1190"/>
      <c r="E2594" s="525">
        <v>1100</v>
      </c>
      <c r="F2594" s="526" t="s">
        <v>40</v>
      </c>
      <c r="G2594" s="526">
        <v>4258398.79</v>
      </c>
      <c r="H2594" s="526">
        <v>1666248.92</v>
      </c>
      <c r="I2594" s="526">
        <v>256894.22</v>
      </c>
      <c r="J2594" s="526">
        <v>3551533.81</v>
      </c>
      <c r="K2594" s="527">
        <v>6181541</v>
      </c>
      <c r="L2594" s="526" t="s">
        <v>40</v>
      </c>
      <c r="M2594" s="54"/>
      <c r="N2594" s="111"/>
      <c r="O2594" s="344"/>
      <c r="P2594" s="334"/>
      <c r="Q2594" s="335"/>
      <c r="R2594" s="336"/>
      <c r="S2594" s="337"/>
    </row>
    <row r="2595" spans="1:19" ht="30" customHeight="1" x14ac:dyDescent="0.25">
      <c r="A2595" s="524" t="s">
        <v>1579</v>
      </c>
      <c r="B2595" s="1188" t="s">
        <v>1580</v>
      </c>
      <c r="C2595" s="1189"/>
      <c r="D2595" s="1190"/>
      <c r="E2595" s="525">
        <v>12018.58</v>
      </c>
      <c r="F2595" s="526" t="s">
        <v>40</v>
      </c>
      <c r="G2595" s="526">
        <v>177682.1</v>
      </c>
      <c r="H2595" s="526">
        <v>138819.29999999999</v>
      </c>
      <c r="I2595" s="526">
        <v>0</v>
      </c>
      <c r="J2595" s="526">
        <v>174376.38</v>
      </c>
      <c r="K2595" s="527">
        <v>316501.40999999997</v>
      </c>
      <c r="L2595" s="526" t="s">
        <v>40</v>
      </c>
      <c r="M2595" s="54"/>
      <c r="N2595" s="111"/>
      <c r="O2595" s="344"/>
      <c r="P2595" s="334"/>
      <c r="Q2595" s="335"/>
      <c r="R2595" s="336"/>
      <c r="S2595" s="337"/>
    </row>
    <row r="2596" spans="1:19" ht="30" customHeight="1" x14ac:dyDescent="0.25">
      <c r="A2596" s="524" t="s">
        <v>1581</v>
      </c>
      <c r="B2596" s="1188" t="s">
        <v>1582</v>
      </c>
      <c r="C2596" s="1189"/>
      <c r="D2596" s="1190"/>
      <c r="E2596" s="525">
        <v>60</v>
      </c>
      <c r="F2596" s="526" t="s">
        <v>76</v>
      </c>
      <c r="G2596" s="526">
        <v>40991.449999999997</v>
      </c>
      <c r="H2596" s="526">
        <v>8641.61</v>
      </c>
      <c r="I2596" s="526">
        <v>976.04</v>
      </c>
      <c r="J2596" s="526">
        <v>29774.58</v>
      </c>
      <c r="K2596" s="527">
        <v>50609.11</v>
      </c>
      <c r="L2596" s="526" t="s">
        <v>76</v>
      </c>
      <c r="M2596" s="54"/>
      <c r="N2596" s="111"/>
      <c r="O2596" s="344"/>
      <c r="P2596" s="334"/>
      <c r="Q2596" s="335"/>
      <c r="R2596" s="336"/>
      <c r="S2596" s="337"/>
    </row>
    <row r="2597" spans="1:19" ht="30" customHeight="1" x14ac:dyDescent="0.25">
      <c r="A2597" s="524" t="s">
        <v>1583</v>
      </c>
      <c r="B2597" s="1188" t="s">
        <v>1584</v>
      </c>
      <c r="C2597" s="1189"/>
      <c r="D2597" s="1190"/>
      <c r="E2597" s="525">
        <v>1</v>
      </c>
      <c r="F2597" s="526" t="s">
        <v>76</v>
      </c>
      <c r="G2597" s="526">
        <v>10052.76</v>
      </c>
      <c r="H2597" s="526">
        <v>1810.01</v>
      </c>
      <c r="I2597" s="526">
        <v>12.59</v>
      </c>
      <c r="J2597" s="526">
        <v>7016.95</v>
      </c>
      <c r="K2597" s="527">
        <v>11875.37</v>
      </c>
      <c r="L2597" s="526" t="s">
        <v>76</v>
      </c>
      <c r="M2597" s="54"/>
      <c r="N2597" s="111"/>
      <c r="O2597" s="344"/>
      <c r="P2597" s="334"/>
      <c r="Q2597" s="335"/>
      <c r="R2597" s="336"/>
      <c r="S2597" s="337"/>
    </row>
    <row r="2598" spans="1:19" ht="30" customHeight="1" x14ac:dyDescent="0.25">
      <c r="A2598" s="524" t="s">
        <v>231</v>
      </c>
      <c r="B2598" s="1188" t="s">
        <v>232</v>
      </c>
      <c r="C2598" s="1189"/>
      <c r="D2598" s="1190"/>
      <c r="E2598" s="525">
        <v>1.5</v>
      </c>
      <c r="F2598" s="526" t="s">
        <v>80</v>
      </c>
      <c r="G2598" s="526">
        <v>5697.13</v>
      </c>
      <c r="H2598" s="526">
        <v>955.17</v>
      </c>
      <c r="I2598" s="526">
        <v>236.07</v>
      </c>
      <c r="J2598" s="526">
        <v>4083.44</v>
      </c>
      <c r="K2598" s="527">
        <v>6888.37</v>
      </c>
      <c r="L2598" s="526" t="s">
        <v>40</v>
      </c>
      <c r="M2598" s="54"/>
      <c r="N2598" s="111"/>
      <c r="O2598" s="344"/>
      <c r="P2598" s="334"/>
      <c r="Q2598" s="335"/>
      <c r="R2598" s="336"/>
      <c r="S2598" s="337"/>
    </row>
    <row r="2599" spans="1:19" ht="30" customHeight="1" x14ac:dyDescent="0.25">
      <c r="A2599" s="528"/>
      <c r="B2599" s="1199"/>
      <c r="C2599" s="1199"/>
      <c r="D2599" s="1199"/>
      <c r="E2599" s="529"/>
      <c r="F2599" s="529"/>
      <c r="G2599" s="529"/>
      <c r="H2599" s="529"/>
      <c r="I2599" s="529"/>
      <c r="J2599" s="530">
        <f>SUM(J2592:J2598)</f>
        <v>16903315.390000001</v>
      </c>
      <c r="K2599" s="531">
        <f>SUM(K2592:K2598)</f>
        <v>32431145.170000002</v>
      </c>
      <c r="L2599" s="526"/>
      <c r="M2599" s="111"/>
      <c r="N2599" s="54"/>
      <c r="O2599" s="344"/>
      <c r="P2599" s="334"/>
      <c r="Q2599" s="335"/>
      <c r="R2599" s="336"/>
      <c r="S2599" s="337"/>
    </row>
    <row r="2600" spans="1:19" ht="30" customHeight="1" thickBot="1" x14ac:dyDescent="0.3">
      <c r="A2600" s="532"/>
      <c r="B2600" s="1200" t="s">
        <v>1585</v>
      </c>
      <c r="C2600" s="1200"/>
      <c r="D2600" s="1200"/>
      <c r="E2600" s="533"/>
      <c r="F2600" s="534"/>
      <c r="G2600" s="1201"/>
      <c r="H2600" s="1202"/>
      <c r="I2600" s="534"/>
      <c r="J2600" s="535" t="s">
        <v>72</v>
      </c>
      <c r="K2600" s="536">
        <f>K2599/H2590</f>
        <v>648.62290340000004</v>
      </c>
      <c r="L2600" s="534" t="s">
        <v>1566</v>
      </c>
      <c r="M2600" s="54"/>
      <c r="N2600" s="54"/>
      <c r="P2600" s="334"/>
      <c r="Q2600" s="335"/>
      <c r="R2600" s="336"/>
      <c r="S2600" s="337"/>
    </row>
    <row r="2601" spans="1:19" ht="30" customHeight="1" thickBot="1" x14ac:dyDescent="0.3">
      <c r="A2601" s="1180"/>
      <c r="B2601" s="1181"/>
      <c r="C2601" s="1181"/>
      <c r="D2601" s="1181"/>
      <c r="E2601" s="1181"/>
      <c r="F2601" s="1181"/>
      <c r="G2601" s="1181"/>
      <c r="H2601" s="1181"/>
      <c r="I2601" s="1181"/>
      <c r="J2601" s="1181"/>
      <c r="K2601" s="1181"/>
      <c r="L2601" s="1182"/>
      <c r="M2601" s="54"/>
      <c r="N2601" s="54"/>
      <c r="O2601" s="336"/>
      <c r="P2601" s="334"/>
      <c r="Q2601" s="335"/>
      <c r="R2601" s="336"/>
      <c r="S2601" s="337"/>
    </row>
    <row r="2602" spans="1:19" ht="30" customHeight="1" x14ac:dyDescent="0.25">
      <c r="A2602" s="327" t="s">
        <v>5</v>
      </c>
      <c r="B2602" s="328">
        <v>4114</v>
      </c>
      <c r="C2602" s="1233" t="s">
        <v>1586</v>
      </c>
      <c r="D2602" s="1234"/>
      <c r="E2602" s="331" t="s">
        <v>8</v>
      </c>
      <c r="F2602" s="332" t="s">
        <v>214</v>
      </c>
      <c r="G2602" s="342" t="s">
        <v>74</v>
      </c>
      <c r="H2602" s="653">
        <v>4114</v>
      </c>
      <c r="I2602" s="331" t="s">
        <v>10</v>
      </c>
      <c r="J2602" s="1220" t="s">
        <v>3388</v>
      </c>
      <c r="K2602" s="1220"/>
      <c r="L2602" s="1221"/>
      <c r="M2602" s="54"/>
      <c r="N2602" s="54"/>
      <c r="O2602" s="336"/>
      <c r="P2602" s="334"/>
      <c r="Q2602" s="335"/>
      <c r="R2602" s="336"/>
      <c r="S2602" s="337"/>
    </row>
    <row r="2603" spans="1:19" ht="30" customHeight="1" x14ac:dyDescent="0.25">
      <c r="A2603" s="359" t="s">
        <v>295</v>
      </c>
      <c r="B2603" s="1222" t="s">
        <v>326</v>
      </c>
      <c r="C2603" s="1235"/>
      <c r="D2603" s="1223"/>
      <c r="E2603" s="577" t="s">
        <v>116</v>
      </c>
      <c r="F2603" s="577" t="s">
        <v>117</v>
      </c>
      <c r="G2603" s="1236" t="s">
        <v>118</v>
      </c>
      <c r="H2603" s="1237"/>
      <c r="I2603" s="356" t="s">
        <v>296</v>
      </c>
      <c r="J2603" s="356"/>
      <c r="K2603" s="1236" t="s">
        <v>285</v>
      </c>
      <c r="L2603" s="1237"/>
      <c r="M2603" s="54"/>
      <c r="N2603" s="54"/>
      <c r="P2603" s="334"/>
      <c r="Q2603" s="335"/>
      <c r="R2603" s="336"/>
      <c r="S2603" s="337"/>
    </row>
    <row r="2604" spans="1:19" ht="30" customHeight="1" x14ac:dyDescent="0.25">
      <c r="A2604" s="365" t="s">
        <v>1587</v>
      </c>
      <c r="B2604" s="1209" t="s">
        <v>1588</v>
      </c>
      <c r="C2604" s="1210"/>
      <c r="D2604" s="1211"/>
      <c r="E2604" s="247">
        <v>14200</v>
      </c>
      <c r="F2604" s="661" t="s">
        <v>76</v>
      </c>
      <c r="G2604" s="569">
        <v>1000</v>
      </c>
      <c r="H2604" s="574" t="s">
        <v>1589</v>
      </c>
      <c r="I2604" s="742">
        <v>1.02</v>
      </c>
      <c r="J2604" s="706"/>
      <c r="K2604" s="255">
        <f>+E2604/G2604*I2604</f>
        <v>14.484</v>
      </c>
      <c r="L2604" s="365" t="s">
        <v>214</v>
      </c>
      <c r="M2604" s="54"/>
      <c r="N2604" s="54"/>
      <c r="P2604" s="334"/>
      <c r="Q2604" s="335"/>
      <c r="R2604" s="336"/>
      <c r="S2604" s="337"/>
    </row>
    <row r="2605" spans="1:19" ht="30" customHeight="1" x14ac:dyDescent="0.25">
      <c r="A2605" s="365" t="s">
        <v>1587</v>
      </c>
      <c r="B2605" s="1209" t="s">
        <v>1590</v>
      </c>
      <c r="C2605" s="1210"/>
      <c r="D2605" s="1211"/>
      <c r="E2605" s="11">
        <v>5050</v>
      </c>
      <c r="F2605" s="661" t="s">
        <v>76</v>
      </c>
      <c r="G2605" s="569">
        <v>1500</v>
      </c>
      <c r="H2605" s="574" t="s">
        <v>1589</v>
      </c>
      <c r="I2605" s="742">
        <v>1.02</v>
      </c>
      <c r="J2605" s="706"/>
      <c r="K2605" s="255">
        <f>+E2605/G2605*I2605</f>
        <v>3.4340000000000002</v>
      </c>
      <c r="L2605" s="365" t="s">
        <v>214</v>
      </c>
      <c r="M2605" s="111"/>
      <c r="N2605" s="54"/>
      <c r="O2605" s="336"/>
      <c r="P2605" s="334"/>
      <c r="Q2605" s="335"/>
      <c r="R2605" s="336"/>
      <c r="S2605" s="337"/>
    </row>
    <row r="2606" spans="1:19" ht="30" customHeight="1" x14ac:dyDescent="0.25">
      <c r="A2606" s="365"/>
      <c r="B2606" s="1209"/>
      <c r="C2606" s="1210"/>
      <c r="D2606" s="1211"/>
      <c r="E2606" s="246"/>
      <c r="F2606" s="661"/>
      <c r="G2606" s="661"/>
      <c r="H2606" s="698"/>
      <c r="I2606" s="698"/>
      <c r="J2606" s="872" t="s">
        <v>300</v>
      </c>
      <c r="K2606" s="255">
        <f>AVERAGE(K2604:K2605)</f>
        <v>8.9589999999999996</v>
      </c>
      <c r="L2606" s="365" t="s">
        <v>214</v>
      </c>
      <c r="M2606" s="54"/>
      <c r="N2606" s="54"/>
      <c r="O2606" s="344"/>
      <c r="P2606" s="334"/>
      <c r="Q2606" s="335"/>
      <c r="R2606" s="336"/>
      <c r="S2606" s="337"/>
    </row>
    <row r="2607" spans="1:19" ht="30" customHeight="1" x14ac:dyDescent="0.25">
      <c r="A2607" s="365" t="s">
        <v>535</v>
      </c>
      <c r="B2607" s="1209" t="s">
        <v>1591</v>
      </c>
      <c r="C2607" s="1210"/>
      <c r="D2607" s="1211"/>
      <c r="E2607" s="247">
        <v>31.5</v>
      </c>
      <c r="F2607" s="661" t="s">
        <v>25</v>
      </c>
      <c r="G2607" s="881">
        <f>106.7/H2602</f>
        <v>2.5935828877005348E-2</v>
      </c>
      <c r="H2607" s="698" t="s">
        <v>1592</v>
      </c>
      <c r="I2607" s="365">
        <v>1.05</v>
      </c>
      <c r="J2607" s="706"/>
      <c r="K2607" s="255">
        <f>+E2607*G2607*I2607</f>
        <v>0.85782754010695195</v>
      </c>
      <c r="L2607" s="365" t="s">
        <v>214</v>
      </c>
      <c r="M2607" s="54"/>
      <c r="N2607" s="54"/>
      <c r="P2607" s="334"/>
      <c r="Q2607" s="335"/>
      <c r="R2607" s="336"/>
      <c r="S2607" s="337"/>
    </row>
    <row r="2608" spans="1:19" ht="30" customHeight="1" x14ac:dyDescent="0.25">
      <c r="A2608" s="365" t="s">
        <v>1593</v>
      </c>
      <c r="B2608" s="1209" t="s">
        <v>1594</v>
      </c>
      <c r="C2608" s="1210"/>
      <c r="D2608" s="1211"/>
      <c r="E2608" s="7">
        <v>37</v>
      </c>
      <c r="F2608" s="396" t="s">
        <v>341</v>
      </c>
      <c r="G2608" s="881">
        <f>130/H2602</f>
        <v>3.1599416626154592E-2</v>
      </c>
      <c r="H2608" s="690" t="s">
        <v>1595</v>
      </c>
      <c r="I2608" s="365">
        <v>1.04</v>
      </c>
      <c r="J2608" s="706"/>
      <c r="K2608" s="717">
        <f>+E2608*G2608*I2608*2</f>
        <v>2.4318911035488573</v>
      </c>
      <c r="L2608" s="396" t="s">
        <v>214</v>
      </c>
      <c r="M2608" s="111"/>
      <c r="N2608" s="54"/>
      <c r="O2608" s="336"/>
      <c r="P2608" s="334"/>
      <c r="Q2608" s="335"/>
      <c r="R2608" s="336"/>
      <c r="S2608" s="337"/>
    </row>
    <row r="2609" spans="1:21" ht="30" customHeight="1" x14ac:dyDescent="0.25">
      <c r="A2609" s="365" t="s">
        <v>535</v>
      </c>
      <c r="B2609" s="1214" t="s">
        <v>1596</v>
      </c>
      <c r="C2609" s="1215"/>
      <c r="D2609" s="1216"/>
      <c r="E2609" s="247">
        <f>+(0.65+4.8)/2</f>
        <v>2.7250000000000001</v>
      </c>
      <c r="F2609" s="661" t="s">
        <v>9</v>
      </c>
      <c r="G2609" s="730">
        <f>146.7/H2602</f>
        <v>3.5658726300437531E-2</v>
      </c>
      <c r="H2609" s="698" t="s">
        <v>1597</v>
      </c>
      <c r="I2609" s="365">
        <v>1.05</v>
      </c>
      <c r="J2609" s="706"/>
      <c r="K2609" s="255">
        <f>+E2609*G2609*I2609</f>
        <v>0.1020285306271269</v>
      </c>
      <c r="L2609" s="365" t="s">
        <v>214</v>
      </c>
      <c r="M2609" s="54"/>
      <c r="N2609" s="54"/>
      <c r="O2609" s="336"/>
      <c r="P2609" s="334"/>
      <c r="Q2609" s="335"/>
      <c r="R2609" s="336"/>
      <c r="S2609" s="337"/>
    </row>
    <row r="2610" spans="1:21" ht="30" customHeight="1" x14ac:dyDescent="0.25">
      <c r="A2610" s="365"/>
      <c r="B2610" s="1398" t="s">
        <v>1598</v>
      </c>
      <c r="C2610" s="1399"/>
      <c r="D2610" s="1399"/>
      <c r="E2610" s="1400"/>
      <c r="F2610" s="365"/>
      <c r="G2610" s="366"/>
      <c r="H2610" s="662"/>
      <c r="I2610" s="365"/>
      <c r="J2610" s="365" t="s">
        <v>343</v>
      </c>
      <c r="K2610" s="255">
        <f>+K2606+K2607+K2608+K2609</f>
        <v>12.350747174282935</v>
      </c>
      <c r="L2610" s="365" t="s">
        <v>214</v>
      </c>
      <c r="M2610" s="54"/>
      <c r="N2610" s="54"/>
      <c r="O2610" s="344"/>
      <c r="P2610" s="334"/>
      <c r="Q2610" s="335"/>
      <c r="R2610" s="336"/>
      <c r="S2610" s="337"/>
    </row>
    <row r="2611" spans="1:21" ht="30" customHeight="1" x14ac:dyDescent="0.25">
      <c r="A2611" s="365"/>
      <c r="B2611" s="578"/>
      <c r="C2611" s="578"/>
      <c r="D2611" s="578"/>
      <c r="E2611" s="247"/>
      <c r="F2611" s="1272" t="s">
        <v>303</v>
      </c>
      <c r="G2611" s="1555" t="s">
        <v>304</v>
      </c>
      <c r="H2611" s="1556"/>
      <c r="I2611" s="1556"/>
      <c r="J2611" s="1557"/>
      <c r="K2611" s="634">
        <v>1.07</v>
      </c>
      <c r="L2611" s="365"/>
      <c r="M2611" s="54"/>
      <c r="N2611" s="54"/>
      <c r="P2611" s="334"/>
      <c r="Q2611" s="335"/>
      <c r="R2611" s="336"/>
      <c r="S2611" s="337"/>
    </row>
    <row r="2612" spans="1:21" ht="30" customHeight="1" x14ac:dyDescent="0.25">
      <c r="A2612" s="365"/>
      <c r="B2612" s="578"/>
      <c r="C2612" s="578"/>
      <c r="D2612" s="578"/>
      <c r="E2612" s="247"/>
      <c r="F2612" s="1273"/>
      <c r="G2612" s="1284" t="s">
        <v>438</v>
      </c>
      <c r="H2612" s="1284"/>
      <c r="I2612" s="1284"/>
      <c r="J2612" s="1284"/>
      <c r="K2612" s="250">
        <v>1.08</v>
      </c>
      <c r="L2612" s="365"/>
      <c r="M2612" s="54"/>
      <c r="N2612" s="54"/>
      <c r="O2612" s="336"/>
      <c r="P2612" s="334"/>
      <c r="Q2612" s="335"/>
      <c r="R2612" s="336"/>
      <c r="S2612" s="337"/>
    </row>
    <row r="2613" spans="1:21" ht="30" customHeight="1" x14ac:dyDescent="0.25">
      <c r="A2613" s="365"/>
      <c r="B2613" s="365"/>
      <c r="C2613" s="366"/>
      <c r="D2613" s="366"/>
      <c r="E2613" s="366"/>
      <c r="F2613" s="366"/>
      <c r="G2613" s="366"/>
      <c r="H2613" s="366"/>
      <c r="I2613" s="366"/>
      <c r="J2613" s="365" t="s">
        <v>72</v>
      </c>
      <c r="K2613" s="255">
        <f>+K2610*K2611/K2612</f>
        <v>12.236388404150686</v>
      </c>
      <c r="L2613" s="365" t="s">
        <v>214</v>
      </c>
      <c r="M2613" s="54"/>
      <c r="N2613" s="111"/>
      <c r="P2613" s="334"/>
      <c r="Q2613" s="335"/>
      <c r="R2613" s="336"/>
      <c r="S2613" s="337"/>
    </row>
    <row r="2614" spans="1:21" ht="30" customHeight="1" x14ac:dyDescent="0.25">
      <c r="A2614" s="365"/>
      <c r="B2614" s="365"/>
      <c r="C2614" s="366"/>
      <c r="D2614" s="366"/>
      <c r="E2614" s="366"/>
      <c r="F2614" s="366"/>
      <c r="G2614" s="366"/>
      <c r="H2614" s="366"/>
      <c r="I2614" s="877" t="s">
        <v>306</v>
      </c>
      <c r="J2614" s="521">
        <f>VLOOKUP(B2602,'Mil Cost Premiums for PUCs'!$A$4:$R$277,18,FALSE)</f>
        <v>1.0209999999999999</v>
      </c>
      <c r="K2614" s="255">
        <f>+K2613*J2614</f>
        <v>12.493352560637849</v>
      </c>
      <c r="L2614" s="365" t="s">
        <v>214</v>
      </c>
      <c r="M2614" s="111"/>
      <c r="N2614" s="54"/>
      <c r="P2614" s="334"/>
      <c r="Q2614" s="335"/>
      <c r="R2614" s="336"/>
      <c r="S2614" s="337"/>
    </row>
    <row r="2615" spans="1:21" ht="30" customHeight="1" thickBot="1" x14ac:dyDescent="0.3">
      <c r="A2615" s="835"/>
      <c r="B2615" s="835"/>
      <c r="C2615" s="840"/>
      <c r="D2615" s="840"/>
      <c r="E2615" s="850"/>
      <c r="F2615" s="1278" t="s">
        <v>1148</v>
      </c>
      <c r="G2615" s="1278"/>
      <c r="H2615" s="1278"/>
      <c r="I2615" s="1278"/>
      <c r="J2615" s="845">
        <v>1.0833999999999999</v>
      </c>
      <c r="K2615" s="544">
        <f>K2614*J2615</f>
        <v>13.535298164195044</v>
      </c>
      <c r="L2615" s="365" t="s">
        <v>214</v>
      </c>
      <c r="N2615" s="54"/>
      <c r="O2615" s="336"/>
      <c r="P2615" s="334"/>
      <c r="Q2615" s="335"/>
      <c r="R2615" s="336"/>
      <c r="S2615" s="337"/>
    </row>
    <row r="2616" spans="1:21" ht="30" customHeight="1" thickBot="1" x14ac:dyDescent="0.3">
      <c r="A2616" s="1180"/>
      <c r="B2616" s="1181"/>
      <c r="C2616" s="1181"/>
      <c r="D2616" s="1181"/>
      <c r="E2616" s="1181"/>
      <c r="F2616" s="1181"/>
      <c r="G2616" s="1181"/>
      <c r="H2616" s="1181"/>
      <c r="I2616" s="1181"/>
      <c r="J2616" s="1181"/>
      <c r="K2616" s="1181"/>
      <c r="L2616" s="1182"/>
      <c r="M2616" s="54"/>
      <c r="N2616" s="54"/>
      <c r="O2616" s="336"/>
      <c r="P2616" s="334"/>
      <c r="Q2616" s="335"/>
      <c r="R2616" s="336"/>
      <c r="S2616" s="337"/>
    </row>
    <row r="2617" spans="1:21" ht="30" customHeight="1" x14ac:dyDescent="0.25">
      <c r="A2617" s="327" t="s">
        <v>5</v>
      </c>
      <c r="B2617" s="328">
        <v>4121</v>
      </c>
      <c r="C2617" s="1218" t="s">
        <v>1599</v>
      </c>
      <c r="D2617" s="1219"/>
      <c r="E2617" s="331" t="s">
        <v>8</v>
      </c>
      <c r="F2617" s="332" t="s">
        <v>214</v>
      </c>
      <c r="G2617" s="342" t="s">
        <v>74</v>
      </c>
      <c r="H2617" s="160">
        <v>34650</v>
      </c>
      <c r="I2617" s="331" t="s">
        <v>10</v>
      </c>
      <c r="J2617" s="1339" t="s">
        <v>3419</v>
      </c>
      <c r="K2617" s="1339"/>
      <c r="L2617" s="1340"/>
      <c r="M2617" s="111"/>
      <c r="N2617" s="54"/>
      <c r="O2617" s="344"/>
      <c r="P2617" s="334"/>
      <c r="Q2617" s="335"/>
      <c r="R2617" s="336"/>
      <c r="S2617" s="337"/>
    </row>
    <row r="2618" spans="1:21" ht="30" customHeight="1" x14ac:dyDescent="0.25">
      <c r="A2618" s="356" t="s">
        <v>735</v>
      </c>
      <c r="B2618" s="1222" t="s">
        <v>326</v>
      </c>
      <c r="C2618" s="1235"/>
      <c r="D2618" s="1223"/>
      <c r="E2618" s="577" t="s">
        <v>116</v>
      </c>
      <c r="F2618" s="577" t="s">
        <v>117</v>
      </c>
      <c r="G2618" s="1194" t="s">
        <v>118</v>
      </c>
      <c r="H2618" s="1195"/>
      <c r="I2618" s="356" t="s">
        <v>296</v>
      </c>
      <c r="J2618" s="633" t="s">
        <v>303</v>
      </c>
      <c r="K2618" s="1236" t="s">
        <v>285</v>
      </c>
      <c r="L2618" s="1237"/>
      <c r="M2618" s="54"/>
      <c r="N2618" s="54"/>
      <c r="O2618" s="336"/>
      <c r="P2618" s="334"/>
      <c r="Q2618" s="335"/>
      <c r="R2618" s="336"/>
      <c r="S2618" s="337"/>
    </row>
    <row r="2619" spans="1:21" ht="30" customHeight="1" x14ac:dyDescent="0.25">
      <c r="A2619" s="486" t="s">
        <v>1600</v>
      </c>
      <c r="B2619" s="1209" t="s">
        <v>1601</v>
      </c>
      <c r="C2619" s="1210"/>
      <c r="D2619" s="1211"/>
      <c r="E2619" s="882">
        <v>61250</v>
      </c>
      <c r="F2619" s="883" t="s">
        <v>76</v>
      </c>
      <c r="G2619" s="884">
        <v>30000</v>
      </c>
      <c r="H2619" s="486" t="s">
        <v>1602</v>
      </c>
      <c r="I2619" s="885">
        <v>1.19</v>
      </c>
      <c r="J2619" s="872">
        <f>1.06/1.06</f>
        <v>1</v>
      </c>
      <c r="K2619" s="886">
        <f>((E2619/G2619)*I2619)*J2619</f>
        <v>2.429583333333333</v>
      </c>
      <c r="L2619" s="365" t="s">
        <v>214</v>
      </c>
      <c r="M2619" s="54"/>
      <c r="N2619" s="54"/>
      <c r="O2619" s="336"/>
      <c r="P2619" s="334"/>
      <c r="Q2619" s="335"/>
      <c r="R2619" s="336"/>
      <c r="S2619" s="337"/>
    </row>
    <row r="2620" spans="1:21" ht="30" customHeight="1" x14ac:dyDescent="0.25">
      <c r="A2620" s="486">
        <v>84610</v>
      </c>
      <c r="B2620" s="1209" t="s">
        <v>1603</v>
      </c>
      <c r="C2620" s="1210"/>
      <c r="D2620" s="1211"/>
      <c r="E2620" s="882">
        <v>255230</v>
      </c>
      <c r="F2620" s="883" t="s">
        <v>76</v>
      </c>
      <c r="G2620" s="884">
        <v>100000</v>
      </c>
      <c r="H2620" s="486" t="s">
        <v>1602</v>
      </c>
      <c r="I2620" s="1183">
        <v>0.9405</v>
      </c>
      <c r="J2620" s="1184"/>
      <c r="K2620" s="886">
        <f>(E2620/G2620)*I2620</f>
        <v>2.4004381499999998</v>
      </c>
      <c r="L2620" s="365" t="s">
        <v>214</v>
      </c>
      <c r="M2620" s="111"/>
      <c r="N2620" s="54"/>
      <c r="O2620" s="336"/>
      <c r="P2620" s="334"/>
      <c r="Q2620" s="335"/>
      <c r="R2620" s="336"/>
      <c r="S2620" s="337"/>
    </row>
    <row r="2621" spans="1:21" ht="30" customHeight="1" x14ac:dyDescent="0.25">
      <c r="A2621" s="365">
        <v>41150</v>
      </c>
      <c r="B2621" s="1209" t="s">
        <v>1604</v>
      </c>
      <c r="C2621" s="1210"/>
      <c r="D2621" s="1211"/>
      <c r="E2621" s="272">
        <v>91</v>
      </c>
      <c r="F2621" s="257" t="s">
        <v>1566</v>
      </c>
      <c r="G2621" s="365">
        <v>42</v>
      </c>
      <c r="H2621" s="365" t="s">
        <v>1605</v>
      </c>
      <c r="I2621" s="1378">
        <f>+'2022 MILCON Inflation Table'!F10</f>
        <v>1.4125755730404082</v>
      </c>
      <c r="J2621" s="1379"/>
      <c r="K2621" s="253">
        <f>+E2621/G2621*I2621</f>
        <v>3.0605804082542174</v>
      </c>
      <c r="L2621" s="365" t="s">
        <v>214</v>
      </c>
      <c r="M2621" s="54"/>
      <c r="N2621" s="54"/>
      <c r="O2621" s="554"/>
      <c r="P2621" s="334"/>
      <c r="Q2621" s="335"/>
      <c r="R2621" s="336"/>
      <c r="S2621" s="337"/>
    </row>
    <row r="2622" spans="1:21" ht="30" customHeight="1" thickBot="1" x14ac:dyDescent="0.3">
      <c r="A2622" s="365"/>
      <c r="B2622" s="1214"/>
      <c r="C2622" s="1215"/>
      <c r="D2622" s="1216"/>
      <c r="E2622" s="333"/>
      <c r="F2622" s="744"/>
      <c r="G2622" s="333"/>
      <c r="H2622" s="729"/>
      <c r="I2622" s="366"/>
      <c r="J2622" s="359" t="s">
        <v>72</v>
      </c>
      <c r="K2622" s="243">
        <f>AVERAGE(K2619:K2621)</f>
        <v>2.6302006305291834</v>
      </c>
      <c r="L2622" s="365" t="s">
        <v>214</v>
      </c>
      <c r="M2622" s="54"/>
      <c r="N2622" s="54"/>
      <c r="O2622" s="554"/>
      <c r="T2622" s="10"/>
    </row>
    <row r="2623" spans="1:21" ht="30" customHeight="1" thickBot="1" x14ac:dyDescent="0.3">
      <c r="A2623" s="1180"/>
      <c r="B2623" s="1181"/>
      <c r="C2623" s="1181"/>
      <c r="D2623" s="1181"/>
      <c r="E2623" s="1181"/>
      <c r="F2623" s="1181"/>
      <c r="G2623" s="1181"/>
      <c r="H2623" s="1181"/>
      <c r="I2623" s="1181"/>
      <c r="J2623" s="1181"/>
      <c r="K2623" s="1181"/>
      <c r="L2623" s="1182"/>
      <c r="M2623" s="54"/>
      <c r="N2623" s="54"/>
      <c r="O2623" s="340"/>
      <c r="T2623" s="10"/>
      <c r="U2623" s="10"/>
    </row>
    <row r="2624" spans="1:21" ht="30" customHeight="1" x14ac:dyDescent="0.25">
      <c r="A2624" s="486" t="s">
        <v>5</v>
      </c>
      <c r="B2624" s="328">
        <v>4122</v>
      </c>
      <c r="C2624" s="1218" t="s">
        <v>1606</v>
      </c>
      <c r="D2624" s="1219"/>
      <c r="E2624" s="331" t="s">
        <v>8</v>
      </c>
      <c r="F2624" s="332" t="s">
        <v>205</v>
      </c>
      <c r="G2624" s="342" t="s">
        <v>74</v>
      </c>
      <c r="H2624" s="160">
        <v>1658</v>
      </c>
      <c r="I2624" s="331" t="s">
        <v>10</v>
      </c>
      <c r="J2624" s="1570" t="s">
        <v>3420</v>
      </c>
      <c r="K2624" s="1639"/>
      <c r="L2624" s="1571"/>
      <c r="M2624" s="112"/>
      <c r="N2624" s="111"/>
      <c r="O2624" s="345"/>
      <c r="P2624" s="344"/>
      <c r="Q2624" s="345"/>
      <c r="R2624" s="345"/>
      <c r="S2624" s="345"/>
      <c r="T2624" s="345"/>
      <c r="U2624" s="10"/>
    </row>
    <row r="2625" spans="1:25" ht="30" customHeight="1" x14ac:dyDescent="0.25">
      <c r="A2625" s="356"/>
      <c r="B2625" s="1163" t="s">
        <v>13</v>
      </c>
      <c r="C2625" s="1163"/>
      <c r="D2625" s="1163"/>
      <c r="E2625" s="356" t="s">
        <v>116</v>
      </c>
      <c r="F2625" s="356" t="s">
        <v>117</v>
      </c>
      <c r="G2625" s="1194" t="s">
        <v>118</v>
      </c>
      <c r="H2625" s="1195"/>
      <c r="I2625" s="356" t="s">
        <v>119</v>
      </c>
      <c r="J2625" s="356" t="s">
        <v>120</v>
      </c>
      <c r="K2625" s="1236" t="s">
        <v>72</v>
      </c>
      <c r="L2625" s="1237"/>
      <c r="M2625" s="111"/>
      <c r="N2625" s="54"/>
      <c r="O2625" s="344"/>
      <c r="U2625" s="345"/>
      <c r="V2625" s="345"/>
      <c r="W2625" s="345"/>
      <c r="X2625" s="345"/>
      <c r="Y2625" s="345"/>
    </row>
    <row r="2626" spans="1:25" s="345" customFormat="1" ht="30" customHeight="1" thickBot="1" x14ac:dyDescent="0.3">
      <c r="A2626" s="360"/>
      <c r="B2626" s="1179" t="s">
        <v>1607</v>
      </c>
      <c r="C2626" s="1179"/>
      <c r="D2626" s="1179"/>
      <c r="E2626" s="485">
        <v>65.819999999999993</v>
      </c>
      <c r="F2626" s="486"/>
      <c r="G2626" s="1183"/>
      <c r="H2626" s="1184"/>
      <c r="I2626" s="486"/>
      <c r="J2626" s="487">
        <v>1.0833999999999999</v>
      </c>
      <c r="K2626" s="488">
        <f>E2626*J2626</f>
        <v>71.309387999999984</v>
      </c>
      <c r="L2626" s="698" t="s">
        <v>205</v>
      </c>
      <c r="M2626" s="54"/>
      <c r="N2626" s="54"/>
      <c r="O2626" s="340"/>
      <c r="P2626" s="340"/>
      <c r="Q2626" s="334"/>
      <c r="R2626" s="334"/>
      <c r="S2626" s="334"/>
      <c r="T2626" s="334"/>
      <c r="U2626" s="334"/>
      <c r="V2626" s="334"/>
      <c r="W2626" s="334"/>
      <c r="X2626" s="334"/>
      <c r="Y2626" s="334"/>
    </row>
    <row r="2627" spans="1:25" ht="30" customHeight="1" thickBot="1" x14ac:dyDescent="0.3">
      <c r="A2627" s="1180"/>
      <c r="B2627" s="1181"/>
      <c r="C2627" s="1181"/>
      <c r="D2627" s="1181"/>
      <c r="E2627" s="1181"/>
      <c r="F2627" s="1181"/>
      <c r="G2627" s="1181"/>
      <c r="H2627" s="1181"/>
      <c r="I2627" s="1181"/>
      <c r="J2627" s="1181"/>
      <c r="K2627" s="1181"/>
      <c r="L2627" s="1182"/>
      <c r="M2627" s="54"/>
      <c r="N2627" s="54"/>
      <c r="O2627" s="543"/>
      <c r="P2627" s="344"/>
      <c r="Q2627" s="345"/>
      <c r="R2627" s="345"/>
      <c r="S2627" s="345"/>
      <c r="T2627" s="345"/>
    </row>
    <row r="2628" spans="1:25" ht="30" customHeight="1" x14ac:dyDescent="0.25">
      <c r="A2628" s="327" t="s">
        <v>5</v>
      </c>
      <c r="B2628" s="328">
        <v>4211</v>
      </c>
      <c r="C2628" s="1218" t="s">
        <v>1608</v>
      </c>
      <c r="D2628" s="1219"/>
      <c r="E2628" s="331" t="s">
        <v>8</v>
      </c>
      <c r="F2628" s="332" t="s">
        <v>205</v>
      </c>
      <c r="G2628" s="342" t="s">
        <v>74</v>
      </c>
      <c r="H2628" s="160">
        <v>2739</v>
      </c>
      <c r="I2628" s="331" t="s">
        <v>10</v>
      </c>
      <c r="J2628" s="1220" t="s">
        <v>382</v>
      </c>
      <c r="K2628" s="1220"/>
      <c r="L2628" s="1221"/>
      <c r="M2628" s="111"/>
      <c r="N2628" s="54"/>
      <c r="U2628" s="345"/>
    </row>
    <row r="2629" spans="1:25" ht="30" customHeight="1" x14ac:dyDescent="0.25">
      <c r="A2629" s="356" t="s">
        <v>282</v>
      </c>
      <c r="B2629" s="1163" t="s">
        <v>13</v>
      </c>
      <c r="C2629" s="1163"/>
      <c r="D2629" s="1163"/>
      <c r="E2629" s="546" t="s">
        <v>116</v>
      </c>
      <c r="F2629" s="356" t="s">
        <v>283</v>
      </c>
      <c r="G2629" s="1314" t="s">
        <v>118</v>
      </c>
      <c r="H2629" s="1315"/>
      <c r="I2629" s="1276" t="s">
        <v>284</v>
      </c>
      <c r="J2629" s="1277"/>
      <c r="K2629" s="1236" t="s">
        <v>285</v>
      </c>
      <c r="L2629" s="1237"/>
      <c r="M2629" s="54"/>
      <c r="N2629" s="111"/>
      <c r="O2629" s="345"/>
    </row>
    <row r="2630" spans="1:25" ht="30" customHeight="1" x14ac:dyDescent="0.25">
      <c r="A2630" s="360">
        <v>42120</v>
      </c>
      <c r="B2630" s="1164" t="s">
        <v>1609</v>
      </c>
      <c r="C2630" s="1164"/>
      <c r="D2630" s="1164"/>
      <c r="E2630" s="244">
        <v>497</v>
      </c>
      <c r="F2630" s="267">
        <v>9300</v>
      </c>
      <c r="G2630" s="367"/>
      <c r="H2630" s="367"/>
      <c r="I2630" s="1416">
        <v>0.9405</v>
      </c>
      <c r="J2630" s="1417"/>
      <c r="K2630" s="383">
        <f>+E2630*I2630</f>
        <v>467.42849999999999</v>
      </c>
      <c r="L2630" s="360" t="s">
        <v>205</v>
      </c>
      <c r="M2630" s="111"/>
      <c r="N2630" s="54"/>
      <c r="T2630" s="60"/>
      <c r="V2630" s="345"/>
      <c r="W2630" s="345"/>
      <c r="X2630" s="345"/>
      <c r="Y2630" s="345"/>
    </row>
    <row r="2631" spans="1:25" s="345" customFormat="1" ht="30" customHeight="1" thickBot="1" x14ac:dyDescent="0.3">
      <c r="A2631" s="365"/>
      <c r="B2631" s="1281"/>
      <c r="C2631" s="1281"/>
      <c r="D2631" s="1281"/>
      <c r="E2631" s="550"/>
      <c r="F2631" s="551"/>
      <c r="G2631" s="551"/>
      <c r="H2631" s="552"/>
      <c r="I2631" s="366"/>
      <c r="J2631" s="359" t="s">
        <v>72</v>
      </c>
      <c r="K2631" s="243">
        <f>+K2630</f>
        <v>467.42849999999999</v>
      </c>
      <c r="L2631" s="365" t="s">
        <v>205</v>
      </c>
      <c r="M2631" s="54"/>
      <c r="N2631" s="54"/>
      <c r="O2631" s="334"/>
      <c r="P2631" s="340"/>
      <c r="Q2631" s="334"/>
      <c r="R2631" s="334"/>
      <c r="S2631" s="334"/>
      <c r="T2631" s="10"/>
      <c r="U2631" s="60"/>
      <c r="V2631" s="334"/>
      <c r="W2631" s="334"/>
      <c r="X2631" s="334"/>
      <c r="Y2631" s="334"/>
    </row>
    <row r="2632" spans="1:25" ht="30" customHeight="1" thickBot="1" x14ac:dyDescent="0.3">
      <c r="A2632" s="1180"/>
      <c r="B2632" s="1181"/>
      <c r="C2632" s="1181"/>
      <c r="D2632" s="1181"/>
      <c r="E2632" s="1181"/>
      <c r="F2632" s="1181"/>
      <c r="G2632" s="1181"/>
      <c r="H2632" s="1181"/>
      <c r="I2632" s="1181"/>
      <c r="J2632" s="1181"/>
      <c r="K2632" s="1181"/>
      <c r="L2632" s="1182"/>
      <c r="M2632" s="54"/>
      <c r="N2632" s="54"/>
      <c r="T2632" s="10"/>
      <c r="U2632" s="10"/>
    </row>
    <row r="2633" spans="1:25" ht="30" customHeight="1" x14ac:dyDescent="0.25">
      <c r="A2633" s="327" t="s">
        <v>5</v>
      </c>
      <c r="B2633" s="328">
        <v>4221</v>
      </c>
      <c r="C2633" s="1218" t="s">
        <v>1610</v>
      </c>
      <c r="D2633" s="1219"/>
      <c r="E2633" s="331" t="s">
        <v>8</v>
      </c>
      <c r="F2633" s="332" t="s">
        <v>205</v>
      </c>
      <c r="G2633" s="342" t="s">
        <v>74</v>
      </c>
      <c r="H2633" s="160">
        <v>2291</v>
      </c>
      <c r="I2633" s="331" t="s">
        <v>10</v>
      </c>
      <c r="J2633" s="1220" t="s">
        <v>1611</v>
      </c>
      <c r="K2633" s="1220"/>
      <c r="L2633" s="1221"/>
      <c r="M2633" s="111"/>
      <c r="N2633" s="54"/>
      <c r="T2633" s="10"/>
      <c r="U2633" s="10"/>
    </row>
    <row r="2634" spans="1:25" ht="30" customHeight="1" x14ac:dyDescent="0.25">
      <c r="A2634" s="356" t="s">
        <v>282</v>
      </c>
      <c r="B2634" s="1163" t="s">
        <v>13</v>
      </c>
      <c r="C2634" s="1163"/>
      <c r="D2634" s="1163"/>
      <c r="E2634" s="546" t="s">
        <v>116</v>
      </c>
      <c r="F2634" s="356" t="s">
        <v>283</v>
      </c>
      <c r="G2634" s="1314" t="s">
        <v>118</v>
      </c>
      <c r="H2634" s="1315"/>
      <c r="I2634" s="1276" t="s">
        <v>284</v>
      </c>
      <c r="J2634" s="1277"/>
      <c r="K2634" s="1236" t="s">
        <v>285</v>
      </c>
      <c r="L2634" s="1237"/>
      <c r="M2634" s="54"/>
      <c r="N2634" s="54"/>
      <c r="O2634" s="340"/>
      <c r="U2634" s="10"/>
    </row>
    <row r="2635" spans="1:25" ht="30" customHeight="1" x14ac:dyDescent="0.25">
      <c r="A2635" s="360">
        <v>42183</v>
      </c>
      <c r="B2635" s="1164" t="s">
        <v>1612</v>
      </c>
      <c r="C2635" s="1164"/>
      <c r="D2635" s="1164"/>
      <c r="E2635" s="247">
        <v>519</v>
      </c>
      <c r="F2635" s="257">
        <v>9600</v>
      </c>
      <c r="G2635" s="367"/>
      <c r="H2635" s="367"/>
      <c r="I2635" s="1416">
        <f>+'2022 MILCON Inflation Table'!F17</f>
        <v>1.0833841548808889</v>
      </c>
      <c r="J2635" s="1417"/>
      <c r="K2635" s="383">
        <f>+E2635*I2635</f>
        <v>562.27637638318129</v>
      </c>
      <c r="L2635" s="360" t="s">
        <v>205</v>
      </c>
      <c r="M2635" s="54"/>
      <c r="O2635" s="336"/>
      <c r="P2635" s="334"/>
      <c r="Q2635" s="335"/>
      <c r="R2635" s="336"/>
      <c r="S2635" s="337"/>
    </row>
    <row r="2636" spans="1:25" ht="30" customHeight="1" thickBot="1" x14ac:dyDescent="0.3">
      <c r="A2636" s="365"/>
      <c r="B2636" s="1281"/>
      <c r="C2636" s="1281"/>
      <c r="D2636" s="1281"/>
      <c r="E2636" s="550"/>
      <c r="F2636" s="551"/>
      <c r="G2636" s="551"/>
      <c r="H2636" s="552"/>
      <c r="I2636" s="366"/>
      <c r="J2636" s="359" t="s">
        <v>72</v>
      </c>
      <c r="K2636" s="243">
        <f>+K2635</f>
        <v>562.27637638318129</v>
      </c>
      <c r="L2636" s="365" t="s">
        <v>205</v>
      </c>
      <c r="M2636" s="54"/>
      <c r="N2636" s="54"/>
      <c r="O2636" s="340"/>
      <c r="T2636" s="60"/>
    </row>
    <row r="2637" spans="1:25" ht="30" customHeight="1" thickBot="1" x14ac:dyDescent="0.3">
      <c r="A2637" s="1180"/>
      <c r="B2637" s="1181"/>
      <c r="C2637" s="1181"/>
      <c r="D2637" s="1181"/>
      <c r="E2637" s="1181"/>
      <c r="F2637" s="1181"/>
      <c r="G2637" s="1181"/>
      <c r="H2637" s="1181"/>
      <c r="I2637" s="1181"/>
      <c r="J2637" s="1181"/>
      <c r="K2637" s="1181"/>
      <c r="L2637" s="1182"/>
      <c r="M2637" s="54"/>
      <c r="N2637" s="54"/>
      <c r="T2637" s="10"/>
      <c r="U2637" s="60"/>
    </row>
    <row r="2638" spans="1:25" ht="30" customHeight="1" thickBot="1" x14ac:dyDescent="0.3">
      <c r="A2638" s="327" t="s">
        <v>5</v>
      </c>
      <c r="B2638" s="328">
        <v>4222</v>
      </c>
      <c r="C2638" s="1218" t="s">
        <v>1613</v>
      </c>
      <c r="D2638" s="1219"/>
      <c r="E2638" s="331" t="s">
        <v>8</v>
      </c>
      <c r="F2638" s="332" t="s">
        <v>205</v>
      </c>
      <c r="G2638" s="342" t="s">
        <v>74</v>
      </c>
      <c r="H2638" s="160">
        <v>1760</v>
      </c>
      <c r="I2638" s="331" t="s">
        <v>10</v>
      </c>
      <c r="J2638" s="1220" t="s">
        <v>1614</v>
      </c>
      <c r="K2638" s="1220"/>
      <c r="L2638" s="1221"/>
      <c r="M2638" s="111"/>
      <c r="N2638" s="54"/>
      <c r="O2638" s="470"/>
      <c r="P2638" s="334"/>
      <c r="Q2638" s="335"/>
      <c r="R2638" s="336"/>
      <c r="S2638" s="337"/>
      <c r="U2638" s="10"/>
    </row>
    <row r="2639" spans="1:25" ht="30" customHeight="1" x14ac:dyDescent="0.25">
      <c r="A2639" s="356" t="s">
        <v>282</v>
      </c>
      <c r="B2639" s="1567" t="s">
        <v>13</v>
      </c>
      <c r="C2639" s="1568"/>
      <c r="D2639" s="1569"/>
      <c r="E2639" s="546" t="s">
        <v>116</v>
      </c>
      <c r="F2639" s="356" t="s">
        <v>283</v>
      </c>
      <c r="G2639" s="1570" t="s">
        <v>15</v>
      </c>
      <c r="H2639" s="1571"/>
      <c r="I2639" s="1570" t="s">
        <v>284</v>
      </c>
      <c r="J2639" s="1571"/>
      <c r="K2639" s="1572" t="s">
        <v>285</v>
      </c>
      <c r="L2639" s="1573"/>
      <c r="M2639" s="111"/>
      <c r="N2639" s="54"/>
      <c r="O2639" s="470"/>
      <c r="P2639" s="334"/>
      <c r="Q2639" s="335"/>
      <c r="R2639" s="336"/>
      <c r="S2639" s="337"/>
    </row>
    <row r="2640" spans="1:25" ht="30" customHeight="1" x14ac:dyDescent="0.25">
      <c r="A2640" s="365">
        <v>44222</v>
      </c>
      <c r="B2640" s="1209" t="s">
        <v>1615</v>
      </c>
      <c r="C2640" s="1210"/>
      <c r="D2640" s="1211"/>
      <c r="E2640" s="247">
        <v>77</v>
      </c>
      <c r="F2640" s="257">
        <v>2250</v>
      </c>
      <c r="G2640" s="579" t="s">
        <v>205</v>
      </c>
      <c r="H2640" s="579"/>
      <c r="I2640" s="1183">
        <f>+'2022 MILCON Inflation Table'!F19</f>
        <v>0.97847358121330719</v>
      </c>
      <c r="J2640" s="1184"/>
      <c r="K2640" s="268">
        <f>+E2640*I2640</f>
        <v>75.342465753424648</v>
      </c>
      <c r="L2640" s="367" t="s">
        <v>205</v>
      </c>
      <c r="M2640" s="54"/>
      <c r="N2640" s="54"/>
      <c r="P2640" s="336"/>
      <c r="Q2640" s="337"/>
    </row>
    <row r="2641" spans="1:19" ht="30" customHeight="1" thickBot="1" x14ac:dyDescent="0.3">
      <c r="A2641" s="365"/>
      <c r="B2641" s="1411"/>
      <c r="C2641" s="1412"/>
      <c r="D2641" s="1413"/>
      <c r="E2641" s="333"/>
      <c r="F2641" s="744"/>
      <c r="G2641" s="333"/>
      <c r="H2641" s="729"/>
      <c r="I2641" s="366"/>
      <c r="J2641" s="359" t="s">
        <v>72</v>
      </c>
      <c r="K2641" s="243">
        <f>AVERAGE(K2640:K2640)</f>
        <v>75.342465753424648</v>
      </c>
      <c r="L2641" s="367" t="s">
        <v>205</v>
      </c>
      <c r="M2641" s="54"/>
      <c r="N2641" s="54"/>
      <c r="P2641" s="336"/>
      <c r="Q2641" s="337"/>
    </row>
    <row r="2642" spans="1:19" ht="30" customHeight="1" thickBot="1" x14ac:dyDescent="0.3">
      <c r="A2642" s="1180"/>
      <c r="B2642" s="1181"/>
      <c r="C2642" s="1181"/>
      <c r="D2642" s="1181"/>
      <c r="E2642" s="1181"/>
      <c r="F2642" s="1181"/>
      <c r="G2642" s="1181"/>
      <c r="H2642" s="1181"/>
      <c r="I2642" s="1181"/>
      <c r="J2642" s="1181"/>
      <c r="K2642" s="1181"/>
      <c r="L2642" s="1182"/>
      <c r="M2642" s="54"/>
      <c r="N2642" s="54"/>
      <c r="O2642" s="335"/>
      <c r="P2642" s="336"/>
      <c r="Q2642" s="337"/>
    </row>
    <row r="2643" spans="1:19" ht="30" customHeight="1" x14ac:dyDescent="0.25">
      <c r="A2643" s="327" t="s">
        <v>5</v>
      </c>
      <c r="B2643" s="328">
        <v>4231</v>
      </c>
      <c r="C2643" s="1218" t="s">
        <v>1616</v>
      </c>
      <c r="D2643" s="1219"/>
      <c r="E2643" s="331" t="s">
        <v>8</v>
      </c>
      <c r="F2643" s="332" t="s">
        <v>214</v>
      </c>
      <c r="G2643" s="342" t="s">
        <v>74</v>
      </c>
      <c r="H2643" s="653">
        <v>19918</v>
      </c>
      <c r="I2643" s="331" t="s">
        <v>10</v>
      </c>
      <c r="J2643" s="1220" t="s">
        <v>3388</v>
      </c>
      <c r="K2643" s="1220"/>
      <c r="L2643" s="1221"/>
      <c r="M2643" s="54"/>
      <c r="N2643" s="334"/>
      <c r="O2643" s="340"/>
      <c r="P2643" s="336"/>
      <c r="Q2643" s="337"/>
    </row>
    <row r="2644" spans="1:19" ht="30" customHeight="1" x14ac:dyDescent="0.25">
      <c r="A2644" s="359" t="s">
        <v>295</v>
      </c>
      <c r="B2644" s="1222" t="s">
        <v>326</v>
      </c>
      <c r="C2644" s="1235"/>
      <c r="D2644" s="1223"/>
      <c r="E2644" s="577"/>
      <c r="F2644" s="577" t="s">
        <v>117</v>
      </c>
      <c r="G2644" s="1194" t="s">
        <v>118</v>
      </c>
      <c r="H2644" s="1195"/>
      <c r="I2644" s="356" t="s">
        <v>296</v>
      </c>
      <c r="J2644" s="356"/>
      <c r="K2644" s="1236" t="s">
        <v>285</v>
      </c>
      <c r="L2644" s="1237"/>
      <c r="M2644" s="111"/>
      <c r="N2644" s="54"/>
      <c r="O2644" s="335"/>
      <c r="P2644" s="336"/>
      <c r="Q2644" s="337"/>
    </row>
    <row r="2645" spans="1:19" ht="30" customHeight="1" x14ac:dyDescent="0.25">
      <c r="A2645" s="365" t="s">
        <v>398</v>
      </c>
      <c r="B2645" s="1214" t="s">
        <v>1617</v>
      </c>
      <c r="C2645" s="1215"/>
      <c r="D2645" s="1216"/>
      <c r="E2645" s="247">
        <v>157000</v>
      </c>
      <c r="F2645" s="365" t="s">
        <v>76</v>
      </c>
      <c r="G2645" s="727">
        <f>+H2643</f>
        <v>19918</v>
      </c>
      <c r="H2645" s="486" t="s">
        <v>1618</v>
      </c>
      <c r="I2645" s="706">
        <v>1.02</v>
      </c>
      <c r="J2645" s="365"/>
      <c r="K2645" s="247">
        <f>+E2645/G2645*I2645</f>
        <v>8.0399638517923488</v>
      </c>
      <c r="L2645" s="365" t="s">
        <v>214</v>
      </c>
      <c r="M2645" s="54"/>
      <c r="N2645" s="54"/>
      <c r="O2645" s="335"/>
      <c r="P2645" s="336"/>
      <c r="Q2645" s="337"/>
    </row>
    <row r="2646" spans="1:19" ht="30" customHeight="1" x14ac:dyDescent="0.25">
      <c r="A2646" s="365"/>
      <c r="B2646" s="578"/>
      <c r="C2646" s="578"/>
      <c r="D2646" s="578"/>
      <c r="E2646" s="247"/>
      <c r="F2646" s="1272" t="s">
        <v>303</v>
      </c>
      <c r="G2646" s="1283" t="s">
        <v>304</v>
      </c>
      <c r="H2646" s="1283"/>
      <c r="I2646" s="1283"/>
      <c r="J2646" s="1283"/>
      <c r="K2646" s="706">
        <v>1.07</v>
      </c>
      <c r="L2646" s="365"/>
      <c r="M2646" s="54"/>
      <c r="N2646" s="54"/>
      <c r="O2646" s="335"/>
      <c r="P2646" s="336"/>
      <c r="Q2646" s="337"/>
    </row>
    <row r="2647" spans="1:19" ht="30" customHeight="1" x14ac:dyDescent="0.25">
      <c r="A2647" s="365"/>
      <c r="B2647" s="578"/>
      <c r="C2647" s="578"/>
      <c r="D2647" s="578"/>
      <c r="E2647" s="247"/>
      <c r="F2647" s="1273"/>
      <c r="G2647" s="1284" t="s">
        <v>585</v>
      </c>
      <c r="H2647" s="1284"/>
      <c r="I2647" s="1284"/>
      <c r="J2647" s="1284"/>
      <c r="K2647" s="250">
        <v>1.08</v>
      </c>
      <c r="L2647" s="365"/>
      <c r="M2647" s="54"/>
      <c r="N2647" s="54"/>
      <c r="O2647" s="335"/>
      <c r="P2647" s="336"/>
      <c r="Q2647" s="337"/>
    </row>
    <row r="2648" spans="1:19" ht="30" customHeight="1" x14ac:dyDescent="0.25">
      <c r="A2648" s="365"/>
      <c r="B2648" s="365"/>
      <c r="C2648" s="366"/>
      <c r="D2648" s="366"/>
      <c r="E2648" s="366"/>
      <c r="F2648" s="366"/>
      <c r="G2648" s="366"/>
      <c r="H2648" s="366"/>
      <c r="I2648" s="366"/>
      <c r="J2648" s="365" t="s">
        <v>72</v>
      </c>
      <c r="K2648" s="246">
        <f>+K2645*K2646/K2647</f>
        <v>7.9655197420535311</v>
      </c>
      <c r="L2648" s="365" t="s">
        <v>214</v>
      </c>
      <c r="M2648" s="54"/>
      <c r="N2648" s="54"/>
      <c r="O2648" s="335"/>
      <c r="P2648" s="336"/>
      <c r="Q2648" s="337"/>
    </row>
    <row r="2649" spans="1:19" ht="30" customHeight="1" x14ac:dyDescent="0.25">
      <c r="A2649" s="365"/>
      <c r="B2649" s="365"/>
      <c r="C2649" s="366"/>
      <c r="D2649" s="366"/>
      <c r="E2649" s="366"/>
      <c r="F2649" s="366"/>
      <c r="G2649" s="366"/>
      <c r="H2649" s="366"/>
      <c r="I2649" s="877" t="s">
        <v>306</v>
      </c>
      <c r="J2649" s="521">
        <f>VLOOKUP(B2643,'Mil Cost Premiums for PUCs'!$A$4:$R$277,18,FALSE)</f>
        <v>1.0209999999999999</v>
      </c>
      <c r="K2649" s="246">
        <f>+K2648*J2649</f>
        <v>8.1327956566366542</v>
      </c>
      <c r="L2649" s="365" t="s">
        <v>214</v>
      </c>
      <c r="M2649" s="54"/>
      <c r="N2649" s="54"/>
      <c r="O2649" s="335"/>
      <c r="P2649" s="336"/>
      <c r="Q2649" s="337"/>
    </row>
    <row r="2650" spans="1:19" ht="30" customHeight="1" thickBot="1" x14ac:dyDescent="0.3">
      <c r="A2650" s="835"/>
      <c r="B2650" s="835"/>
      <c r="C2650" s="840"/>
      <c r="D2650" s="840"/>
      <c r="E2650" s="850"/>
      <c r="F2650" s="1278" t="s">
        <v>1148</v>
      </c>
      <c r="G2650" s="1278"/>
      <c r="H2650" s="1278"/>
      <c r="I2650" s="1278"/>
      <c r="J2650" s="845">
        <v>1.0833999999999999</v>
      </c>
      <c r="K2650" s="544">
        <f>K2649*J2650</f>
        <v>8.8110708144001499</v>
      </c>
      <c r="L2650" s="365" t="s">
        <v>214</v>
      </c>
      <c r="N2650" s="54"/>
      <c r="O2650" s="335"/>
      <c r="P2650" s="336"/>
      <c r="Q2650" s="337"/>
    </row>
    <row r="2651" spans="1:19" ht="30" customHeight="1" thickBot="1" x14ac:dyDescent="0.3">
      <c r="A2651" s="1180"/>
      <c r="B2651" s="1181"/>
      <c r="C2651" s="1181"/>
      <c r="D2651" s="1181"/>
      <c r="E2651" s="1181"/>
      <c r="F2651" s="1181"/>
      <c r="G2651" s="1181"/>
      <c r="H2651" s="1181"/>
      <c r="I2651" s="1181"/>
      <c r="J2651" s="1181"/>
      <c r="K2651" s="1181"/>
      <c r="L2651" s="1182"/>
      <c r="M2651" s="54"/>
      <c r="N2651" s="54"/>
      <c r="O2651" s="336"/>
      <c r="P2651" s="334"/>
      <c r="Q2651" s="335"/>
      <c r="R2651" s="336"/>
      <c r="S2651" s="337"/>
    </row>
    <row r="2652" spans="1:19" ht="30" customHeight="1" x14ac:dyDescent="0.25">
      <c r="A2652" s="327" t="s">
        <v>5</v>
      </c>
      <c r="B2652" s="328">
        <v>4241</v>
      </c>
      <c r="C2652" s="1218" t="s">
        <v>1619</v>
      </c>
      <c r="D2652" s="1219"/>
      <c r="E2652" s="331" t="s">
        <v>8</v>
      </c>
      <c r="F2652" s="332" t="s">
        <v>205</v>
      </c>
      <c r="G2652" s="342" t="s">
        <v>74</v>
      </c>
      <c r="H2652" s="160">
        <v>1779</v>
      </c>
      <c r="I2652" s="331" t="s">
        <v>10</v>
      </c>
      <c r="J2652" s="1220" t="s">
        <v>382</v>
      </c>
      <c r="K2652" s="1220"/>
      <c r="L2652" s="1221"/>
      <c r="M2652" s="111"/>
      <c r="N2652" s="54"/>
      <c r="O2652" s="336"/>
      <c r="P2652" s="334"/>
      <c r="Q2652" s="335"/>
      <c r="R2652" s="336"/>
      <c r="S2652" s="337"/>
    </row>
    <row r="2653" spans="1:19" ht="30" customHeight="1" x14ac:dyDescent="0.25">
      <c r="A2653" s="356" t="s">
        <v>282</v>
      </c>
      <c r="B2653" s="1163" t="s">
        <v>13</v>
      </c>
      <c r="C2653" s="1163"/>
      <c r="D2653" s="1163"/>
      <c r="E2653" s="546" t="s">
        <v>116</v>
      </c>
      <c r="F2653" s="356" t="s">
        <v>283</v>
      </c>
      <c r="G2653" s="1314" t="s">
        <v>15</v>
      </c>
      <c r="H2653" s="1315"/>
      <c r="I2653" s="1276" t="s">
        <v>284</v>
      </c>
      <c r="J2653" s="1277"/>
      <c r="K2653" s="1236" t="s">
        <v>285</v>
      </c>
      <c r="L2653" s="1237"/>
      <c r="M2653" s="54"/>
      <c r="N2653" s="54"/>
      <c r="O2653" s="335"/>
      <c r="P2653" s="336"/>
      <c r="Q2653" s="337"/>
    </row>
    <row r="2654" spans="1:19" ht="30" customHeight="1" x14ac:dyDescent="0.25">
      <c r="A2654" s="365">
        <v>21850</v>
      </c>
      <c r="B2654" s="1214" t="s">
        <v>1620</v>
      </c>
      <c r="C2654" s="1215"/>
      <c r="D2654" s="1216"/>
      <c r="E2654" s="247">
        <v>321</v>
      </c>
      <c r="F2654" s="257">
        <v>600</v>
      </c>
      <c r="G2654" s="367" t="s">
        <v>205</v>
      </c>
      <c r="H2654" s="367"/>
      <c r="I2654" s="1416">
        <v>0.9405</v>
      </c>
      <c r="J2654" s="1417"/>
      <c r="K2654" s="242">
        <f>+E2654*I2654</f>
        <v>301.90050000000002</v>
      </c>
      <c r="L2654" s="367" t="s">
        <v>205</v>
      </c>
      <c r="M2654" s="54"/>
      <c r="N2654" s="54"/>
      <c r="O2654" s="335"/>
      <c r="P2654" s="336"/>
      <c r="Q2654" s="337"/>
    </row>
    <row r="2655" spans="1:19" ht="30" customHeight="1" x14ac:dyDescent="0.25">
      <c r="A2655" s="365">
        <v>43211</v>
      </c>
      <c r="B2655" s="561" t="s">
        <v>1621</v>
      </c>
      <c r="C2655" s="562"/>
      <c r="D2655" s="563"/>
      <c r="E2655" s="247">
        <v>705</v>
      </c>
      <c r="F2655" s="257">
        <v>1184</v>
      </c>
      <c r="G2655" s="367" t="s">
        <v>205</v>
      </c>
      <c r="H2655" s="367"/>
      <c r="I2655" s="1416">
        <v>0.9405</v>
      </c>
      <c r="J2655" s="1417"/>
      <c r="K2655" s="242">
        <f>+E2655*I2655</f>
        <v>663.05250000000001</v>
      </c>
      <c r="L2655" s="367" t="s">
        <v>205</v>
      </c>
      <c r="M2655" s="54"/>
      <c r="O2655" s="336"/>
      <c r="P2655" s="334"/>
      <c r="Q2655" s="335"/>
      <c r="R2655" s="336"/>
      <c r="S2655" s="337"/>
    </row>
    <row r="2656" spans="1:19" ht="30" customHeight="1" x14ac:dyDescent="0.25">
      <c r="A2656" s="365"/>
      <c r="B2656" s="561"/>
      <c r="C2656" s="562"/>
      <c r="D2656" s="563"/>
      <c r="E2656" s="153"/>
      <c r="F2656" s="172"/>
      <c r="G2656" s="711"/>
      <c r="H2656" s="341"/>
      <c r="I2656" s="748"/>
      <c r="J2656" s="749" t="s">
        <v>300</v>
      </c>
      <c r="K2656" s="242">
        <f>AVERAGE(K2654:K2655)</f>
        <v>482.47649999999999</v>
      </c>
      <c r="L2656" s="367" t="s">
        <v>205</v>
      </c>
      <c r="M2656" s="54"/>
      <c r="N2656" s="54"/>
      <c r="P2656" s="335"/>
      <c r="Q2656" s="336"/>
      <c r="R2656" s="337"/>
    </row>
    <row r="2657" spans="1:25" ht="30" customHeight="1" thickBot="1" x14ac:dyDescent="0.3">
      <c r="A2657" s="365"/>
      <c r="B2657" s="1214"/>
      <c r="C2657" s="1215"/>
      <c r="D2657" s="1216"/>
      <c r="E2657" s="333"/>
      <c r="F2657" s="744"/>
      <c r="G2657" s="333"/>
      <c r="H2657" s="729"/>
      <c r="I2657" s="366"/>
      <c r="J2657" s="359" t="s">
        <v>72</v>
      </c>
      <c r="K2657" s="243">
        <f>+K2656</f>
        <v>482.47649999999999</v>
      </c>
      <c r="L2657" s="367" t="s">
        <v>205</v>
      </c>
      <c r="M2657" s="54"/>
      <c r="N2657" s="54"/>
      <c r="P2657" s="335"/>
      <c r="Q2657" s="336"/>
      <c r="R2657" s="337"/>
    </row>
    <row r="2658" spans="1:25" ht="30" customHeight="1" thickBot="1" x14ac:dyDescent="0.3">
      <c r="A2658" s="1180"/>
      <c r="B2658" s="1181"/>
      <c r="C2658" s="1181"/>
      <c r="D2658" s="1181"/>
      <c r="E2658" s="1181"/>
      <c r="F2658" s="1181"/>
      <c r="G2658" s="1181"/>
      <c r="H2658" s="1181"/>
      <c r="I2658" s="1181"/>
      <c r="J2658" s="1181"/>
      <c r="K2658" s="1181"/>
      <c r="L2658" s="1182"/>
      <c r="M2658" s="334"/>
      <c r="N2658" s="54"/>
      <c r="P2658" s="335"/>
      <c r="Q2658" s="336"/>
      <c r="R2658" s="337"/>
    </row>
    <row r="2659" spans="1:25" ht="30" customHeight="1" x14ac:dyDescent="0.25">
      <c r="A2659" s="327" t="s">
        <v>5</v>
      </c>
      <c r="B2659" s="328">
        <v>4251</v>
      </c>
      <c r="C2659" s="1294" t="s">
        <v>1622</v>
      </c>
      <c r="D2659" s="1295"/>
      <c r="E2659" s="331" t="s">
        <v>8</v>
      </c>
      <c r="F2659" s="332" t="s">
        <v>9</v>
      </c>
      <c r="G2659" s="342" t="s">
        <v>74</v>
      </c>
      <c r="H2659" s="653">
        <v>1822</v>
      </c>
      <c r="I2659" s="331" t="s">
        <v>10</v>
      </c>
      <c r="J2659" s="1220" t="s">
        <v>3388</v>
      </c>
      <c r="K2659" s="1220"/>
      <c r="L2659" s="1221"/>
      <c r="M2659" s="54"/>
      <c r="N2659" s="54"/>
      <c r="P2659" s="335"/>
      <c r="Q2659" s="336"/>
      <c r="R2659" s="337"/>
    </row>
    <row r="2660" spans="1:25" ht="30" customHeight="1" x14ac:dyDescent="0.25">
      <c r="A2660" s="359" t="s">
        <v>295</v>
      </c>
      <c r="B2660" s="1222" t="s">
        <v>326</v>
      </c>
      <c r="C2660" s="1235"/>
      <c r="D2660" s="1223"/>
      <c r="E2660" s="577" t="s">
        <v>116</v>
      </c>
      <c r="F2660" s="577" t="s">
        <v>117</v>
      </c>
      <c r="G2660" s="1194" t="s">
        <v>118</v>
      </c>
      <c r="H2660" s="1195"/>
      <c r="I2660" s="356" t="s">
        <v>296</v>
      </c>
      <c r="J2660" s="356"/>
      <c r="K2660" s="1236" t="s">
        <v>285</v>
      </c>
      <c r="L2660" s="1237"/>
      <c r="M2660" s="54"/>
      <c r="N2660" s="54"/>
      <c r="P2660" s="335"/>
      <c r="Q2660" s="336"/>
      <c r="R2660" s="337"/>
    </row>
    <row r="2661" spans="1:25" ht="30" customHeight="1" x14ac:dyDescent="0.25">
      <c r="A2661" s="365" t="s">
        <v>339</v>
      </c>
      <c r="B2661" s="1214" t="s">
        <v>1623</v>
      </c>
      <c r="C2661" s="1215"/>
      <c r="D2661" s="1216"/>
      <c r="E2661" s="247">
        <v>0.78</v>
      </c>
      <c r="F2661" s="365" t="s">
        <v>205</v>
      </c>
      <c r="G2661" s="365">
        <v>9</v>
      </c>
      <c r="H2661" s="365" t="s">
        <v>1624</v>
      </c>
      <c r="I2661" s="365">
        <v>1.03</v>
      </c>
      <c r="J2661" s="365"/>
      <c r="K2661" s="247">
        <f>+E2661*I2661*G2661</f>
        <v>7.2305999999999999</v>
      </c>
      <c r="L2661" s="365" t="s">
        <v>9</v>
      </c>
      <c r="M2661" s="54"/>
      <c r="N2661" s="54"/>
      <c r="P2661" s="335"/>
      <c r="Q2661" s="336"/>
      <c r="R2661" s="337"/>
    </row>
    <row r="2662" spans="1:25" ht="30" customHeight="1" x14ac:dyDescent="0.25">
      <c r="A2662" s="365" t="s">
        <v>339</v>
      </c>
      <c r="B2662" s="1209" t="s">
        <v>1625</v>
      </c>
      <c r="C2662" s="1210"/>
      <c r="D2662" s="1211"/>
      <c r="E2662" s="11">
        <v>2.29</v>
      </c>
      <c r="F2662" s="365" t="s">
        <v>205</v>
      </c>
      <c r="G2662" s="365">
        <v>9</v>
      </c>
      <c r="H2662" s="365" t="s">
        <v>1624</v>
      </c>
      <c r="I2662" s="365">
        <v>1.03</v>
      </c>
      <c r="J2662" s="365"/>
      <c r="K2662" s="247">
        <f>+E2662*I2662*G2662</f>
        <v>21.228300000000001</v>
      </c>
      <c r="L2662" s="365" t="s">
        <v>9</v>
      </c>
      <c r="M2662" s="54"/>
      <c r="N2662" s="54"/>
      <c r="P2662" s="335"/>
      <c r="Q2662" s="336"/>
      <c r="R2662" s="337"/>
    </row>
    <row r="2663" spans="1:25" ht="30" customHeight="1" x14ac:dyDescent="0.25">
      <c r="A2663" s="365" t="s">
        <v>339</v>
      </c>
      <c r="B2663" s="1214" t="s">
        <v>1626</v>
      </c>
      <c r="C2663" s="1215"/>
      <c r="D2663" s="1215"/>
      <c r="E2663" s="247">
        <v>4.07</v>
      </c>
      <c r="F2663" s="661" t="s">
        <v>205</v>
      </c>
      <c r="G2663" s="365">
        <v>9</v>
      </c>
      <c r="H2663" s="365" t="s">
        <v>1624</v>
      </c>
      <c r="I2663" s="365">
        <v>1.03</v>
      </c>
      <c r="J2663" s="365"/>
      <c r="K2663" s="247">
        <f>+E2663*I2663*G2663</f>
        <v>37.72890000000001</v>
      </c>
      <c r="L2663" s="365" t="s">
        <v>9</v>
      </c>
      <c r="M2663" s="54"/>
      <c r="N2663" s="54"/>
      <c r="P2663" s="335"/>
      <c r="Q2663" s="336"/>
      <c r="R2663" s="337"/>
    </row>
    <row r="2664" spans="1:25" ht="30" customHeight="1" x14ac:dyDescent="0.25">
      <c r="A2664" s="365"/>
      <c r="B2664" s="1209"/>
      <c r="C2664" s="1210"/>
      <c r="D2664" s="1211"/>
      <c r="E2664" s="247"/>
      <c r="F2664" s="365"/>
      <c r="G2664" s="366"/>
      <c r="H2664" s="366"/>
      <c r="I2664" s="1316" t="s">
        <v>1627</v>
      </c>
      <c r="J2664" s="1318"/>
      <c r="K2664" s="588">
        <f>AVERAGE(K2662:K2663)</f>
        <v>29.478600000000007</v>
      </c>
      <c r="L2664" s="365" t="s">
        <v>9</v>
      </c>
      <c r="M2664" s="54"/>
      <c r="N2664" s="54"/>
      <c r="P2664" s="335"/>
      <c r="Q2664" s="336"/>
      <c r="R2664" s="337"/>
    </row>
    <row r="2665" spans="1:25" ht="30" customHeight="1" x14ac:dyDescent="0.25">
      <c r="A2665" s="365"/>
      <c r="B2665" s="1375"/>
      <c r="C2665" s="1376"/>
      <c r="D2665" s="1377"/>
      <c r="E2665" s="247"/>
      <c r="F2665" s="661"/>
      <c r="G2665" s="365"/>
      <c r="H2665" s="365"/>
      <c r="I2665" s="365"/>
      <c r="J2665" s="365" t="s">
        <v>343</v>
      </c>
      <c r="K2665" s="247">
        <f>+K2664+K2661</f>
        <v>36.70920000000001</v>
      </c>
      <c r="L2665" s="365" t="s">
        <v>9</v>
      </c>
      <c r="M2665" s="54"/>
      <c r="N2665" s="54"/>
      <c r="O2665" s="340"/>
      <c r="P2665" s="334"/>
      <c r="S2665" s="10"/>
      <c r="T2665" s="10"/>
    </row>
    <row r="2666" spans="1:25" ht="30" customHeight="1" x14ac:dyDescent="0.25">
      <c r="A2666" s="365"/>
      <c r="B2666" s="578"/>
      <c r="C2666" s="578"/>
      <c r="D2666" s="578"/>
      <c r="E2666" s="247"/>
      <c r="F2666" s="1272" t="s">
        <v>303</v>
      </c>
      <c r="G2666" s="1283" t="s">
        <v>304</v>
      </c>
      <c r="H2666" s="1283"/>
      <c r="I2666" s="1283"/>
      <c r="J2666" s="1283"/>
      <c r="K2666" s="706">
        <v>1.07</v>
      </c>
      <c r="L2666" s="365"/>
      <c r="M2666" s="54"/>
      <c r="N2666" s="54"/>
      <c r="O2666" s="340"/>
      <c r="T2666" s="10"/>
    </row>
    <row r="2667" spans="1:25" ht="30" customHeight="1" x14ac:dyDescent="0.25">
      <c r="A2667" s="365"/>
      <c r="B2667" s="578"/>
      <c r="C2667" s="578"/>
      <c r="D2667" s="578"/>
      <c r="E2667" s="247"/>
      <c r="F2667" s="1273"/>
      <c r="G2667" s="1284" t="s">
        <v>438</v>
      </c>
      <c r="H2667" s="1284"/>
      <c r="I2667" s="1284"/>
      <c r="J2667" s="1284"/>
      <c r="K2667" s="250">
        <v>1.08</v>
      </c>
      <c r="L2667" s="365"/>
      <c r="M2667" s="54"/>
      <c r="N2667" s="54"/>
      <c r="P2667" s="344"/>
      <c r="Q2667" s="345"/>
      <c r="R2667" s="345"/>
      <c r="S2667" s="345"/>
      <c r="T2667" s="345"/>
      <c r="U2667" s="10"/>
    </row>
    <row r="2668" spans="1:25" ht="30" customHeight="1" x14ac:dyDescent="0.25">
      <c r="A2668" s="365"/>
      <c r="B2668" s="1209"/>
      <c r="C2668" s="1210"/>
      <c r="D2668" s="1211"/>
      <c r="E2668" s="247"/>
      <c r="F2668" s="661"/>
      <c r="G2668" s="366"/>
      <c r="H2668" s="662"/>
      <c r="I2668" s="1389" t="s">
        <v>72</v>
      </c>
      <c r="J2668" s="1240"/>
      <c r="K2668" s="246">
        <f>+K2665*K2666/K2667</f>
        <v>36.36930000000001</v>
      </c>
      <c r="L2668" s="365" t="s">
        <v>9</v>
      </c>
      <c r="M2668" s="54"/>
      <c r="N2668" s="54"/>
      <c r="U2668" s="345"/>
      <c r="V2668" s="345"/>
      <c r="W2668" s="345"/>
      <c r="X2668" s="345"/>
      <c r="Y2668" s="345"/>
    </row>
    <row r="2669" spans="1:25" s="345" customFormat="1" ht="30" customHeight="1" x14ac:dyDescent="0.25">
      <c r="A2669" s="365"/>
      <c r="B2669" s="738"/>
      <c r="C2669" s="591"/>
      <c r="D2669" s="589"/>
      <c r="E2669" s="247"/>
      <c r="F2669" s="661"/>
      <c r="G2669" s="334"/>
      <c r="H2669" s="662"/>
      <c r="I2669" s="553" t="s">
        <v>414</v>
      </c>
      <c r="J2669" s="521">
        <f>VLOOKUP(B2659,'Mil Cost Premiums for PUCs'!$A$4:$R$277,18,FALSE)</f>
        <v>1.0905505199999999</v>
      </c>
      <c r="K2669" s="246">
        <f>+K2668*J2669</f>
        <v>39.662559027036004</v>
      </c>
      <c r="L2669" s="365" t="s">
        <v>9</v>
      </c>
      <c r="M2669" s="54"/>
      <c r="N2669" s="54"/>
      <c r="O2669" s="543"/>
      <c r="P2669" s="340"/>
      <c r="Q2669" s="334"/>
      <c r="R2669" s="334"/>
      <c r="S2669" s="334"/>
      <c r="T2669" s="334"/>
      <c r="U2669" s="334"/>
      <c r="V2669" s="334"/>
      <c r="W2669" s="334"/>
      <c r="X2669" s="334"/>
      <c r="Y2669" s="334"/>
    </row>
    <row r="2670" spans="1:25" ht="30" customHeight="1" x14ac:dyDescent="0.25">
      <c r="A2670" s="835"/>
      <c r="B2670" s="835"/>
      <c r="C2670" s="840"/>
      <c r="D2670" s="840"/>
      <c r="E2670" s="850"/>
      <c r="F2670" s="1278" t="s">
        <v>1148</v>
      </c>
      <c r="G2670" s="1278"/>
      <c r="H2670" s="1278"/>
      <c r="I2670" s="1278"/>
      <c r="J2670" s="845">
        <v>1.0833999999999999</v>
      </c>
      <c r="K2670" s="544">
        <f>K2669*J2670</f>
        <v>42.970416449890806</v>
      </c>
      <c r="L2670" s="365" t="s">
        <v>9</v>
      </c>
      <c r="N2670" s="111"/>
      <c r="T2670" s="10"/>
    </row>
    <row r="2671" spans="1:25" ht="75" customHeight="1" x14ac:dyDescent="0.25">
      <c r="A2671" s="1230" t="s">
        <v>307</v>
      </c>
      <c r="B2671" s="1231"/>
      <c r="C2671" s="1231"/>
      <c r="D2671" s="1231"/>
      <c r="E2671" s="1231"/>
      <c r="F2671" s="1231"/>
      <c r="G2671" s="1231"/>
      <c r="H2671" s="1231"/>
      <c r="I2671" s="1231"/>
      <c r="J2671" s="1231"/>
      <c r="K2671" s="1231"/>
      <c r="L2671" s="1232"/>
      <c r="M2671" s="54"/>
      <c r="T2671" s="10"/>
      <c r="U2671" s="10"/>
    </row>
    <row r="2672" spans="1:25" ht="45" customHeight="1" x14ac:dyDescent="0.25">
      <c r="A2672" s="1268" t="s">
        <v>308</v>
      </c>
      <c r="B2672" s="1167"/>
      <c r="C2672" s="1168"/>
      <c r="D2672" s="1230" t="s">
        <v>1628</v>
      </c>
      <c r="E2672" s="1231"/>
      <c r="F2672" s="1231"/>
      <c r="G2672" s="1231"/>
      <c r="H2672" s="1231"/>
      <c r="I2672" s="1231"/>
      <c r="J2672" s="1231"/>
      <c r="K2672" s="1231"/>
      <c r="L2672" s="1232"/>
      <c r="M2672" s="54"/>
      <c r="N2672" s="111"/>
      <c r="P2672" s="344"/>
      <c r="Q2672" s="345"/>
      <c r="R2672" s="345"/>
      <c r="S2672" s="345"/>
      <c r="T2672" s="345"/>
      <c r="U2672" s="10"/>
    </row>
    <row r="2673" spans="1:25" ht="30" customHeight="1" x14ac:dyDescent="0.25">
      <c r="A2673" s="1268" t="s">
        <v>310</v>
      </c>
      <c r="B2673" s="1167"/>
      <c r="C2673" s="1168"/>
      <c r="D2673" s="1230" t="s">
        <v>1629</v>
      </c>
      <c r="E2673" s="1231"/>
      <c r="F2673" s="1231"/>
      <c r="G2673" s="1231"/>
      <c r="H2673" s="1231"/>
      <c r="I2673" s="1231"/>
      <c r="J2673" s="1231"/>
      <c r="K2673" s="1231"/>
      <c r="L2673" s="1232"/>
      <c r="M2673" s="54"/>
      <c r="N2673" s="54"/>
      <c r="U2673" s="345"/>
      <c r="V2673" s="345"/>
      <c r="W2673" s="345"/>
      <c r="X2673" s="345"/>
      <c r="Y2673" s="345"/>
    </row>
    <row r="2674" spans="1:25" s="345" customFormat="1" ht="30" customHeight="1" x14ac:dyDescent="0.25">
      <c r="A2674" s="1268" t="s">
        <v>312</v>
      </c>
      <c r="B2674" s="1167"/>
      <c r="C2674" s="1168"/>
      <c r="D2674" s="1230" t="s">
        <v>1630</v>
      </c>
      <c r="E2674" s="1231"/>
      <c r="F2674" s="1231"/>
      <c r="G2674" s="1231"/>
      <c r="H2674" s="1231"/>
      <c r="I2674" s="1231"/>
      <c r="J2674" s="1231"/>
      <c r="K2674" s="1231"/>
      <c r="L2674" s="1232"/>
      <c r="M2674" s="54"/>
      <c r="N2674" s="54"/>
      <c r="O2674" s="543"/>
      <c r="P2674" s="340"/>
      <c r="Q2674" s="334"/>
      <c r="R2674" s="334"/>
      <c r="S2674" s="334"/>
      <c r="T2674" s="334"/>
      <c r="U2674" s="334"/>
      <c r="V2674" s="334"/>
      <c r="W2674" s="334"/>
      <c r="X2674" s="334"/>
      <c r="Y2674" s="334"/>
    </row>
    <row r="2675" spans="1:25" ht="30" customHeight="1" x14ac:dyDescent="0.25">
      <c r="A2675" s="1268" t="s">
        <v>314</v>
      </c>
      <c r="B2675" s="1167"/>
      <c r="C2675" s="1168"/>
      <c r="D2675" s="1230" t="s">
        <v>1631</v>
      </c>
      <c r="E2675" s="1231"/>
      <c r="F2675" s="1231"/>
      <c r="G2675" s="1231"/>
      <c r="H2675" s="1231"/>
      <c r="I2675" s="1231"/>
      <c r="J2675" s="1231"/>
      <c r="K2675" s="1231"/>
      <c r="L2675" s="1232"/>
      <c r="M2675" s="54"/>
      <c r="N2675" s="54"/>
      <c r="T2675" s="10"/>
    </row>
    <row r="2676" spans="1:25" ht="30" customHeight="1" x14ac:dyDescent="0.25">
      <c r="A2676" s="1268" t="s">
        <v>316</v>
      </c>
      <c r="B2676" s="1167"/>
      <c r="C2676" s="1168"/>
      <c r="D2676" s="1230" t="s">
        <v>1632</v>
      </c>
      <c r="E2676" s="1231"/>
      <c r="F2676" s="1231"/>
      <c r="G2676" s="1231"/>
      <c r="H2676" s="1231"/>
      <c r="I2676" s="1231"/>
      <c r="J2676" s="1231"/>
      <c r="K2676" s="1231"/>
      <c r="L2676" s="1232"/>
      <c r="M2676" s="54"/>
      <c r="N2676" s="111"/>
      <c r="T2676" s="10"/>
      <c r="U2676" s="10"/>
    </row>
    <row r="2677" spans="1:25" ht="30" customHeight="1" x14ac:dyDescent="0.25">
      <c r="A2677" s="1268" t="s">
        <v>318</v>
      </c>
      <c r="B2677" s="1167"/>
      <c r="C2677" s="1168"/>
      <c r="D2677" s="1230" t="s">
        <v>319</v>
      </c>
      <c r="E2677" s="1231"/>
      <c r="F2677" s="1231"/>
      <c r="G2677" s="1231"/>
      <c r="H2677" s="1231"/>
      <c r="I2677" s="1231"/>
      <c r="J2677" s="1231"/>
      <c r="K2677" s="1231"/>
      <c r="L2677" s="1232"/>
      <c r="M2677" s="54"/>
      <c r="O2677" s="336"/>
      <c r="P2677" s="334"/>
      <c r="Q2677" s="335"/>
      <c r="R2677" s="336"/>
      <c r="S2677" s="337"/>
    </row>
    <row r="2678" spans="1:25" ht="30" customHeight="1" x14ac:dyDescent="0.25">
      <c r="A2678" s="1268" t="s">
        <v>320</v>
      </c>
      <c r="B2678" s="1167"/>
      <c r="C2678" s="1168"/>
      <c r="D2678" s="1230" t="s">
        <v>1633</v>
      </c>
      <c r="E2678" s="1231"/>
      <c r="F2678" s="1231"/>
      <c r="G2678" s="1231"/>
      <c r="H2678" s="1231"/>
      <c r="I2678" s="1231"/>
      <c r="J2678" s="1231"/>
      <c r="K2678" s="1231"/>
      <c r="L2678" s="1232"/>
      <c r="M2678" s="54"/>
      <c r="N2678" s="54"/>
      <c r="O2678" s="554"/>
      <c r="U2678" s="10"/>
    </row>
    <row r="2679" spans="1:25" ht="45" customHeight="1" x14ac:dyDescent="0.25">
      <c r="A2679" s="1268" t="s">
        <v>322</v>
      </c>
      <c r="B2679" s="1167"/>
      <c r="C2679" s="1168"/>
      <c r="D2679" s="1230" t="s">
        <v>1634</v>
      </c>
      <c r="E2679" s="1231"/>
      <c r="F2679" s="1231"/>
      <c r="G2679" s="1231"/>
      <c r="H2679" s="1231"/>
      <c r="I2679" s="1231"/>
      <c r="J2679" s="1231"/>
      <c r="K2679" s="1231"/>
      <c r="L2679" s="1232"/>
      <c r="M2679" s="54"/>
      <c r="N2679" s="54"/>
      <c r="T2679" s="60"/>
    </row>
    <row r="2680" spans="1:25" ht="30" customHeight="1" thickBot="1" x14ac:dyDescent="0.3">
      <c r="A2680" s="1268" t="s">
        <v>350</v>
      </c>
      <c r="B2680" s="1167"/>
      <c r="C2680" s="1168"/>
      <c r="D2680" s="1291" t="s">
        <v>1635</v>
      </c>
      <c r="E2680" s="1292"/>
      <c r="F2680" s="1292"/>
      <c r="G2680" s="1292"/>
      <c r="H2680" s="1292"/>
      <c r="I2680" s="1292"/>
      <c r="J2680" s="1292"/>
      <c r="K2680" s="1292"/>
      <c r="L2680" s="1293"/>
      <c r="M2680" s="54"/>
      <c r="N2680" s="54"/>
      <c r="T2680" s="10"/>
      <c r="U2680" s="60"/>
    </row>
    <row r="2681" spans="1:25" ht="30" customHeight="1" thickBot="1" x14ac:dyDescent="0.3">
      <c r="A2681" s="1180"/>
      <c r="B2681" s="1181"/>
      <c r="C2681" s="1181"/>
      <c r="D2681" s="1181"/>
      <c r="E2681" s="1181"/>
      <c r="F2681" s="1181"/>
      <c r="G2681" s="1181"/>
      <c r="H2681" s="1181"/>
      <c r="I2681" s="1181"/>
      <c r="J2681" s="1181"/>
      <c r="K2681" s="1181"/>
      <c r="L2681" s="1182"/>
      <c r="M2681" s="54"/>
      <c r="N2681" s="54"/>
      <c r="O2681" s="554"/>
      <c r="P2681" s="334"/>
      <c r="Q2681" s="335"/>
      <c r="R2681" s="336"/>
      <c r="S2681" s="337"/>
      <c r="U2681" s="10"/>
    </row>
    <row r="2682" spans="1:25" ht="30" customHeight="1" x14ac:dyDescent="0.25">
      <c r="A2682" s="327" t="s">
        <v>5</v>
      </c>
      <c r="B2682" s="328">
        <v>4311</v>
      </c>
      <c r="C2682" s="1251" t="s">
        <v>1636</v>
      </c>
      <c r="D2682" s="1252"/>
      <c r="E2682" s="331" t="s">
        <v>8</v>
      </c>
      <c r="F2682" s="332" t="s">
        <v>205</v>
      </c>
      <c r="G2682" s="342" t="s">
        <v>74</v>
      </c>
      <c r="H2682" s="653">
        <v>24809</v>
      </c>
      <c r="I2682" s="331" t="s">
        <v>10</v>
      </c>
      <c r="J2682" s="1220" t="s">
        <v>3388</v>
      </c>
      <c r="K2682" s="1220"/>
      <c r="L2682" s="1221"/>
      <c r="M2682" s="54"/>
      <c r="N2682" s="54"/>
      <c r="P2682" s="334"/>
      <c r="Q2682" s="335"/>
      <c r="R2682" s="336"/>
      <c r="S2682" s="337"/>
    </row>
    <row r="2683" spans="1:25" ht="30" customHeight="1" x14ac:dyDescent="0.25">
      <c r="A2683" s="359" t="s">
        <v>295</v>
      </c>
      <c r="B2683" s="1222" t="s">
        <v>326</v>
      </c>
      <c r="C2683" s="1235"/>
      <c r="D2683" s="1223"/>
      <c r="E2683" s="577" t="s">
        <v>116</v>
      </c>
      <c r="F2683" s="577" t="s">
        <v>117</v>
      </c>
      <c r="G2683" s="1194" t="s">
        <v>118</v>
      </c>
      <c r="H2683" s="1195"/>
      <c r="I2683" s="356" t="s">
        <v>296</v>
      </c>
      <c r="J2683" s="356"/>
      <c r="K2683" s="1236" t="s">
        <v>285</v>
      </c>
      <c r="L2683" s="1237"/>
      <c r="M2683" s="54"/>
      <c r="N2683" s="54"/>
      <c r="P2683" s="335"/>
      <c r="Q2683" s="336"/>
      <c r="R2683" s="337"/>
    </row>
    <row r="2684" spans="1:25" ht="30" customHeight="1" x14ac:dyDescent="0.25">
      <c r="A2684" s="365" t="s">
        <v>1637</v>
      </c>
      <c r="B2684" s="1214" t="s">
        <v>1638</v>
      </c>
      <c r="C2684" s="1215"/>
      <c r="D2684" s="1216"/>
      <c r="E2684" s="247">
        <v>86.5</v>
      </c>
      <c r="F2684" s="365" t="s">
        <v>205</v>
      </c>
      <c r="G2684" s="365"/>
      <c r="H2684" s="365"/>
      <c r="I2684" s="365">
        <f>(1.01+1.05)/2</f>
        <v>1.03</v>
      </c>
      <c r="J2684" s="365"/>
      <c r="K2684" s="247">
        <f>+E2684*I2684</f>
        <v>89.094999999999999</v>
      </c>
      <c r="L2684" s="365" t="s">
        <v>205</v>
      </c>
      <c r="M2684" s="54"/>
      <c r="N2684" s="54"/>
      <c r="P2684" s="335"/>
      <c r="Q2684" s="336"/>
      <c r="R2684" s="337"/>
    </row>
    <row r="2685" spans="1:25" ht="30" customHeight="1" x14ac:dyDescent="0.25">
      <c r="A2685" s="365" t="s">
        <v>1637</v>
      </c>
      <c r="B2685" s="1209" t="s">
        <v>1639</v>
      </c>
      <c r="C2685" s="1210"/>
      <c r="D2685" s="1211"/>
      <c r="E2685" s="11">
        <v>22.95</v>
      </c>
      <c r="F2685" s="365" t="s">
        <v>205</v>
      </c>
      <c r="G2685" s="587"/>
      <c r="H2685" s="662"/>
      <c r="I2685" s="365">
        <f>(1.01+1.05)/2</f>
        <v>1.03</v>
      </c>
      <c r="J2685" s="365"/>
      <c r="K2685" s="247">
        <f>+E2685*I2685</f>
        <v>23.638500000000001</v>
      </c>
      <c r="L2685" s="365" t="s">
        <v>205</v>
      </c>
      <c r="M2685" s="54"/>
      <c r="N2685" s="54"/>
      <c r="P2685" s="335"/>
      <c r="Q2685" s="336"/>
      <c r="R2685" s="337"/>
    </row>
    <row r="2686" spans="1:25" ht="30" customHeight="1" x14ac:dyDescent="0.25">
      <c r="A2686" s="365" t="s">
        <v>406</v>
      </c>
      <c r="B2686" s="1214" t="s">
        <v>1640</v>
      </c>
      <c r="C2686" s="1215"/>
      <c r="D2686" s="1215"/>
      <c r="E2686" s="247">
        <v>3.61</v>
      </c>
      <c r="F2686" s="365" t="s">
        <v>205</v>
      </c>
      <c r="G2686" s="366"/>
      <c r="H2686" s="662"/>
      <c r="I2686" s="365">
        <f>(1.01+1.05)/2</f>
        <v>1.03</v>
      </c>
      <c r="J2686" s="365"/>
      <c r="K2686" s="247">
        <f>+E2686*I2686</f>
        <v>3.7183000000000002</v>
      </c>
      <c r="L2686" s="365" t="s">
        <v>205</v>
      </c>
      <c r="N2686" s="54"/>
      <c r="P2686" s="335"/>
      <c r="Q2686" s="336"/>
      <c r="R2686" s="337"/>
    </row>
    <row r="2687" spans="1:25" ht="30" customHeight="1" x14ac:dyDescent="0.25">
      <c r="A2687" s="365"/>
      <c r="B2687" s="1209"/>
      <c r="C2687" s="1210"/>
      <c r="D2687" s="1211"/>
      <c r="E2687" s="247"/>
      <c r="F2687" s="661"/>
      <c r="G2687" s="366"/>
      <c r="H2687" s="662"/>
      <c r="I2687" s="365"/>
      <c r="J2687" s="365" t="s">
        <v>343</v>
      </c>
      <c r="K2687" s="247">
        <f>SUM(K2684:K2686)</f>
        <v>116.45179999999999</v>
      </c>
      <c r="L2687" s="365" t="s">
        <v>205</v>
      </c>
      <c r="M2687" s="111"/>
      <c r="N2687" s="54"/>
      <c r="P2687" s="335"/>
      <c r="Q2687" s="336"/>
      <c r="R2687" s="337"/>
    </row>
    <row r="2688" spans="1:25" ht="30" customHeight="1" x14ac:dyDescent="0.25">
      <c r="A2688" s="365"/>
      <c r="B2688" s="578"/>
      <c r="C2688" s="578"/>
      <c r="D2688" s="578"/>
      <c r="E2688" s="247"/>
      <c r="F2688" s="1272" t="s">
        <v>303</v>
      </c>
      <c r="G2688" s="1283" t="s">
        <v>304</v>
      </c>
      <c r="H2688" s="1283"/>
      <c r="I2688" s="1283"/>
      <c r="J2688" s="1283"/>
      <c r="K2688" s="706">
        <v>1.0900000000000001</v>
      </c>
      <c r="L2688" s="365"/>
      <c r="M2688" s="54"/>
      <c r="N2688" s="54"/>
      <c r="P2688" s="335"/>
      <c r="Q2688" s="336"/>
      <c r="R2688" s="337"/>
    </row>
    <row r="2689" spans="1:19" ht="30" customHeight="1" x14ac:dyDescent="0.25">
      <c r="A2689" s="365"/>
      <c r="B2689" s="578"/>
      <c r="C2689" s="578"/>
      <c r="D2689" s="578"/>
      <c r="E2689" s="247"/>
      <c r="F2689" s="1273"/>
      <c r="G2689" s="1284" t="s">
        <v>438</v>
      </c>
      <c r="H2689" s="1284"/>
      <c r="I2689" s="1284"/>
      <c r="J2689" s="1284"/>
      <c r="K2689" s="250">
        <v>1.08</v>
      </c>
      <c r="L2689" s="365"/>
      <c r="M2689" s="54"/>
      <c r="N2689" s="54"/>
      <c r="P2689" s="335"/>
      <c r="Q2689" s="336"/>
      <c r="R2689" s="337"/>
    </row>
    <row r="2690" spans="1:19" ht="30" customHeight="1" x14ac:dyDescent="0.25">
      <c r="A2690" s="365"/>
      <c r="B2690" s="365"/>
      <c r="C2690" s="366"/>
      <c r="D2690" s="366"/>
      <c r="E2690" s="366"/>
      <c r="F2690" s="366"/>
      <c r="G2690" s="366"/>
      <c r="H2690" s="366"/>
      <c r="J2690" s="365" t="s">
        <v>72</v>
      </c>
      <c r="K2690" s="246">
        <f>+K2687*K2688/K2689</f>
        <v>117.5300574074074</v>
      </c>
      <c r="L2690" s="365" t="s">
        <v>205</v>
      </c>
      <c r="M2690" s="54"/>
      <c r="N2690" s="54"/>
      <c r="P2690" s="335"/>
      <c r="Q2690" s="336"/>
      <c r="R2690" s="337"/>
    </row>
    <row r="2691" spans="1:19" ht="30" customHeight="1" x14ac:dyDescent="0.25">
      <c r="A2691" s="365"/>
      <c r="B2691" s="365"/>
      <c r="C2691" s="366"/>
      <c r="D2691" s="366"/>
      <c r="E2691" s="366"/>
      <c r="F2691" s="366"/>
      <c r="G2691" s="580" t="s">
        <v>306</v>
      </c>
      <c r="H2691" s="366"/>
      <c r="I2691" s="366"/>
      <c r="J2691" s="521">
        <f>VLOOKUP(B2682,'Mil Cost Premiums for PUCs'!$A$4:$R$277,18,FALSE)</f>
        <v>1.168693068754227</v>
      </c>
      <c r="K2691" s="246">
        <f>+K2690*J2691</f>
        <v>137.35656346232341</v>
      </c>
      <c r="L2691" s="365" t="s">
        <v>205</v>
      </c>
      <c r="M2691" s="111"/>
      <c r="N2691" s="54"/>
      <c r="P2691" s="335"/>
      <c r="Q2691" s="336"/>
      <c r="R2691" s="337"/>
    </row>
    <row r="2692" spans="1:19" ht="30" customHeight="1" thickBot="1" x14ac:dyDescent="0.3">
      <c r="A2692" s="835"/>
      <c r="B2692" s="835"/>
      <c r="C2692" s="840"/>
      <c r="D2692" s="840"/>
      <c r="E2692" s="850"/>
      <c r="F2692" s="1278" t="s">
        <v>1148</v>
      </c>
      <c r="G2692" s="1278"/>
      <c r="H2692" s="1278"/>
      <c r="I2692" s="1278"/>
      <c r="J2692" s="845">
        <v>1.0833999999999999</v>
      </c>
      <c r="K2692" s="544">
        <f>K2691*J2692</f>
        <v>148.81210085508116</v>
      </c>
      <c r="L2692" s="365" t="s">
        <v>205</v>
      </c>
      <c r="N2692" s="54"/>
      <c r="P2692" s="335"/>
      <c r="Q2692" s="336"/>
      <c r="R2692" s="337"/>
    </row>
    <row r="2693" spans="1:19" ht="30" customHeight="1" thickBot="1" x14ac:dyDescent="0.3">
      <c r="A2693" s="1180"/>
      <c r="B2693" s="1181"/>
      <c r="C2693" s="1181"/>
      <c r="D2693" s="1181"/>
      <c r="E2693" s="1181"/>
      <c r="F2693" s="1181"/>
      <c r="G2693" s="1181"/>
      <c r="H2693" s="1181"/>
      <c r="I2693" s="1181"/>
      <c r="J2693" s="1181"/>
      <c r="K2693" s="1181"/>
      <c r="L2693" s="1182"/>
      <c r="M2693" s="54"/>
      <c r="N2693" s="54"/>
      <c r="P2693" s="335"/>
      <c r="Q2693" s="336"/>
      <c r="R2693" s="337"/>
    </row>
    <row r="2694" spans="1:19" ht="30" customHeight="1" x14ac:dyDescent="0.25">
      <c r="A2694" s="327" t="s">
        <v>5</v>
      </c>
      <c r="B2694" s="328">
        <v>4321</v>
      </c>
      <c r="C2694" s="1251" t="s">
        <v>1641</v>
      </c>
      <c r="D2694" s="1252"/>
      <c r="E2694" s="331" t="s">
        <v>8</v>
      </c>
      <c r="F2694" s="332" t="s">
        <v>205</v>
      </c>
      <c r="G2694" s="342" t="s">
        <v>74</v>
      </c>
      <c r="H2694" s="653">
        <v>9135</v>
      </c>
      <c r="I2694" s="331" t="s">
        <v>10</v>
      </c>
      <c r="J2694" s="1220" t="s">
        <v>294</v>
      </c>
      <c r="K2694" s="1220"/>
      <c r="L2694" s="1221"/>
      <c r="M2694" s="54"/>
      <c r="N2694" s="54"/>
      <c r="O2694" s="336"/>
      <c r="P2694" s="334"/>
      <c r="Q2694" s="335"/>
      <c r="R2694" s="336"/>
      <c r="S2694" s="337"/>
    </row>
    <row r="2695" spans="1:19" ht="30" customHeight="1" x14ac:dyDescent="0.25">
      <c r="A2695" s="359" t="s">
        <v>295</v>
      </c>
      <c r="B2695" s="1222" t="s">
        <v>326</v>
      </c>
      <c r="C2695" s="1235"/>
      <c r="D2695" s="1223"/>
      <c r="E2695" s="577" t="s">
        <v>116</v>
      </c>
      <c r="F2695" s="577" t="s">
        <v>117</v>
      </c>
      <c r="G2695" s="1194" t="s">
        <v>118</v>
      </c>
      <c r="H2695" s="1195"/>
      <c r="I2695" s="356" t="s">
        <v>296</v>
      </c>
      <c r="J2695" s="356"/>
      <c r="K2695" s="1236" t="s">
        <v>285</v>
      </c>
      <c r="L2695" s="1237"/>
      <c r="M2695" s="54"/>
      <c r="N2695" s="54"/>
      <c r="O2695" s="336"/>
      <c r="P2695" s="334"/>
      <c r="Q2695" s="335"/>
      <c r="R2695" s="336"/>
      <c r="S2695" s="337"/>
    </row>
    <row r="2696" spans="1:19" ht="30" customHeight="1" x14ac:dyDescent="0.25">
      <c r="A2696" s="365" t="s">
        <v>1637</v>
      </c>
      <c r="B2696" s="1214" t="s">
        <v>1638</v>
      </c>
      <c r="C2696" s="1215"/>
      <c r="D2696" s="1216"/>
      <c r="E2696" s="247">
        <v>86.5</v>
      </c>
      <c r="F2696" s="365" t="s">
        <v>205</v>
      </c>
      <c r="G2696" s="365"/>
      <c r="H2696" s="365"/>
      <c r="I2696" s="706">
        <f>(1.16+1.19)/2</f>
        <v>1.1749999999999998</v>
      </c>
      <c r="J2696" s="365"/>
      <c r="K2696" s="247">
        <f>+E2696*I2696</f>
        <v>101.63749999999999</v>
      </c>
      <c r="L2696" s="365" t="s">
        <v>205</v>
      </c>
      <c r="M2696" s="54"/>
      <c r="N2696" s="54"/>
      <c r="P2696" s="335"/>
      <c r="Q2696" s="336"/>
      <c r="R2696" s="337"/>
    </row>
    <row r="2697" spans="1:19" ht="30" customHeight="1" x14ac:dyDescent="0.25">
      <c r="A2697" s="365" t="s">
        <v>1637</v>
      </c>
      <c r="B2697" s="1209" t="s">
        <v>1642</v>
      </c>
      <c r="C2697" s="1210"/>
      <c r="D2697" s="1211"/>
      <c r="E2697" s="11">
        <v>19.649999999999999</v>
      </c>
      <c r="F2697" s="365" t="s">
        <v>205</v>
      </c>
      <c r="G2697" s="587"/>
      <c r="H2697" s="662"/>
      <c r="I2697" s="706">
        <f>(1.16+1.19)/2</f>
        <v>1.1749999999999998</v>
      </c>
      <c r="J2697" s="365"/>
      <c r="K2697" s="247">
        <f>+E2697*I2697</f>
        <v>23.088749999999994</v>
      </c>
      <c r="L2697" s="365" t="s">
        <v>205</v>
      </c>
      <c r="M2697" s="54"/>
      <c r="N2697" s="54"/>
      <c r="P2697" s="335"/>
      <c r="Q2697" s="336"/>
      <c r="R2697" s="337"/>
    </row>
    <row r="2698" spans="1:19" ht="30" customHeight="1" x14ac:dyDescent="0.25">
      <c r="A2698" s="365" t="s">
        <v>406</v>
      </c>
      <c r="B2698" s="1214" t="s">
        <v>1643</v>
      </c>
      <c r="C2698" s="1215"/>
      <c r="D2698" s="1215"/>
      <c r="E2698" s="247">
        <v>4.38</v>
      </c>
      <c r="F2698" s="365" t="s">
        <v>205</v>
      </c>
      <c r="G2698" s="366"/>
      <c r="H2698" s="662"/>
      <c r="I2698" s="706">
        <f>(1.16+1.19)/2</f>
        <v>1.1749999999999998</v>
      </c>
      <c r="J2698" s="365"/>
      <c r="K2698" s="247">
        <f>+E2698*I2698</f>
        <v>5.1464999999999987</v>
      </c>
      <c r="L2698" s="365" t="s">
        <v>205</v>
      </c>
      <c r="M2698" s="54"/>
      <c r="N2698" s="54"/>
      <c r="O2698" s="336"/>
      <c r="P2698" s="334"/>
      <c r="Q2698" s="335"/>
      <c r="R2698" s="336"/>
      <c r="S2698" s="337"/>
    </row>
    <row r="2699" spans="1:19" ht="30" customHeight="1" x14ac:dyDescent="0.25">
      <c r="A2699" s="365"/>
      <c r="B2699" s="1209"/>
      <c r="C2699" s="1210"/>
      <c r="D2699" s="1211"/>
      <c r="E2699" s="247"/>
      <c r="F2699" s="661"/>
      <c r="G2699" s="366"/>
      <c r="H2699" s="662"/>
      <c r="I2699" s="365"/>
      <c r="J2699" s="365" t="s">
        <v>343</v>
      </c>
      <c r="K2699" s="247">
        <f>SUM(K2696:K2698)</f>
        <v>129.87274999999997</v>
      </c>
      <c r="L2699" s="365" t="s">
        <v>205</v>
      </c>
      <c r="M2699" s="54"/>
      <c r="N2699" s="54"/>
      <c r="O2699" s="336"/>
      <c r="P2699" s="334"/>
      <c r="Q2699" s="335"/>
      <c r="R2699" s="336"/>
      <c r="S2699" s="337"/>
    </row>
    <row r="2700" spans="1:19" ht="30" customHeight="1" x14ac:dyDescent="0.25">
      <c r="A2700" s="365"/>
      <c r="B2700" s="578"/>
      <c r="C2700" s="578"/>
      <c r="D2700" s="578"/>
      <c r="E2700" s="247"/>
      <c r="F2700" s="1272" t="s">
        <v>303</v>
      </c>
      <c r="G2700" s="1283" t="s">
        <v>304</v>
      </c>
      <c r="H2700" s="1283"/>
      <c r="I2700" s="1283"/>
      <c r="J2700" s="1283"/>
      <c r="K2700" s="706">
        <f>(1.05+1.08)/2</f>
        <v>1.0649999999999999</v>
      </c>
      <c r="L2700" s="365"/>
      <c r="M2700" s="54"/>
      <c r="N2700" s="54"/>
      <c r="O2700" s="336"/>
      <c r="P2700" s="334"/>
      <c r="Q2700" s="335"/>
      <c r="R2700" s="336"/>
      <c r="S2700" s="337"/>
    </row>
    <row r="2701" spans="1:19" ht="30" customHeight="1" x14ac:dyDescent="0.25">
      <c r="A2701" s="365"/>
      <c r="B2701" s="578"/>
      <c r="C2701" s="578"/>
      <c r="D2701" s="578"/>
      <c r="E2701" s="247"/>
      <c r="F2701" s="1273"/>
      <c r="G2701" s="1284" t="s">
        <v>305</v>
      </c>
      <c r="H2701" s="1284"/>
      <c r="I2701" s="1284"/>
      <c r="J2701" s="1284"/>
      <c r="K2701" s="250">
        <v>1.06</v>
      </c>
      <c r="L2701" s="365"/>
      <c r="M2701" s="54"/>
      <c r="N2701" s="54"/>
      <c r="O2701" s="336"/>
      <c r="P2701" s="334"/>
      <c r="Q2701" s="335"/>
      <c r="R2701" s="336"/>
      <c r="S2701" s="337"/>
    </row>
    <row r="2702" spans="1:19" ht="30" customHeight="1" x14ac:dyDescent="0.25">
      <c r="A2702" s="365"/>
      <c r="B2702" s="365"/>
      <c r="C2702" s="366"/>
      <c r="D2702" s="366"/>
      <c r="E2702" s="366"/>
      <c r="F2702" s="366"/>
      <c r="G2702" s="366"/>
      <c r="H2702" s="366"/>
      <c r="I2702" s="366"/>
      <c r="J2702" s="366" t="s">
        <v>72</v>
      </c>
      <c r="K2702" s="246">
        <f>+K2699*K2700/K2701</f>
        <v>130.48535731132071</v>
      </c>
      <c r="L2702" s="365" t="s">
        <v>205</v>
      </c>
      <c r="M2702" s="111"/>
      <c r="N2702" s="54"/>
      <c r="O2702" s="336"/>
      <c r="P2702" s="334"/>
      <c r="Q2702" s="335"/>
      <c r="R2702" s="336"/>
      <c r="S2702" s="337"/>
    </row>
    <row r="2703" spans="1:19" ht="30" customHeight="1" thickBot="1" x14ac:dyDescent="0.3">
      <c r="A2703" s="365"/>
      <c r="B2703" s="365"/>
      <c r="C2703" s="366"/>
      <c r="D2703" s="366"/>
      <c r="E2703" s="366"/>
      <c r="F2703" s="366"/>
      <c r="G2703" s="366"/>
      <c r="H2703" s="366"/>
      <c r="I2703" s="877" t="s">
        <v>306</v>
      </c>
      <c r="J2703" s="521">
        <f>VLOOKUP(B2694,'Mil Cost Premiums for PUCs'!$A$4:$R$277,18,FALSE)</f>
        <v>1.1651974763252515</v>
      </c>
      <c r="K2703" s="246">
        <f>+K2702*J2703</f>
        <v>152.04120903654959</v>
      </c>
      <c r="L2703" s="365" t="s">
        <v>205</v>
      </c>
      <c r="M2703" s="54"/>
      <c r="N2703" s="54"/>
      <c r="O2703" s="336"/>
      <c r="P2703" s="334"/>
      <c r="Q2703" s="335"/>
      <c r="R2703" s="336"/>
      <c r="S2703" s="337"/>
    </row>
    <row r="2704" spans="1:19" ht="30" customHeight="1" thickBot="1" x14ac:dyDescent="0.3">
      <c r="A2704" s="1180"/>
      <c r="B2704" s="1181"/>
      <c r="C2704" s="1181"/>
      <c r="D2704" s="1181"/>
      <c r="E2704" s="1181"/>
      <c r="F2704" s="1181"/>
      <c r="G2704" s="1181"/>
      <c r="H2704" s="1181"/>
      <c r="I2704" s="1181"/>
      <c r="J2704" s="1181"/>
      <c r="K2704" s="1181"/>
      <c r="L2704" s="1182"/>
      <c r="M2704" s="54"/>
      <c r="N2704" s="54"/>
      <c r="O2704" s="336"/>
      <c r="P2704" s="334"/>
      <c r="Q2704" s="335"/>
      <c r="R2704" s="336"/>
      <c r="S2704" s="337"/>
    </row>
    <row r="2705" spans="1:19" ht="30" customHeight="1" x14ac:dyDescent="0.25">
      <c r="A2705" s="327" t="s">
        <v>5</v>
      </c>
      <c r="B2705" s="328">
        <v>4411</v>
      </c>
      <c r="C2705" s="1218" t="s">
        <v>1644</v>
      </c>
      <c r="D2705" s="1219"/>
      <c r="E2705" s="331" t="s">
        <v>8</v>
      </c>
      <c r="F2705" s="332" t="s">
        <v>205</v>
      </c>
      <c r="G2705" s="342" t="s">
        <v>74</v>
      </c>
      <c r="H2705" s="248">
        <v>17663</v>
      </c>
      <c r="I2705" s="331" t="s">
        <v>10</v>
      </c>
      <c r="J2705" s="1220" t="s">
        <v>1645</v>
      </c>
      <c r="K2705" s="1220"/>
      <c r="L2705" s="1221"/>
      <c r="M2705" s="54"/>
      <c r="N2705" s="54"/>
      <c r="O2705" s="336"/>
      <c r="P2705" s="334"/>
      <c r="Q2705" s="335"/>
      <c r="R2705" s="336"/>
      <c r="S2705" s="337"/>
    </row>
    <row r="2706" spans="1:19" ht="30" customHeight="1" x14ac:dyDescent="0.25">
      <c r="A2706" s="356" t="s">
        <v>282</v>
      </c>
      <c r="B2706" s="1163" t="s">
        <v>13</v>
      </c>
      <c r="C2706" s="1163"/>
      <c r="D2706" s="1163"/>
      <c r="E2706" s="546" t="s">
        <v>116</v>
      </c>
      <c r="F2706" s="357" t="s">
        <v>283</v>
      </c>
      <c r="G2706" s="366"/>
      <c r="H2706" s="356"/>
      <c r="I2706" s="1276" t="s">
        <v>284</v>
      </c>
      <c r="J2706" s="1277"/>
      <c r="K2706" s="1236" t="s">
        <v>285</v>
      </c>
      <c r="L2706" s="1237"/>
      <c r="M2706" s="54"/>
      <c r="N2706" s="54"/>
      <c r="O2706" s="336"/>
      <c r="P2706" s="334"/>
      <c r="Q2706" s="335"/>
      <c r="R2706" s="336"/>
      <c r="S2706" s="337"/>
    </row>
    <row r="2707" spans="1:19" ht="30" customHeight="1" x14ac:dyDescent="0.25">
      <c r="A2707" s="367" t="s">
        <v>286</v>
      </c>
      <c r="B2707" s="1164" t="s">
        <v>1646</v>
      </c>
      <c r="C2707" s="1164"/>
      <c r="D2707" s="1164"/>
      <c r="E2707" s="240">
        <v>209</v>
      </c>
      <c r="F2707" s="547">
        <v>21000</v>
      </c>
      <c r="G2707" s="378"/>
      <c r="H2707" s="549"/>
      <c r="I2707" s="1302">
        <f>+'2022 MILCON Inflation Table'!F14</f>
        <v>1.2075096234029197</v>
      </c>
      <c r="J2707" s="1303"/>
      <c r="K2707" s="240">
        <f>+E2707*I2707</f>
        <v>252.36951129121022</v>
      </c>
      <c r="L2707" s="367" t="s">
        <v>205</v>
      </c>
      <c r="M2707" s="54"/>
      <c r="N2707" s="54"/>
      <c r="O2707" s="336"/>
      <c r="P2707" s="334"/>
      <c r="Q2707" s="335"/>
      <c r="R2707" s="336"/>
      <c r="S2707" s="337"/>
    </row>
    <row r="2708" spans="1:19" ht="30" customHeight="1" thickBot="1" x14ac:dyDescent="0.3">
      <c r="A2708" s="365"/>
      <c r="B2708" s="1281"/>
      <c r="C2708" s="1281"/>
      <c r="D2708" s="1281"/>
      <c r="E2708" s="550"/>
      <c r="F2708" s="551"/>
      <c r="G2708" s="551"/>
      <c r="H2708" s="552"/>
      <c r="I2708" s="366"/>
      <c r="J2708" s="359" t="s">
        <v>72</v>
      </c>
      <c r="K2708" s="246">
        <f>+K2707</f>
        <v>252.36951129121022</v>
      </c>
      <c r="L2708" s="365" t="s">
        <v>205</v>
      </c>
      <c r="M2708" s="54"/>
      <c r="N2708" s="54"/>
      <c r="O2708" s="336"/>
      <c r="P2708" s="334"/>
      <c r="Q2708" s="335"/>
      <c r="R2708" s="336"/>
      <c r="S2708" s="337"/>
    </row>
    <row r="2709" spans="1:19" ht="30" customHeight="1" thickBot="1" x14ac:dyDescent="0.3">
      <c r="A2709" s="1180"/>
      <c r="B2709" s="1181"/>
      <c r="C2709" s="1181"/>
      <c r="D2709" s="1181"/>
      <c r="E2709" s="1181"/>
      <c r="F2709" s="1181"/>
      <c r="G2709" s="1181"/>
      <c r="H2709" s="1181"/>
      <c r="I2709" s="1181"/>
      <c r="J2709" s="1181"/>
      <c r="K2709" s="1181"/>
      <c r="L2709" s="1182"/>
      <c r="M2709" s="54"/>
      <c r="N2709" s="54"/>
      <c r="O2709" s="336"/>
      <c r="P2709" s="334"/>
      <c r="Q2709" s="335"/>
      <c r="R2709" s="336"/>
      <c r="S2709" s="337"/>
    </row>
    <row r="2710" spans="1:19" ht="30" customHeight="1" x14ac:dyDescent="0.25">
      <c r="A2710" s="327" t="s">
        <v>5</v>
      </c>
      <c r="B2710" s="328">
        <v>4412</v>
      </c>
      <c r="C2710" s="1218" t="s">
        <v>1647</v>
      </c>
      <c r="D2710" s="1219"/>
      <c r="E2710" s="331" t="s">
        <v>8</v>
      </c>
      <c r="F2710" s="332" t="s">
        <v>205</v>
      </c>
      <c r="G2710" s="342" t="s">
        <v>74</v>
      </c>
      <c r="H2710" s="160">
        <v>11718</v>
      </c>
      <c r="I2710" s="331" t="s">
        <v>10</v>
      </c>
      <c r="J2710" s="1220" t="s">
        <v>1648</v>
      </c>
      <c r="K2710" s="1220"/>
      <c r="L2710" s="1221"/>
      <c r="M2710" s="111"/>
      <c r="N2710" s="54"/>
      <c r="O2710" s="336"/>
      <c r="P2710" s="334"/>
      <c r="Q2710" s="335"/>
      <c r="R2710" s="336"/>
      <c r="S2710" s="337"/>
    </row>
    <row r="2711" spans="1:19" ht="30" customHeight="1" x14ac:dyDescent="0.25">
      <c r="A2711" s="356" t="s">
        <v>282</v>
      </c>
      <c r="B2711" s="1163" t="s">
        <v>13</v>
      </c>
      <c r="C2711" s="1163"/>
      <c r="D2711" s="1163"/>
      <c r="E2711" s="546" t="s">
        <v>116</v>
      </c>
      <c r="F2711" s="356" t="s">
        <v>283</v>
      </c>
      <c r="G2711" s="1314" t="s">
        <v>15</v>
      </c>
      <c r="H2711" s="1315"/>
      <c r="I2711" s="1276" t="s">
        <v>284</v>
      </c>
      <c r="J2711" s="1277"/>
      <c r="K2711" s="1236" t="s">
        <v>285</v>
      </c>
      <c r="L2711" s="1237"/>
      <c r="M2711" s="54"/>
      <c r="N2711" s="54"/>
      <c r="O2711" s="336"/>
      <c r="P2711" s="334"/>
      <c r="Q2711" s="335"/>
      <c r="R2711" s="336"/>
      <c r="S2711" s="337"/>
    </row>
    <row r="2712" spans="1:19" ht="30" customHeight="1" x14ac:dyDescent="0.25">
      <c r="A2712" s="365">
        <v>44222</v>
      </c>
      <c r="B2712" s="1214" t="s">
        <v>1615</v>
      </c>
      <c r="C2712" s="1215"/>
      <c r="D2712" s="1216"/>
      <c r="E2712" s="247">
        <v>77</v>
      </c>
      <c r="F2712" s="257">
        <v>2250</v>
      </c>
      <c r="G2712" s="365" t="s">
        <v>205</v>
      </c>
      <c r="H2712" s="365"/>
      <c r="I2712" s="1183">
        <f>+'2022 MILCON Inflation Table'!F19</f>
        <v>0.97847358121330719</v>
      </c>
      <c r="J2712" s="1184"/>
      <c r="K2712" s="253">
        <f>+E2712*I2712</f>
        <v>75.342465753424648</v>
      </c>
      <c r="L2712" s="367" t="s">
        <v>205</v>
      </c>
      <c r="M2712" s="54"/>
      <c r="N2712" s="54"/>
      <c r="O2712" s="336"/>
      <c r="P2712" s="334"/>
      <c r="Q2712" s="335"/>
      <c r="R2712" s="336"/>
      <c r="S2712" s="337"/>
    </row>
    <row r="2713" spans="1:19" ht="30" customHeight="1" thickBot="1" x14ac:dyDescent="0.3">
      <c r="A2713" s="365"/>
      <c r="B2713" s="1398"/>
      <c r="C2713" s="1399"/>
      <c r="D2713" s="1400"/>
      <c r="E2713" s="333"/>
      <c r="F2713" s="744"/>
      <c r="G2713" s="333"/>
      <c r="H2713" s="729"/>
      <c r="I2713" s="366"/>
      <c r="J2713" s="359" t="s">
        <v>72</v>
      </c>
      <c r="K2713" s="243">
        <f>AVERAGE(K2712:K2712)</f>
        <v>75.342465753424648</v>
      </c>
      <c r="L2713" s="367" t="s">
        <v>205</v>
      </c>
      <c r="M2713" s="54"/>
      <c r="N2713" s="54"/>
      <c r="O2713" s="336"/>
      <c r="P2713" s="334"/>
      <c r="Q2713" s="335"/>
      <c r="R2713" s="336"/>
      <c r="S2713" s="337"/>
    </row>
    <row r="2714" spans="1:19" ht="30" customHeight="1" thickBot="1" x14ac:dyDescent="0.3">
      <c r="A2714" s="1180"/>
      <c r="B2714" s="1181"/>
      <c r="C2714" s="1181"/>
      <c r="D2714" s="1181"/>
      <c r="E2714" s="1181"/>
      <c r="F2714" s="1181"/>
      <c r="G2714" s="1181"/>
      <c r="H2714" s="1181"/>
      <c r="I2714" s="1181"/>
      <c r="J2714" s="1181"/>
      <c r="K2714" s="1181"/>
      <c r="L2714" s="1182"/>
      <c r="M2714" s="54"/>
      <c r="N2714" s="54"/>
      <c r="O2714" s="336"/>
      <c r="P2714" s="334"/>
      <c r="Q2714" s="335"/>
      <c r="R2714" s="336"/>
      <c r="S2714" s="337"/>
    </row>
    <row r="2715" spans="1:19" ht="30" customHeight="1" x14ac:dyDescent="0.25">
      <c r="A2715" s="327" t="s">
        <v>5</v>
      </c>
      <c r="B2715" s="328">
        <v>4413</v>
      </c>
      <c r="C2715" s="1251" t="s">
        <v>1649</v>
      </c>
      <c r="D2715" s="1252"/>
      <c r="E2715" s="331" t="s">
        <v>8</v>
      </c>
      <c r="F2715" s="332" t="s">
        <v>205</v>
      </c>
      <c r="G2715" s="342" t="s">
        <v>74</v>
      </c>
      <c r="H2715" s="156">
        <v>4299</v>
      </c>
      <c r="I2715" s="331" t="s">
        <v>10</v>
      </c>
      <c r="J2715" s="1220" t="s">
        <v>1650</v>
      </c>
      <c r="K2715" s="1220"/>
      <c r="L2715" s="1221"/>
      <c r="M2715" s="111"/>
      <c r="N2715" s="54"/>
      <c r="O2715" s="336"/>
      <c r="P2715" s="334"/>
      <c r="Q2715" s="335"/>
      <c r="R2715" s="336"/>
      <c r="S2715" s="337"/>
    </row>
    <row r="2716" spans="1:19" ht="30" customHeight="1" x14ac:dyDescent="0.25">
      <c r="A2716" s="356"/>
      <c r="B2716" s="1163" t="s">
        <v>13</v>
      </c>
      <c r="C2716" s="1163"/>
      <c r="D2716" s="1163"/>
      <c r="E2716" s="546" t="s">
        <v>116</v>
      </c>
      <c r="F2716" s="356" t="s">
        <v>283</v>
      </c>
      <c r="G2716" s="366"/>
      <c r="H2716" s="699"/>
      <c r="I2716" s="1276" t="s">
        <v>284</v>
      </c>
      <c r="J2716" s="1277"/>
      <c r="K2716" s="1236" t="s">
        <v>285</v>
      </c>
      <c r="L2716" s="1237"/>
      <c r="M2716" s="54"/>
      <c r="N2716" s="54"/>
      <c r="O2716" s="336"/>
      <c r="P2716" s="334"/>
      <c r="Q2716" s="335"/>
      <c r="R2716" s="336"/>
      <c r="S2716" s="337"/>
    </row>
    <row r="2717" spans="1:19" ht="30" customHeight="1" x14ac:dyDescent="0.25">
      <c r="A2717" s="360" t="s">
        <v>286</v>
      </c>
      <c r="B2717" s="1164" t="s">
        <v>1651</v>
      </c>
      <c r="C2717" s="1164"/>
      <c r="D2717" s="1164"/>
      <c r="E2717" s="280">
        <v>367</v>
      </c>
      <c r="F2717" s="361">
        <v>4300</v>
      </c>
      <c r="G2717" s="366"/>
      <c r="H2717" s="326"/>
      <c r="I2717" s="1391">
        <f>+'2022 MILCON Inflation Table'!F9</f>
        <v>1.4642601582796022</v>
      </c>
      <c r="J2717" s="1391"/>
      <c r="K2717" s="747">
        <f>+E2717*I2717</f>
        <v>537.38347808861397</v>
      </c>
      <c r="L2717" s="360" t="s">
        <v>205</v>
      </c>
      <c r="M2717" s="54"/>
      <c r="N2717" s="54"/>
      <c r="O2717" s="336"/>
      <c r="P2717" s="334"/>
      <c r="Q2717" s="335"/>
      <c r="R2717" s="336"/>
      <c r="S2717" s="337"/>
    </row>
    <row r="2718" spans="1:19" ht="30" customHeight="1" thickBot="1" x14ac:dyDescent="0.3">
      <c r="A2718" s="365"/>
      <c r="B2718" s="1281"/>
      <c r="C2718" s="1281"/>
      <c r="D2718" s="1281"/>
      <c r="E2718" s="550"/>
      <c r="F2718" s="551"/>
      <c r="G2718" s="551"/>
      <c r="H2718" s="552"/>
      <c r="I2718" s="366"/>
      <c r="J2718" s="359" t="s">
        <v>72</v>
      </c>
      <c r="K2718" s="243">
        <f>+K2717</f>
        <v>537.38347808861397</v>
      </c>
      <c r="L2718" s="365" t="s">
        <v>205</v>
      </c>
      <c r="M2718" s="54"/>
      <c r="N2718" s="54"/>
      <c r="O2718" s="336"/>
      <c r="P2718" s="334"/>
      <c r="Q2718" s="335"/>
      <c r="R2718" s="336"/>
      <c r="S2718" s="337"/>
    </row>
    <row r="2719" spans="1:19" ht="30" customHeight="1" thickBot="1" x14ac:dyDescent="0.3">
      <c r="A2719" s="1180"/>
      <c r="B2719" s="1181"/>
      <c r="C2719" s="1181"/>
      <c r="D2719" s="1181"/>
      <c r="E2719" s="1181"/>
      <c r="F2719" s="1181"/>
      <c r="G2719" s="1181"/>
      <c r="H2719" s="1181"/>
      <c r="I2719" s="1181"/>
      <c r="J2719" s="1181"/>
      <c r="K2719" s="1181"/>
      <c r="L2719" s="1182"/>
      <c r="M2719" s="54"/>
      <c r="N2719" s="54"/>
      <c r="O2719" s="336"/>
      <c r="P2719" s="334"/>
      <c r="Q2719" s="335"/>
      <c r="R2719" s="336"/>
      <c r="S2719" s="337"/>
    </row>
    <row r="2720" spans="1:19" ht="30" customHeight="1" x14ac:dyDescent="0.25">
      <c r="A2720" s="887" t="s">
        <v>5</v>
      </c>
      <c r="B2720" s="887">
        <v>4414</v>
      </c>
      <c r="C2720" s="1574" t="s">
        <v>1652</v>
      </c>
      <c r="D2720" s="1574"/>
      <c r="E2720" s="811" t="s">
        <v>8</v>
      </c>
      <c r="F2720" s="888" t="s">
        <v>205</v>
      </c>
      <c r="G2720" s="684" t="s">
        <v>74</v>
      </c>
      <c r="H2720" s="889">
        <v>21481</v>
      </c>
      <c r="I2720" s="811" t="s">
        <v>10</v>
      </c>
      <c r="J2720" s="1220" t="s">
        <v>294</v>
      </c>
      <c r="K2720" s="1220"/>
      <c r="L2720" s="1221"/>
      <c r="M2720" s="54"/>
      <c r="N2720" s="54"/>
      <c r="O2720" s="336"/>
      <c r="P2720" s="334"/>
      <c r="Q2720" s="335"/>
      <c r="R2720" s="336"/>
      <c r="S2720" s="337"/>
    </row>
    <row r="2721" spans="1:25" ht="30" customHeight="1" x14ac:dyDescent="0.25">
      <c r="A2721" s="359" t="s">
        <v>295</v>
      </c>
      <c r="B2721" s="1222" t="s">
        <v>326</v>
      </c>
      <c r="C2721" s="1235"/>
      <c r="D2721" s="1223"/>
      <c r="E2721" s="577" t="s">
        <v>116</v>
      </c>
      <c r="F2721" s="577" t="s">
        <v>117</v>
      </c>
      <c r="G2721" s="1194" t="s">
        <v>118</v>
      </c>
      <c r="H2721" s="1195"/>
      <c r="I2721" s="812" t="s">
        <v>1449</v>
      </c>
      <c r="J2721" s="356" t="s">
        <v>296</v>
      </c>
      <c r="K2721" s="1236" t="s">
        <v>285</v>
      </c>
      <c r="L2721" s="1237"/>
      <c r="M2721" s="54"/>
      <c r="N2721" s="54"/>
      <c r="O2721" s="336"/>
      <c r="P2721" s="334"/>
      <c r="Q2721" s="335"/>
      <c r="R2721" s="336"/>
      <c r="S2721" s="337"/>
    </row>
    <row r="2722" spans="1:25" ht="30" customHeight="1" x14ac:dyDescent="0.25">
      <c r="A2722" s="365" t="s">
        <v>1637</v>
      </c>
      <c r="B2722" s="1209" t="s">
        <v>1653</v>
      </c>
      <c r="C2722" s="1210"/>
      <c r="D2722" s="1211"/>
      <c r="E2722" s="247">
        <v>86.5</v>
      </c>
      <c r="F2722" s="365" t="s">
        <v>205</v>
      </c>
      <c r="H2722" s="365"/>
      <c r="I2722" s="365"/>
      <c r="J2722" s="706">
        <v>1.1749999999999998</v>
      </c>
      <c r="K2722" s="247">
        <f>+E2722*J2722</f>
        <v>101.63749999999999</v>
      </c>
      <c r="L2722" s="365" t="s">
        <v>205</v>
      </c>
      <c r="M2722" s="54"/>
      <c r="N2722" s="54"/>
      <c r="O2722" s="336"/>
      <c r="P2722" s="334"/>
      <c r="Q2722" s="335"/>
      <c r="R2722" s="336"/>
      <c r="S2722" s="337"/>
    </row>
    <row r="2723" spans="1:25" ht="30" customHeight="1" x14ac:dyDescent="0.25">
      <c r="A2723" s="365" t="s">
        <v>426</v>
      </c>
      <c r="B2723" s="1209" t="s">
        <v>1654</v>
      </c>
      <c r="C2723" s="1210"/>
      <c r="D2723" s="1211"/>
      <c r="E2723" s="247">
        <f>(24+37.25)/2</f>
        <v>30.625</v>
      </c>
      <c r="F2723" s="365" t="s">
        <v>428</v>
      </c>
      <c r="G2723" s="805">
        <f>13*81</f>
        <v>1053</v>
      </c>
      <c r="H2723" s="698" t="s">
        <v>1655</v>
      </c>
      <c r="I2723" s="163">
        <f t="shared" ref="I2723:I2728" si="52">+E2723*G2723/$H$2720</f>
        <v>1.5012394674363392</v>
      </c>
      <c r="J2723" s="365">
        <v>1.07</v>
      </c>
      <c r="K2723" s="247">
        <f t="shared" ref="K2723:K2728" si="53">+I2723*J2723</f>
        <v>1.606326230156883</v>
      </c>
      <c r="L2723" s="365" t="s">
        <v>205</v>
      </c>
      <c r="M2723" s="54"/>
      <c r="N2723" s="54"/>
      <c r="O2723" s="336"/>
      <c r="P2723" s="334"/>
      <c r="Q2723" s="335"/>
      <c r="R2723" s="336"/>
      <c r="S2723" s="337"/>
    </row>
    <row r="2724" spans="1:25" ht="30" customHeight="1" x14ac:dyDescent="0.25">
      <c r="A2724" s="365" t="s">
        <v>426</v>
      </c>
      <c r="B2724" s="1209" t="s">
        <v>1446</v>
      </c>
      <c r="C2724" s="1210"/>
      <c r="D2724" s="1211"/>
      <c r="E2724" s="247">
        <f>(2020+2850)/2</f>
        <v>2435</v>
      </c>
      <c r="F2724" s="365" t="s">
        <v>76</v>
      </c>
      <c r="G2724" s="366">
        <v>13</v>
      </c>
      <c r="H2724" s="698" t="s">
        <v>76</v>
      </c>
      <c r="I2724" s="163">
        <f>+E2724*G2724/$H$2720</f>
        <v>1.4736278571761092</v>
      </c>
      <c r="J2724" s="365">
        <v>1.07</v>
      </c>
      <c r="K2724" s="247">
        <f>+I2724*J2724</f>
        <v>1.576781807178437</v>
      </c>
      <c r="L2724" s="365" t="s">
        <v>205</v>
      </c>
      <c r="M2724" s="54"/>
      <c r="N2724" s="54"/>
      <c r="O2724" s="336"/>
      <c r="P2724" s="334"/>
      <c r="Q2724" s="335"/>
      <c r="R2724" s="336"/>
      <c r="S2724" s="337"/>
    </row>
    <row r="2725" spans="1:25" ht="30" customHeight="1" x14ac:dyDescent="0.25">
      <c r="A2725" s="365" t="s">
        <v>430</v>
      </c>
      <c r="B2725" s="1214" t="s">
        <v>1656</v>
      </c>
      <c r="C2725" s="1215"/>
      <c r="D2725" s="1216"/>
      <c r="E2725" s="247">
        <f>+(34.5+82)/2</f>
        <v>58.25</v>
      </c>
      <c r="F2725" s="365" t="s">
        <v>76</v>
      </c>
      <c r="G2725" s="890">
        <f>13*10</f>
        <v>130</v>
      </c>
      <c r="H2725" s="698" t="s">
        <v>40</v>
      </c>
      <c r="I2725" s="163">
        <f t="shared" si="52"/>
        <v>0.35252083236348403</v>
      </c>
      <c r="J2725" s="365">
        <v>1.21</v>
      </c>
      <c r="K2725" s="247">
        <f t="shared" si="53"/>
        <v>0.42655020715981568</v>
      </c>
      <c r="L2725" s="365" t="s">
        <v>205</v>
      </c>
      <c r="M2725" s="54"/>
      <c r="N2725" s="54"/>
      <c r="O2725" s="336"/>
      <c r="T2725" s="10"/>
    </row>
    <row r="2726" spans="1:25" ht="30" customHeight="1" x14ac:dyDescent="0.25">
      <c r="A2726" s="365" t="s">
        <v>430</v>
      </c>
      <c r="B2726" s="561" t="s">
        <v>433</v>
      </c>
      <c r="C2726" s="562"/>
      <c r="D2726" s="563"/>
      <c r="E2726" s="247">
        <f>+(6450+12300)/2</f>
        <v>9375</v>
      </c>
      <c r="F2726" s="365" t="s">
        <v>76</v>
      </c>
      <c r="G2726" s="366">
        <v>13</v>
      </c>
      <c r="H2726" s="698" t="s">
        <v>76</v>
      </c>
      <c r="I2726" s="163">
        <f t="shared" si="52"/>
        <v>5.6736185466225963</v>
      </c>
      <c r="J2726" s="365">
        <v>1.21</v>
      </c>
      <c r="K2726" s="247">
        <f t="shared" si="53"/>
        <v>6.865078441413341</v>
      </c>
      <c r="L2726" s="365" t="s">
        <v>205</v>
      </c>
      <c r="M2726" s="54"/>
      <c r="N2726" s="54"/>
      <c r="O2726" s="336"/>
      <c r="T2726" s="10"/>
      <c r="U2726" s="10"/>
    </row>
    <row r="2727" spans="1:25" ht="30" customHeight="1" x14ac:dyDescent="0.25">
      <c r="A2727" s="365" t="s">
        <v>430</v>
      </c>
      <c r="B2727" s="1214" t="s">
        <v>1657</v>
      </c>
      <c r="C2727" s="1215"/>
      <c r="D2727" s="1216"/>
      <c r="E2727" s="247">
        <f>+(660+1010)/2</f>
        <v>835</v>
      </c>
      <c r="F2727" s="365" t="s">
        <v>76</v>
      </c>
      <c r="G2727" s="366">
        <v>13</v>
      </c>
      <c r="H2727" s="698" t="s">
        <v>76</v>
      </c>
      <c r="I2727" s="163">
        <f t="shared" si="52"/>
        <v>0.50533029188585266</v>
      </c>
      <c r="J2727" s="365">
        <v>1.21</v>
      </c>
      <c r="K2727" s="247">
        <f t="shared" si="53"/>
        <v>0.61144965318188171</v>
      </c>
      <c r="L2727" s="365" t="s">
        <v>205</v>
      </c>
      <c r="M2727" s="54"/>
      <c r="N2727" s="54"/>
      <c r="O2727" s="345"/>
      <c r="P2727" s="344"/>
      <c r="Q2727" s="345"/>
      <c r="R2727" s="345"/>
      <c r="S2727" s="345"/>
      <c r="T2727" s="345"/>
      <c r="U2727" s="10"/>
    </row>
    <row r="2728" spans="1:25" ht="30" customHeight="1" x14ac:dyDescent="0.25">
      <c r="A2728" s="365" t="s">
        <v>430</v>
      </c>
      <c r="B2728" s="1214" t="s">
        <v>435</v>
      </c>
      <c r="C2728" s="1215"/>
      <c r="D2728" s="1216"/>
      <c r="E2728" s="247">
        <f>+(1160+3475)/2</f>
        <v>2317.5</v>
      </c>
      <c r="F2728" s="365" t="s">
        <v>76</v>
      </c>
      <c r="G2728" s="366">
        <v>13</v>
      </c>
      <c r="H2728" s="698" t="s">
        <v>76</v>
      </c>
      <c r="I2728" s="163">
        <f t="shared" si="52"/>
        <v>1.4025185047251059</v>
      </c>
      <c r="J2728" s="365">
        <v>1.21</v>
      </c>
      <c r="K2728" s="247">
        <f t="shared" si="53"/>
        <v>1.697047390717378</v>
      </c>
      <c r="L2728" s="365" t="s">
        <v>205</v>
      </c>
      <c r="M2728" s="54"/>
      <c r="N2728" s="54"/>
      <c r="U2728" s="345"/>
      <c r="V2728" s="345"/>
      <c r="W2728" s="345"/>
      <c r="X2728" s="345"/>
      <c r="Y2728" s="345"/>
    </row>
    <row r="2729" spans="1:25" s="345" customFormat="1" ht="30" customHeight="1" x14ac:dyDescent="0.25">
      <c r="A2729" s="365" t="s">
        <v>406</v>
      </c>
      <c r="B2729" s="1214" t="s">
        <v>1392</v>
      </c>
      <c r="C2729" s="1215"/>
      <c r="D2729" s="1215"/>
      <c r="E2729" s="247">
        <v>3.85</v>
      </c>
      <c r="F2729" s="365" t="s">
        <v>205</v>
      </c>
      <c r="G2729" s="366"/>
      <c r="H2729" s="662"/>
      <c r="I2729" s="662"/>
      <c r="J2729" s="706">
        <v>1.1749999999999998</v>
      </c>
      <c r="K2729" s="247">
        <f>+E2729*J2729</f>
        <v>4.5237499999999997</v>
      </c>
      <c r="L2729" s="365" t="s">
        <v>205</v>
      </c>
      <c r="M2729" s="54"/>
      <c r="N2729" s="54"/>
      <c r="O2729" s="334"/>
      <c r="P2729" s="340"/>
      <c r="Q2729" s="334"/>
      <c r="R2729" s="334"/>
      <c r="S2729" s="334"/>
      <c r="T2729" s="334"/>
      <c r="U2729" s="334"/>
      <c r="V2729" s="334"/>
      <c r="W2729" s="334"/>
      <c r="X2729" s="334"/>
      <c r="Y2729" s="334"/>
    </row>
    <row r="2730" spans="1:25" ht="30" customHeight="1" x14ac:dyDescent="0.25">
      <c r="A2730" s="365"/>
      <c r="B2730" s="1281"/>
      <c r="C2730" s="1281"/>
      <c r="D2730" s="1281"/>
      <c r="E2730" s="247"/>
      <c r="F2730" s="366"/>
      <c r="G2730" s="662"/>
      <c r="H2730" s="662"/>
      <c r="I2730" s="365"/>
      <c r="J2730" s="365" t="s">
        <v>343</v>
      </c>
      <c r="K2730" s="247">
        <f>SUM(K2722:K2729)</f>
        <v>118.94448372980773</v>
      </c>
      <c r="L2730" s="365" t="s">
        <v>205</v>
      </c>
      <c r="M2730" s="54"/>
      <c r="N2730" s="54"/>
      <c r="P2730" s="334"/>
      <c r="Q2730" s="335"/>
      <c r="R2730" s="336"/>
      <c r="S2730" s="337"/>
    </row>
    <row r="2731" spans="1:25" ht="30" customHeight="1" x14ac:dyDescent="0.25">
      <c r="A2731" s="365"/>
      <c r="B2731" s="578"/>
      <c r="C2731" s="578"/>
      <c r="D2731" s="578"/>
      <c r="E2731" s="578"/>
      <c r="F2731" s="1272" t="s">
        <v>303</v>
      </c>
      <c r="G2731" s="1283" t="s">
        <v>304</v>
      </c>
      <c r="H2731" s="1283"/>
      <c r="I2731" s="1283"/>
      <c r="J2731" s="1283"/>
      <c r="K2731" s="706">
        <f>(1.05+1.08)/2</f>
        <v>1.0649999999999999</v>
      </c>
      <c r="L2731" s="365"/>
      <c r="M2731" s="54"/>
      <c r="N2731" s="54"/>
      <c r="O2731" s="554"/>
      <c r="P2731" s="334"/>
      <c r="Q2731" s="335"/>
      <c r="R2731" s="336"/>
      <c r="S2731" s="337"/>
    </row>
    <row r="2732" spans="1:25" ht="30" customHeight="1" x14ac:dyDescent="0.25">
      <c r="A2732" s="365"/>
      <c r="B2732" s="578"/>
      <c r="C2732" s="578"/>
      <c r="D2732" s="578"/>
      <c r="E2732" s="578"/>
      <c r="F2732" s="1273"/>
      <c r="G2732" s="1284" t="s">
        <v>305</v>
      </c>
      <c r="H2732" s="1284"/>
      <c r="I2732" s="1284"/>
      <c r="J2732" s="1284"/>
      <c r="K2732" s="250">
        <v>1.06</v>
      </c>
      <c r="L2732" s="365"/>
      <c r="M2732" s="54"/>
      <c r="N2732" s="54"/>
      <c r="O2732" s="554"/>
      <c r="P2732" s="334"/>
      <c r="Q2732" s="335"/>
      <c r="R2732" s="336"/>
      <c r="S2732" s="337"/>
    </row>
    <row r="2733" spans="1:25" ht="30" customHeight="1" x14ac:dyDescent="0.25">
      <c r="A2733" s="365"/>
      <c r="B2733" s="365"/>
      <c r="C2733" s="366"/>
      <c r="D2733" s="366"/>
      <c r="E2733" s="366"/>
      <c r="F2733" s="366"/>
      <c r="G2733" s="366"/>
      <c r="H2733" s="366"/>
      <c r="I2733" s="366"/>
      <c r="J2733" s="365" t="s">
        <v>72</v>
      </c>
      <c r="K2733" s="246">
        <f>+K2730*K2731/K2732</f>
        <v>119.50554261532568</v>
      </c>
      <c r="L2733" s="365" t="s">
        <v>205</v>
      </c>
      <c r="M2733" s="111"/>
      <c r="N2733" s="54"/>
      <c r="O2733" s="554"/>
      <c r="P2733" s="334"/>
      <c r="Q2733" s="335"/>
      <c r="R2733" s="336"/>
      <c r="S2733" s="337"/>
    </row>
    <row r="2734" spans="1:25" ht="30" customHeight="1" x14ac:dyDescent="0.25">
      <c r="A2734" s="365"/>
      <c r="B2734" s="365"/>
      <c r="C2734" s="366"/>
      <c r="D2734" s="366"/>
      <c r="E2734" s="366"/>
      <c r="F2734" s="366"/>
      <c r="G2734" s="366"/>
      <c r="I2734" s="553" t="s">
        <v>414</v>
      </c>
      <c r="J2734" s="521">
        <f>VLOOKUP(B2720,'Mil Cost Premiums for PUCs'!$A$4:$R$277,18,FALSE)</f>
        <v>1.168693068754227</v>
      </c>
      <c r="K2734" s="246">
        <f>+K2733*J2734</f>
        <v>139.66529933224402</v>
      </c>
      <c r="L2734" s="365" t="s">
        <v>205</v>
      </c>
      <c r="M2734" s="54"/>
      <c r="N2734" s="54"/>
      <c r="O2734" s="336"/>
      <c r="P2734" s="334"/>
      <c r="Q2734" s="335"/>
      <c r="R2734" s="336"/>
      <c r="S2734" s="337"/>
    </row>
    <row r="2735" spans="1:25" ht="75" customHeight="1" x14ac:dyDescent="0.25">
      <c r="A2735" s="1230" t="s">
        <v>307</v>
      </c>
      <c r="B2735" s="1231"/>
      <c r="C2735" s="1231"/>
      <c r="D2735" s="1231"/>
      <c r="E2735" s="1231"/>
      <c r="F2735" s="1231"/>
      <c r="G2735" s="1231"/>
      <c r="H2735" s="1231"/>
      <c r="I2735" s="1231"/>
      <c r="J2735" s="1231"/>
      <c r="K2735" s="1231"/>
      <c r="L2735" s="1232"/>
      <c r="M2735" s="54"/>
      <c r="N2735" s="54"/>
      <c r="O2735" s="336"/>
      <c r="P2735" s="334"/>
      <c r="Q2735" s="335"/>
      <c r="R2735" s="336"/>
      <c r="S2735" s="337"/>
    </row>
    <row r="2736" spans="1:25" ht="30" customHeight="1" x14ac:dyDescent="0.25">
      <c r="A2736" s="1268" t="s">
        <v>308</v>
      </c>
      <c r="B2736" s="1167"/>
      <c r="C2736" s="1168"/>
      <c r="D2736" s="1230" t="s">
        <v>1658</v>
      </c>
      <c r="E2736" s="1231"/>
      <c r="F2736" s="1231"/>
      <c r="G2736" s="1231"/>
      <c r="H2736" s="1231"/>
      <c r="I2736" s="1231"/>
      <c r="J2736" s="1231"/>
      <c r="K2736" s="1231"/>
      <c r="L2736" s="1232"/>
      <c r="M2736" s="54"/>
      <c r="N2736" s="54"/>
      <c r="O2736" s="336"/>
      <c r="P2736" s="334"/>
      <c r="Q2736" s="335"/>
      <c r="R2736" s="336"/>
      <c r="S2736" s="337"/>
    </row>
    <row r="2737" spans="1:20" ht="45" customHeight="1" x14ac:dyDescent="0.25">
      <c r="A2737" s="1268" t="s">
        <v>310</v>
      </c>
      <c r="B2737" s="1167"/>
      <c r="C2737" s="1168"/>
      <c r="D2737" s="1230" t="s">
        <v>1659</v>
      </c>
      <c r="E2737" s="1231"/>
      <c r="F2737" s="1231"/>
      <c r="G2737" s="1231"/>
      <c r="H2737" s="1231"/>
      <c r="I2737" s="1231"/>
      <c r="J2737" s="1231"/>
      <c r="K2737" s="1231"/>
      <c r="L2737" s="1232"/>
      <c r="M2737" s="54"/>
      <c r="N2737" s="54"/>
      <c r="O2737" s="336"/>
      <c r="P2737" s="334"/>
      <c r="Q2737" s="335"/>
      <c r="R2737" s="336"/>
      <c r="S2737" s="337"/>
    </row>
    <row r="2738" spans="1:20" ht="30" customHeight="1" x14ac:dyDescent="0.25">
      <c r="A2738" s="1268" t="s">
        <v>312</v>
      </c>
      <c r="B2738" s="1167"/>
      <c r="C2738" s="1168"/>
      <c r="D2738" s="1230" t="s">
        <v>1660</v>
      </c>
      <c r="E2738" s="1231"/>
      <c r="F2738" s="1231"/>
      <c r="G2738" s="1231"/>
      <c r="H2738" s="1231"/>
      <c r="I2738" s="1231"/>
      <c r="J2738" s="1231"/>
      <c r="K2738" s="1231"/>
      <c r="L2738" s="1232"/>
      <c r="M2738" s="54"/>
      <c r="N2738" s="54"/>
      <c r="O2738" s="336"/>
      <c r="P2738" s="334"/>
      <c r="Q2738" s="335"/>
      <c r="R2738" s="336"/>
      <c r="S2738" s="337"/>
    </row>
    <row r="2739" spans="1:20" ht="45" customHeight="1" x14ac:dyDescent="0.25">
      <c r="A2739" s="1268" t="s">
        <v>314</v>
      </c>
      <c r="B2739" s="1167"/>
      <c r="C2739" s="1168"/>
      <c r="D2739" s="1230" t="s">
        <v>1661</v>
      </c>
      <c r="E2739" s="1231"/>
      <c r="F2739" s="1231"/>
      <c r="G2739" s="1231"/>
      <c r="H2739" s="1231"/>
      <c r="I2739" s="1231"/>
      <c r="J2739" s="1231"/>
      <c r="K2739" s="1231"/>
      <c r="L2739" s="1232"/>
      <c r="M2739" s="54"/>
      <c r="N2739" s="54"/>
      <c r="O2739" s="336"/>
      <c r="P2739" s="334"/>
      <c r="Q2739" s="335"/>
      <c r="R2739" s="336"/>
      <c r="S2739" s="337"/>
    </row>
    <row r="2740" spans="1:20" ht="75" customHeight="1" x14ac:dyDescent="0.25">
      <c r="A2740" s="1268" t="s">
        <v>316</v>
      </c>
      <c r="B2740" s="1167"/>
      <c r="C2740" s="1168"/>
      <c r="D2740" s="1230" t="s">
        <v>1662</v>
      </c>
      <c r="E2740" s="1231"/>
      <c r="F2740" s="1231"/>
      <c r="G2740" s="1231"/>
      <c r="H2740" s="1231"/>
      <c r="I2740" s="1231"/>
      <c r="J2740" s="1231"/>
      <c r="K2740" s="1231"/>
      <c r="L2740" s="1232"/>
      <c r="M2740" s="54"/>
      <c r="N2740" s="54"/>
      <c r="O2740" s="336"/>
      <c r="P2740" s="334"/>
      <c r="Q2740" s="335"/>
      <c r="R2740" s="336"/>
      <c r="S2740" s="337"/>
    </row>
    <row r="2741" spans="1:20" ht="30" customHeight="1" x14ac:dyDescent="0.25">
      <c r="A2741" s="1268" t="s">
        <v>318</v>
      </c>
      <c r="B2741" s="1167"/>
      <c r="C2741" s="1168"/>
      <c r="D2741" s="1230" t="s">
        <v>445</v>
      </c>
      <c r="E2741" s="1231"/>
      <c r="F2741" s="1231"/>
      <c r="G2741" s="1231"/>
      <c r="H2741" s="1231"/>
      <c r="I2741" s="1231"/>
      <c r="J2741" s="1231"/>
      <c r="K2741" s="1231"/>
      <c r="L2741" s="1232"/>
      <c r="M2741" s="54"/>
      <c r="N2741" s="54"/>
      <c r="O2741" s="336"/>
      <c r="P2741" s="334"/>
      <c r="Q2741" s="335"/>
      <c r="R2741" s="336"/>
      <c r="S2741" s="337"/>
    </row>
    <row r="2742" spans="1:20" ht="30" customHeight="1" x14ac:dyDescent="0.25">
      <c r="A2742" s="1268" t="s">
        <v>320</v>
      </c>
      <c r="B2742" s="1167"/>
      <c r="C2742" s="1168"/>
      <c r="D2742" s="1230" t="s">
        <v>1663</v>
      </c>
      <c r="E2742" s="1231"/>
      <c r="F2742" s="1231"/>
      <c r="G2742" s="1231"/>
      <c r="H2742" s="1231"/>
      <c r="I2742" s="1231"/>
      <c r="J2742" s="1231"/>
      <c r="K2742" s="1231"/>
      <c r="L2742" s="1232"/>
      <c r="M2742" s="54"/>
      <c r="N2742" s="54"/>
      <c r="O2742" s="336"/>
      <c r="P2742" s="334"/>
      <c r="Q2742" s="335"/>
      <c r="R2742" s="336"/>
      <c r="S2742" s="337"/>
    </row>
    <row r="2743" spans="1:20" ht="75" customHeight="1" x14ac:dyDescent="0.25">
      <c r="A2743" s="1268" t="s">
        <v>322</v>
      </c>
      <c r="B2743" s="1167"/>
      <c r="C2743" s="1168"/>
      <c r="D2743" s="1230" t="s">
        <v>422</v>
      </c>
      <c r="E2743" s="1231"/>
      <c r="F2743" s="1231"/>
      <c r="G2743" s="1231"/>
      <c r="H2743" s="1231"/>
      <c r="I2743" s="1231"/>
      <c r="J2743" s="1231"/>
      <c r="K2743" s="1231"/>
      <c r="L2743" s="1232"/>
      <c r="M2743" s="54"/>
      <c r="N2743" s="54"/>
      <c r="O2743" s="336"/>
      <c r="P2743" s="334"/>
      <c r="Q2743" s="335"/>
      <c r="R2743" s="336"/>
      <c r="S2743" s="337"/>
    </row>
    <row r="2744" spans="1:20" ht="75" customHeight="1" thickBot="1" x14ac:dyDescent="0.3">
      <c r="A2744" s="1265" t="s">
        <v>350</v>
      </c>
      <c r="B2744" s="1266"/>
      <c r="C2744" s="1267"/>
      <c r="D2744" s="1291" t="s">
        <v>3421</v>
      </c>
      <c r="E2744" s="1292"/>
      <c r="F2744" s="1292"/>
      <c r="G2744" s="1292"/>
      <c r="H2744" s="1292"/>
      <c r="I2744" s="1292"/>
      <c r="J2744" s="1292"/>
      <c r="K2744" s="1292"/>
      <c r="L2744" s="1293"/>
      <c r="M2744" s="54"/>
      <c r="N2744" s="54"/>
      <c r="O2744" s="336"/>
      <c r="P2744" s="334"/>
      <c r="Q2744" s="335"/>
      <c r="R2744" s="336"/>
      <c r="S2744" s="337"/>
    </row>
    <row r="2745" spans="1:20" ht="30" customHeight="1" thickBot="1" x14ac:dyDescent="0.3">
      <c r="A2745" s="1180"/>
      <c r="B2745" s="1181"/>
      <c r="C2745" s="1181"/>
      <c r="D2745" s="1181"/>
      <c r="E2745" s="1181"/>
      <c r="F2745" s="1181"/>
      <c r="G2745" s="1181"/>
      <c r="H2745" s="1181"/>
      <c r="I2745" s="1181"/>
      <c r="J2745" s="1181"/>
      <c r="K2745" s="1181"/>
      <c r="L2745" s="1182"/>
      <c r="M2745" s="54"/>
      <c r="N2745" s="54"/>
      <c r="O2745" s="336"/>
      <c r="P2745" s="334"/>
      <c r="Q2745" s="335"/>
      <c r="R2745" s="336"/>
      <c r="S2745" s="337"/>
    </row>
    <row r="2746" spans="1:20" ht="30" customHeight="1" x14ac:dyDescent="0.25">
      <c r="A2746" s="327" t="s">
        <v>5</v>
      </c>
      <c r="B2746" s="328">
        <v>4421</v>
      </c>
      <c r="C2746" s="1218" t="s">
        <v>1664</v>
      </c>
      <c r="D2746" s="1219"/>
      <c r="E2746" s="331" t="s">
        <v>8</v>
      </c>
      <c r="F2746" s="332" t="s">
        <v>205</v>
      </c>
      <c r="G2746" s="342" t="s">
        <v>74</v>
      </c>
      <c r="H2746" s="159">
        <v>7335</v>
      </c>
      <c r="I2746" s="331" t="s">
        <v>10</v>
      </c>
      <c r="J2746" s="1220" t="s">
        <v>281</v>
      </c>
      <c r="K2746" s="1220"/>
      <c r="L2746" s="1221"/>
      <c r="M2746" s="54"/>
      <c r="N2746" s="54"/>
      <c r="O2746" s="336"/>
      <c r="P2746" s="334"/>
      <c r="Q2746" s="335"/>
      <c r="R2746" s="336"/>
      <c r="S2746" s="337"/>
    </row>
    <row r="2747" spans="1:20" ht="30" customHeight="1" x14ac:dyDescent="0.25">
      <c r="A2747" s="356" t="s">
        <v>282</v>
      </c>
      <c r="B2747" s="1163" t="s">
        <v>13</v>
      </c>
      <c r="C2747" s="1163"/>
      <c r="D2747" s="1163"/>
      <c r="E2747" s="357" t="s">
        <v>283</v>
      </c>
      <c r="F2747" s="546" t="s">
        <v>116</v>
      </c>
      <c r="G2747" s="356"/>
      <c r="H2747" s="356"/>
      <c r="I2747" s="1276" t="s">
        <v>284</v>
      </c>
      <c r="J2747" s="1277"/>
      <c r="K2747" s="1236" t="s">
        <v>285</v>
      </c>
      <c r="L2747" s="1237"/>
      <c r="M2747" s="54"/>
      <c r="N2747" s="54"/>
      <c r="O2747" s="336"/>
      <c r="P2747" s="334"/>
      <c r="Q2747" s="335"/>
      <c r="R2747" s="336"/>
      <c r="S2747" s="337"/>
    </row>
    <row r="2748" spans="1:20" ht="30" customHeight="1" x14ac:dyDescent="0.25">
      <c r="A2748" s="367" t="s">
        <v>286</v>
      </c>
      <c r="B2748" s="1164" t="s">
        <v>1665</v>
      </c>
      <c r="C2748" s="1164"/>
      <c r="D2748" s="1164"/>
      <c r="E2748" s="547">
        <v>8300</v>
      </c>
      <c r="F2748" s="240">
        <v>330</v>
      </c>
      <c r="G2748" s="548"/>
      <c r="H2748" s="549"/>
      <c r="I2748" s="1302" t="s">
        <v>288</v>
      </c>
      <c r="J2748" s="1303"/>
      <c r="K2748" s="240">
        <f>+F2748</f>
        <v>330</v>
      </c>
      <c r="L2748" s="367" t="s">
        <v>205</v>
      </c>
      <c r="M2748" s="111"/>
      <c r="N2748" s="54"/>
      <c r="O2748" s="336"/>
      <c r="P2748" s="334"/>
      <c r="Q2748" s="335"/>
      <c r="R2748" s="336"/>
      <c r="S2748" s="337"/>
    </row>
    <row r="2749" spans="1:20" ht="30" customHeight="1" thickBot="1" x14ac:dyDescent="0.3">
      <c r="A2749" s="365"/>
      <c r="B2749" s="1281"/>
      <c r="C2749" s="1281"/>
      <c r="D2749" s="1281"/>
      <c r="E2749" s="550"/>
      <c r="F2749" s="551"/>
      <c r="G2749" s="551"/>
      <c r="H2749" s="552"/>
      <c r="I2749" s="366"/>
      <c r="J2749" s="359" t="s">
        <v>72</v>
      </c>
      <c r="K2749" s="246">
        <f>+K2748</f>
        <v>330</v>
      </c>
      <c r="L2749" s="365" t="s">
        <v>205</v>
      </c>
      <c r="M2749" s="54"/>
      <c r="N2749" s="54"/>
      <c r="O2749" s="336"/>
      <c r="P2749" s="334"/>
      <c r="Q2749" s="335"/>
      <c r="R2749" s="336"/>
      <c r="S2749" s="337"/>
    </row>
    <row r="2750" spans="1:20" ht="30" customHeight="1" thickBot="1" x14ac:dyDescent="0.3">
      <c r="A2750" s="807"/>
      <c r="B2750" s="808"/>
      <c r="C2750" s="808"/>
      <c r="D2750" s="808"/>
      <c r="E2750" s="808"/>
      <c r="F2750" s="808"/>
      <c r="G2750" s="808"/>
      <c r="H2750" s="808"/>
      <c r="I2750" s="808"/>
      <c r="J2750" s="808"/>
      <c r="K2750" s="808"/>
      <c r="L2750" s="809"/>
      <c r="M2750" s="54"/>
      <c r="N2750" s="54"/>
      <c r="O2750" s="336"/>
      <c r="P2750" s="334"/>
      <c r="Q2750" s="335"/>
      <c r="R2750" s="336"/>
      <c r="S2750" s="337"/>
    </row>
    <row r="2751" spans="1:20" ht="30" customHeight="1" x14ac:dyDescent="0.25">
      <c r="A2751" s="327" t="s">
        <v>5</v>
      </c>
      <c r="B2751" s="328">
        <v>4422</v>
      </c>
      <c r="C2751" s="1218" t="s">
        <v>1666</v>
      </c>
      <c r="D2751" s="1219"/>
      <c r="E2751" s="331" t="s">
        <v>8</v>
      </c>
      <c r="F2751" s="332" t="s">
        <v>205</v>
      </c>
      <c r="G2751" s="342" t="s">
        <v>74</v>
      </c>
      <c r="H2751" s="159">
        <v>2880</v>
      </c>
      <c r="I2751" s="331" t="s">
        <v>10</v>
      </c>
      <c r="J2751" s="1220" t="s">
        <v>1648</v>
      </c>
      <c r="K2751" s="1220"/>
      <c r="L2751" s="1221"/>
      <c r="M2751" s="54"/>
      <c r="N2751" s="54"/>
      <c r="O2751" s="336"/>
      <c r="P2751" s="334"/>
      <c r="Q2751" s="335"/>
      <c r="R2751" s="336"/>
      <c r="S2751" s="337"/>
    </row>
    <row r="2752" spans="1:20" ht="30" customHeight="1" x14ac:dyDescent="0.25">
      <c r="A2752" s="356" t="s">
        <v>282</v>
      </c>
      <c r="B2752" s="1163" t="s">
        <v>13</v>
      </c>
      <c r="C2752" s="1163"/>
      <c r="D2752" s="1163"/>
      <c r="E2752" s="357" t="s">
        <v>283</v>
      </c>
      <c r="F2752" s="546" t="s">
        <v>116</v>
      </c>
      <c r="G2752" s="356"/>
      <c r="H2752" s="356"/>
      <c r="I2752" s="1276" t="s">
        <v>284</v>
      </c>
      <c r="J2752" s="1277"/>
      <c r="K2752" s="1236" t="s">
        <v>285</v>
      </c>
      <c r="L2752" s="1237"/>
      <c r="M2752" s="54"/>
      <c r="N2752" s="54"/>
      <c r="O2752" s="336"/>
      <c r="P2752" s="344"/>
      <c r="Q2752" s="345"/>
      <c r="R2752" s="345"/>
      <c r="S2752" s="345"/>
      <c r="T2752" s="345"/>
    </row>
    <row r="2753" spans="1:25" ht="30" customHeight="1" x14ac:dyDescent="0.25">
      <c r="A2753" s="367">
        <v>44222</v>
      </c>
      <c r="B2753" s="1164" t="s">
        <v>1667</v>
      </c>
      <c r="C2753" s="1164"/>
      <c r="D2753" s="1164"/>
      <c r="E2753" s="547">
        <v>2250</v>
      </c>
      <c r="F2753" s="240">
        <v>77</v>
      </c>
      <c r="G2753" s="548"/>
      <c r="H2753" s="549"/>
      <c r="I2753" s="1302">
        <f>+'2022 MILCON Inflation Table'!F19</f>
        <v>0.97847358121330719</v>
      </c>
      <c r="J2753" s="1303"/>
      <c r="K2753" s="240">
        <f>+F2753*I2753</f>
        <v>75.342465753424648</v>
      </c>
      <c r="L2753" s="367" t="s">
        <v>205</v>
      </c>
      <c r="M2753" s="54"/>
      <c r="N2753" s="54"/>
      <c r="O2753" s="336"/>
      <c r="U2753" s="345"/>
    </row>
    <row r="2754" spans="1:25" ht="30" customHeight="1" thickBot="1" x14ac:dyDescent="0.3">
      <c r="A2754" s="365"/>
      <c r="B2754" s="1419"/>
      <c r="C2754" s="1419"/>
      <c r="D2754" s="1419"/>
      <c r="E2754" s="550"/>
      <c r="F2754" s="551"/>
      <c r="G2754" s="551"/>
      <c r="H2754" s="552"/>
      <c r="I2754" s="366"/>
      <c r="J2754" s="359" t="s">
        <v>72</v>
      </c>
      <c r="K2754" s="246">
        <f>+K2753</f>
        <v>75.342465753424648</v>
      </c>
      <c r="L2754" s="365" t="s">
        <v>205</v>
      </c>
      <c r="M2754" s="54"/>
      <c r="N2754" s="54"/>
      <c r="O2754" s="543"/>
      <c r="P2754" s="334"/>
      <c r="Q2754" s="335"/>
      <c r="R2754" s="336"/>
      <c r="S2754" s="337"/>
    </row>
    <row r="2755" spans="1:25" ht="30" customHeight="1" thickBot="1" x14ac:dyDescent="0.3">
      <c r="A2755" s="1180"/>
      <c r="B2755" s="1181"/>
      <c r="C2755" s="1181"/>
      <c r="D2755" s="1181"/>
      <c r="E2755" s="1181"/>
      <c r="F2755" s="1181"/>
      <c r="G2755" s="1181"/>
      <c r="H2755" s="1181"/>
      <c r="I2755" s="1181"/>
      <c r="J2755" s="1181"/>
      <c r="K2755" s="1181"/>
      <c r="L2755" s="1182"/>
      <c r="M2755" s="54"/>
      <c r="N2755" s="54"/>
      <c r="P2755" s="334"/>
      <c r="Q2755" s="335"/>
      <c r="R2755" s="336"/>
      <c r="S2755" s="337"/>
    </row>
    <row r="2756" spans="1:25" ht="30" customHeight="1" x14ac:dyDescent="0.25">
      <c r="A2756" s="327" t="s">
        <v>5</v>
      </c>
      <c r="B2756" s="328">
        <v>4423</v>
      </c>
      <c r="C2756" s="1251" t="s">
        <v>1668</v>
      </c>
      <c r="D2756" s="1252"/>
      <c r="E2756" s="331" t="s">
        <v>8</v>
      </c>
      <c r="F2756" s="332" t="s">
        <v>205</v>
      </c>
      <c r="G2756" s="342" t="s">
        <v>74</v>
      </c>
      <c r="H2756" s="159">
        <v>1394</v>
      </c>
      <c r="I2756" s="331" t="s">
        <v>10</v>
      </c>
      <c r="J2756" s="1220" t="s">
        <v>382</v>
      </c>
      <c r="K2756" s="1220"/>
      <c r="L2756" s="1221"/>
      <c r="M2756" s="111"/>
      <c r="N2756" s="54"/>
      <c r="O2756" s="336"/>
      <c r="P2756" s="334"/>
      <c r="Q2756" s="335"/>
      <c r="R2756" s="336"/>
      <c r="S2756" s="337"/>
    </row>
    <row r="2757" spans="1:25" ht="30" customHeight="1" x14ac:dyDescent="0.25">
      <c r="A2757" s="356" t="s">
        <v>282</v>
      </c>
      <c r="B2757" s="1163" t="s">
        <v>13</v>
      </c>
      <c r="C2757" s="1163"/>
      <c r="D2757" s="1163"/>
      <c r="E2757" s="356" t="s">
        <v>283</v>
      </c>
      <c r="F2757" s="546" t="s">
        <v>116</v>
      </c>
      <c r="G2757" s="1276"/>
      <c r="H2757" s="1277"/>
      <c r="I2757" s="1276" t="s">
        <v>284</v>
      </c>
      <c r="J2757" s="1277"/>
      <c r="K2757" s="1236" t="s">
        <v>285</v>
      </c>
      <c r="L2757" s="1237"/>
      <c r="M2757" s="54"/>
      <c r="N2757" s="54"/>
      <c r="O2757" s="336"/>
      <c r="P2757" s="334"/>
      <c r="Q2757" s="335"/>
      <c r="R2757" s="336"/>
      <c r="S2757" s="337"/>
    </row>
    <row r="2758" spans="1:25" ht="30" customHeight="1" x14ac:dyDescent="0.25">
      <c r="A2758" s="360">
        <v>44135</v>
      </c>
      <c r="B2758" s="1268" t="s">
        <v>394</v>
      </c>
      <c r="C2758" s="1167"/>
      <c r="D2758" s="1168"/>
      <c r="E2758" s="361">
        <v>375</v>
      </c>
      <c r="F2758" s="891">
        <v>619</v>
      </c>
      <c r="G2758" s="1575"/>
      <c r="H2758" s="1576"/>
      <c r="I2758" s="1302">
        <v>0.9405</v>
      </c>
      <c r="J2758" s="1303"/>
      <c r="K2758" s="747">
        <f>+F2758*I2758</f>
        <v>582.16949999999997</v>
      </c>
      <c r="L2758" s="360" t="s">
        <v>205</v>
      </c>
      <c r="M2758" s="54"/>
      <c r="N2758" s="54"/>
      <c r="O2758" s="336"/>
      <c r="P2758" s="334"/>
      <c r="Q2758" s="335"/>
      <c r="R2758" s="336"/>
      <c r="S2758" s="337"/>
    </row>
    <row r="2759" spans="1:25" ht="30" customHeight="1" thickBot="1" x14ac:dyDescent="0.3">
      <c r="A2759" s="365"/>
      <c r="B2759" s="1419" t="s">
        <v>1669</v>
      </c>
      <c r="C2759" s="1419"/>
      <c r="D2759" s="1419"/>
      <c r="E2759" s="550"/>
      <c r="F2759" s="551"/>
      <c r="G2759" s="551"/>
      <c r="H2759" s="552"/>
      <c r="I2759" s="366"/>
      <c r="J2759" s="359" t="s">
        <v>72</v>
      </c>
      <c r="K2759" s="243">
        <f>+K2758</f>
        <v>582.16949999999997</v>
      </c>
      <c r="L2759" s="365" t="s">
        <v>205</v>
      </c>
      <c r="M2759" s="54"/>
      <c r="N2759" s="54"/>
      <c r="O2759" s="336"/>
      <c r="P2759" s="334"/>
      <c r="Q2759" s="335"/>
      <c r="R2759" s="336"/>
      <c r="S2759" s="337"/>
    </row>
    <row r="2760" spans="1:25" ht="30" customHeight="1" thickBot="1" x14ac:dyDescent="0.3">
      <c r="A2760" s="1180"/>
      <c r="B2760" s="1181"/>
      <c r="C2760" s="1181"/>
      <c r="D2760" s="1181"/>
      <c r="E2760" s="1181"/>
      <c r="F2760" s="1181"/>
      <c r="G2760" s="1181"/>
      <c r="H2760" s="1181"/>
      <c r="I2760" s="1181"/>
      <c r="J2760" s="1181"/>
      <c r="K2760" s="1181"/>
      <c r="L2760" s="1182"/>
      <c r="M2760" s="54"/>
      <c r="N2760" s="54"/>
      <c r="O2760" s="336"/>
      <c r="P2760" s="334"/>
      <c r="Q2760" s="335"/>
      <c r="R2760" s="336"/>
      <c r="S2760" s="337"/>
    </row>
    <row r="2761" spans="1:25" ht="30" customHeight="1" x14ac:dyDescent="0.25">
      <c r="A2761" s="456" t="s">
        <v>5</v>
      </c>
      <c r="B2761" s="456">
        <v>4424</v>
      </c>
      <c r="C2761" s="1406" t="s">
        <v>1652</v>
      </c>
      <c r="D2761" s="1406"/>
      <c r="E2761" s="367" t="s">
        <v>8</v>
      </c>
      <c r="F2761" s="378" t="s">
        <v>205</v>
      </c>
      <c r="G2761" s="342" t="s">
        <v>74</v>
      </c>
      <c r="H2761" s="859">
        <v>21319</v>
      </c>
      <c r="I2761" s="331" t="s">
        <v>10</v>
      </c>
      <c r="J2761" s="1220" t="s">
        <v>294</v>
      </c>
      <c r="K2761" s="1220"/>
      <c r="L2761" s="1221"/>
      <c r="M2761" s="54"/>
      <c r="N2761" s="111"/>
      <c r="O2761" s="336"/>
      <c r="P2761" s="334"/>
      <c r="Q2761" s="335"/>
      <c r="R2761" s="336"/>
      <c r="S2761" s="337"/>
    </row>
    <row r="2762" spans="1:25" ht="30" customHeight="1" x14ac:dyDescent="0.25">
      <c r="A2762" s="359" t="s">
        <v>295</v>
      </c>
      <c r="B2762" s="1222" t="s">
        <v>326</v>
      </c>
      <c r="C2762" s="1235"/>
      <c r="D2762" s="1223"/>
      <c r="E2762" s="577" t="s">
        <v>116</v>
      </c>
      <c r="F2762" s="577" t="s">
        <v>117</v>
      </c>
      <c r="G2762" s="787" t="s">
        <v>1670</v>
      </c>
      <c r="H2762" s="356" t="s">
        <v>1671</v>
      </c>
      <c r="I2762" s="812" t="s">
        <v>1449</v>
      </c>
      <c r="J2762" s="356" t="s">
        <v>296</v>
      </c>
      <c r="K2762" s="1236" t="s">
        <v>285</v>
      </c>
      <c r="L2762" s="1237"/>
      <c r="M2762" s="54"/>
      <c r="N2762" s="54"/>
      <c r="O2762" s="336"/>
      <c r="P2762" s="334"/>
      <c r="Q2762" s="335"/>
      <c r="R2762" s="336"/>
      <c r="S2762" s="337"/>
    </row>
    <row r="2763" spans="1:25" ht="30" customHeight="1" x14ac:dyDescent="0.25">
      <c r="A2763" s="365" t="s">
        <v>1637</v>
      </c>
      <c r="B2763" s="1209" t="s">
        <v>1653</v>
      </c>
      <c r="C2763" s="1210"/>
      <c r="D2763" s="1211"/>
      <c r="E2763" s="247">
        <v>86.5</v>
      </c>
      <c r="F2763" s="365" t="s">
        <v>205</v>
      </c>
      <c r="G2763" s="365"/>
      <c r="I2763" s="365"/>
      <c r="J2763" s="706">
        <f>(1.16+1.19)/2</f>
        <v>1.1749999999999998</v>
      </c>
      <c r="K2763" s="247">
        <f>+E2763*J2763</f>
        <v>101.63749999999999</v>
      </c>
      <c r="L2763" s="365" t="s">
        <v>205</v>
      </c>
      <c r="M2763" s="54"/>
      <c r="N2763" s="54"/>
      <c r="O2763" s="336"/>
      <c r="P2763" s="334"/>
      <c r="Q2763" s="335"/>
      <c r="R2763" s="336"/>
      <c r="S2763" s="337"/>
    </row>
    <row r="2764" spans="1:25" ht="30" customHeight="1" x14ac:dyDescent="0.25">
      <c r="A2764" s="365" t="s">
        <v>426</v>
      </c>
      <c r="B2764" s="1209" t="s">
        <v>1672</v>
      </c>
      <c r="C2764" s="1210"/>
      <c r="D2764" s="1211"/>
      <c r="E2764" s="247">
        <f>(24+37.25)/2</f>
        <v>30.625</v>
      </c>
      <c r="F2764" s="365" t="s">
        <v>1673</v>
      </c>
      <c r="G2764" s="892">
        <f>+E2764/H2761</f>
        <v>1.4365120315211783E-3</v>
      </c>
      <c r="H2764" s="366">
        <f>6*81</f>
        <v>486</v>
      </c>
      <c r="I2764" s="163">
        <f>+G2764*$H2764</f>
        <v>0.69814484731929261</v>
      </c>
      <c r="J2764" s="706">
        <f>(1.05+1.08)/2</f>
        <v>1.0649999999999999</v>
      </c>
      <c r="K2764" s="247">
        <f t="shared" ref="K2764:K2769" si="54">+I2764*J2764</f>
        <v>0.74352426239504654</v>
      </c>
      <c r="L2764" s="365" t="s">
        <v>205</v>
      </c>
      <c r="M2764" s="54"/>
      <c r="N2764" s="54"/>
      <c r="O2764" s="336"/>
      <c r="P2764" s="334"/>
      <c r="Q2764" s="335"/>
      <c r="R2764" s="336"/>
      <c r="S2764" s="337"/>
    </row>
    <row r="2765" spans="1:25" ht="30" customHeight="1" x14ac:dyDescent="0.25">
      <c r="A2765" s="365" t="s">
        <v>426</v>
      </c>
      <c r="B2765" s="1209" t="s">
        <v>1674</v>
      </c>
      <c r="C2765" s="1210"/>
      <c r="D2765" s="1211"/>
      <c r="E2765" s="247">
        <f>(2020+2850)/2</f>
        <v>2435</v>
      </c>
      <c r="F2765" s="365" t="s">
        <v>76</v>
      </c>
      <c r="G2765" s="893">
        <f>+E2765/H2761</f>
        <v>0.1142173647919696</v>
      </c>
      <c r="H2765" s="366">
        <v>6</v>
      </c>
      <c r="I2765" s="163">
        <f>+G2765*$H2765</f>
        <v>0.68530418875181764</v>
      </c>
      <c r="J2765" s="706">
        <f>(1.05+1.08)/2</f>
        <v>1.0649999999999999</v>
      </c>
      <c r="K2765" s="247">
        <f t="shared" si="54"/>
        <v>0.72984896102068575</v>
      </c>
      <c r="L2765" s="365" t="s">
        <v>205</v>
      </c>
      <c r="M2765" s="54"/>
      <c r="N2765" s="54"/>
      <c r="O2765" s="336"/>
      <c r="P2765" s="334"/>
      <c r="Q2765" s="335"/>
      <c r="R2765" s="336"/>
      <c r="S2765" s="337"/>
    </row>
    <row r="2766" spans="1:25" ht="30" customHeight="1" x14ac:dyDescent="0.25">
      <c r="A2766" s="365" t="s">
        <v>430</v>
      </c>
      <c r="B2766" s="1214" t="s">
        <v>1675</v>
      </c>
      <c r="C2766" s="1215"/>
      <c r="D2766" s="1216"/>
      <c r="E2766" s="247">
        <f>+(34.5+82)/2</f>
        <v>58.25</v>
      </c>
      <c r="F2766" s="365" t="s">
        <v>76</v>
      </c>
      <c r="G2766" s="893">
        <f>+E2766/$H$2761</f>
        <v>2.7323045170974248E-3</v>
      </c>
      <c r="H2766" s="366">
        <v>60</v>
      </c>
      <c r="I2766" s="163">
        <f>+G2766*H2766</f>
        <v>0.16393827102584549</v>
      </c>
      <c r="J2766" s="706">
        <v>1.21</v>
      </c>
      <c r="K2766" s="247">
        <f t="shared" si="54"/>
        <v>0.19836530794127302</v>
      </c>
      <c r="L2766" s="365" t="s">
        <v>205</v>
      </c>
      <c r="M2766" s="54"/>
      <c r="N2766" s="54"/>
      <c r="O2766" s="336"/>
    </row>
    <row r="2767" spans="1:25" ht="30" customHeight="1" x14ac:dyDescent="0.25">
      <c r="A2767" s="365" t="s">
        <v>430</v>
      </c>
      <c r="B2767" s="561" t="s">
        <v>433</v>
      </c>
      <c r="C2767" s="562"/>
      <c r="D2767" s="563"/>
      <c r="E2767" s="247">
        <f>+(6450+12300)/2</f>
        <v>9375</v>
      </c>
      <c r="F2767" s="365" t="s">
        <v>76</v>
      </c>
      <c r="G2767" s="893">
        <f>+E2767/$H$2761</f>
        <v>0.4397485810779117</v>
      </c>
      <c r="H2767" s="366">
        <v>6</v>
      </c>
      <c r="I2767" s="163">
        <f>+G2767*H2767</f>
        <v>2.63849148646747</v>
      </c>
      <c r="J2767" s="706">
        <v>1.21</v>
      </c>
      <c r="K2767" s="247">
        <f t="shared" si="54"/>
        <v>3.1925746986256387</v>
      </c>
      <c r="L2767" s="365" t="s">
        <v>205</v>
      </c>
      <c r="M2767" s="54"/>
      <c r="N2767" s="54"/>
      <c r="O2767" s="336"/>
      <c r="T2767" s="60"/>
      <c r="V2767" s="345"/>
      <c r="W2767" s="345"/>
      <c r="X2767" s="345"/>
      <c r="Y2767" s="345"/>
    </row>
    <row r="2768" spans="1:25" s="345" customFormat="1" ht="30" customHeight="1" x14ac:dyDescent="0.25">
      <c r="A2768" s="365" t="s">
        <v>430</v>
      </c>
      <c r="B2768" s="1214" t="s">
        <v>1676</v>
      </c>
      <c r="C2768" s="1215"/>
      <c r="D2768" s="1216"/>
      <c r="E2768" s="247">
        <f>+(660+1010)/2</f>
        <v>835</v>
      </c>
      <c r="F2768" s="365" t="s">
        <v>76</v>
      </c>
      <c r="G2768" s="893">
        <f>+E2768/$H$2761</f>
        <v>3.9166940288006005E-2</v>
      </c>
      <c r="H2768" s="366">
        <v>6</v>
      </c>
      <c r="I2768" s="163">
        <f>+G2768*H2768</f>
        <v>0.23500164172803603</v>
      </c>
      <c r="J2768" s="706">
        <v>1.21</v>
      </c>
      <c r="K2768" s="247">
        <f t="shared" si="54"/>
        <v>0.28435198649092358</v>
      </c>
      <c r="L2768" s="365" t="s">
        <v>205</v>
      </c>
      <c r="M2768" s="54"/>
      <c r="N2768" s="54"/>
      <c r="O2768" s="334"/>
      <c r="P2768" s="340"/>
      <c r="Q2768" s="334"/>
      <c r="R2768" s="334"/>
      <c r="S2768" s="334"/>
      <c r="T2768" s="10"/>
      <c r="U2768" s="60"/>
      <c r="V2768" s="334"/>
      <c r="W2768" s="334"/>
      <c r="X2768" s="334"/>
      <c r="Y2768" s="334"/>
    </row>
    <row r="2769" spans="1:21" ht="30" customHeight="1" x14ac:dyDescent="0.25">
      <c r="A2769" s="365" t="s">
        <v>430</v>
      </c>
      <c r="B2769" s="1214" t="s">
        <v>435</v>
      </c>
      <c r="C2769" s="1215"/>
      <c r="D2769" s="1216"/>
      <c r="E2769" s="247">
        <f>+(1160+3475)/2</f>
        <v>2317.5</v>
      </c>
      <c r="F2769" s="365" t="s">
        <v>76</v>
      </c>
      <c r="G2769" s="893">
        <f>+E2769/$H$2761</f>
        <v>0.10870584924245978</v>
      </c>
      <c r="H2769" s="366">
        <v>6</v>
      </c>
      <c r="I2769" s="163">
        <f>+G2769*H2769</f>
        <v>0.65223509545475866</v>
      </c>
      <c r="J2769" s="706">
        <v>1.21</v>
      </c>
      <c r="K2769" s="247">
        <f t="shared" si="54"/>
        <v>0.78920446550025791</v>
      </c>
      <c r="L2769" s="365" t="s">
        <v>205</v>
      </c>
      <c r="M2769" s="54"/>
      <c r="N2769" s="54"/>
      <c r="P2769" s="334"/>
      <c r="Q2769" s="335"/>
      <c r="R2769" s="336"/>
      <c r="S2769" s="337"/>
      <c r="U2769" s="10"/>
    </row>
    <row r="2770" spans="1:21" ht="30" customHeight="1" x14ac:dyDescent="0.25">
      <c r="A2770" s="365" t="s">
        <v>406</v>
      </c>
      <c r="B2770" s="1214" t="s">
        <v>1677</v>
      </c>
      <c r="C2770" s="1215"/>
      <c r="D2770" s="1215"/>
      <c r="E2770" s="247">
        <v>3.85</v>
      </c>
      <c r="F2770" s="365" t="s">
        <v>205</v>
      </c>
      <c r="G2770" s="366"/>
      <c r="H2770" s="366"/>
      <c r="I2770" s="662"/>
      <c r="J2770" s="706">
        <f>(1.16+1.19)/2</f>
        <v>1.1749999999999998</v>
      </c>
      <c r="K2770" s="247">
        <f>+E2770*J2770</f>
        <v>4.5237499999999997</v>
      </c>
      <c r="L2770" s="365" t="s">
        <v>205</v>
      </c>
      <c r="M2770" s="54"/>
      <c r="N2770" s="54"/>
      <c r="P2770" s="334"/>
      <c r="Q2770" s="335"/>
      <c r="R2770" s="336"/>
      <c r="S2770" s="337"/>
    </row>
    <row r="2771" spans="1:21" ht="30" customHeight="1" x14ac:dyDescent="0.25">
      <c r="A2771" s="365"/>
      <c r="B2771" s="1281"/>
      <c r="C2771" s="1281"/>
      <c r="D2771" s="1281"/>
      <c r="E2771" s="247"/>
      <c r="F2771" s="366"/>
      <c r="G2771" s="366"/>
      <c r="H2771" s="662"/>
      <c r="I2771" s="365"/>
      <c r="J2771" s="365" t="s">
        <v>343</v>
      </c>
      <c r="K2771" s="247">
        <f>SUM(K2763:K2770)</f>
        <v>112.0991196819738</v>
      </c>
      <c r="L2771" s="365" t="s">
        <v>205</v>
      </c>
      <c r="M2771" s="54"/>
      <c r="N2771" s="54"/>
      <c r="O2771" s="336"/>
      <c r="P2771" s="334"/>
      <c r="Q2771" s="335"/>
      <c r="R2771" s="336"/>
      <c r="S2771" s="337"/>
    </row>
    <row r="2772" spans="1:21" ht="30" customHeight="1" x14ac:dyDescent="0.25">
      <c r="A2772" s="365"/>
      <c r="B2772" s="578"/>
      <c r="C2772" s="578"/>
      <c r="D2772" s="578"/>
      <c r="E2772" s="578"/>
      <c r="F2772" s="1272" t="s">
        <v>303</v>
      </c>
      <c r="G2772" s="1283" t="s">
        <v>304</v>
      </c>
      <c r="H2772" s="1283"/>
      <c r="I2772" s="1283"/>
      <c r="J2772" s="1283"/>
      <c r="K2772" s="706">
        <f>(1.05+1.08)/2</f>
        <v>1.0649999999999999</v>
      </c>
      <c r="L2772" s="365"/>
      <c r="M2772" s="54"/>
      <c r="N2772" s="54"/>
      <c r="O2772" s="336"/>
      <c r="P2772" s="334"/>
      <c r="Q2772" s="335"/>
      <c r="R2772" s="336"/>
      <c r="S2772" s="337"/>
    </row>
    <row r="2773" spans="1:21" ht="30" customHeight="1" x14ac:dyDescent="0.25">
      <c r="A2773" s="365"/>
      <c r="B2773" s="578"/>
      <c r="C2773" s="578"/>
      <c r="D2773" s="578"/>
      <c r="E2773" s="578"/>
      <c r="F2773" s="1273"/>
      <c r="G2773" s="1284" t="s">
        <v>305</v>
      </c>
      <c r="H2773" s="1284"/>
      <c r="I2773" s="1284"/>
      <c r="J2773" s="1284"/>
      <c r="K2773" s="250">
        <v>1.06</v>
      </c>
      <c r="L2773" s="365"/>
      <c r="M2773" s="54"/>
      <c r="N2773" s="54"/>
      <c r="O2773" s="336"/>
      <c r="P2773" s="334"/>
      <c r="Q2773" s="335"/>
      <c r="R2773" s="336"/>
      <c r="S2773" s="337"/>
    </row>
    <row r="2774" spans="1:21" ht="30" customHeight="1" x14ac:dyDescent="0.25">
      <c r="A2774" s="365"/>
      <c r="B2774" s="365"/>
      <c r="C2774" s="366"/>
      <c r="D2774" s="366"/>
      <c r="E2774" s="366"/>
      <c r="F2774" s="366"/>
      <c r="G2774" s="366"/>
      <c r="H2774" s="366"/>
      <c r="I2774" s="366"/>
      <c r="J2774" s="366" t="s">
        <v>72</v>
      </c>
      <c r="K2774" s="246">
        <f>+K2771*K2772/K2773</f>
        <v>112.62788911443594</v>
      </c>
      <c r="L2774" s="365" t="s">
        <v>205</v>
      </c>
      <c r="M2774" s="54"/>
      <c r="N2774" s="54"/>
      <c r="O2774" s="336"/>
      <c r="P2774" s="334"/>
      <c r="Q2774" s="335"/>
      <c r="R2774" s="336"/>
      <c r="S2774" s="337"/>
    </row>
    <row r="2775" spans="1:21" ht="30" customHeight="1" x14ac:dyDescent="0.25">
      <c r="A2775" s="365"/>
      <c r="B2775" s="365"/>
      <c r="C2775" s="366"/>
      <c r="D2775" s="366"/>
      <c r="E2775" s="366"/>
      <c r="G2775" s="366"/>
      <c r="H2775" s="366"/>
      <c r="I2775" s="553" t="s">
        <v>414</v>
      </c>
      <c r="J2775" s="521">
        <f>VLOOKUP(B2761,'Mil Cost Premiums for PUCs'!$A$4:$R$277,18,FALSE)</f>
        <v>1.168693068754227</v>
      </c>
      <c r="K2775" s="246">
        <f>+K2774*J2775</f>
        <v>131.62743335646093</v>
      </c>
      <c r="L2775" s="365" t="s">
        <v>205</v>
      </c>
      <c r="M2775" s="54"/>
      <c r="N2775" s="54"/>
      <c r="O2775" s="336"/>
      <c r="P2775" s="334"/>
      <c r="Q2775" s="335"/>
      <c r="R2775" s="336"/>
      <c r="S2775" s="337"/>
    </row>
    <row r="2776" spans="1:21" ht="75" customHeight="1" x14ac:dyDescent="0.25">
      <c r="A2776" s="1230" t="s">
        <v>307</v>
      </c>
      <c r="B2776" s="1231"/>
      <c r="C2776" s="1231"/>
      <c r="D2776" s="1231"/>
      <c r="E2776" s="1231"/>
      <c r="F2776" s="1231"/>
      <c r="G2776" s="1231"/>
      <c r="H2776" s="1231"/>
      <c r="I2776" s="1231"/>
      <c r="J2776" s="1231"/>
      <c r="K2776" s="1231"/>
      <c r="L2776" s="1232"/>
      <c r="M2776" s="111"/>
      <c r="N2776" s="54"/>
      <c r="O2776" s="336"/>
      <c r="P2776" s="334"/>
      <c r="Q2776" s="335"/>
      <c r="R2776" s="336"/>
      <c r="S2776" s="337"/>
    </row>
    <row r="2777" spans="1:21" ht="30" customHeight="1" x14ac:dyDescent="0.25">
      <c r="A2777" s="1268" t="s">
        <v>308</v>
      </c>
      <c r="B2777" s="1167"/>
      <c r="C2777" s="1168"/>
      <c r="D2777" s="1230" t="s">
        <v>1678</v>
      </c>
      <c r="E2777" s="1231"/>
      <c r="F2777" s="1231"/>
      <c r="G2777" s="1231"/>
      <c r="H2777" s="1231"/>
      <c r="I2777" s="1231"/>
      <c r="J2777" s="1231"/>
      <c r="K2777" s="1231"/>
      <c r="L2777" s="1232"/>
      <c r="M2777" s="54"/>
      <c r="N2777" s="54"/>
      <c r="O2777" s="336"/>
      <c r="P2777" s="334"/>
      <c r="Q2777" s="335"/>
      <c r="R2777" s="336"/>
      <c r="S2777" s="337"/>
    </row>
    <row r="2778" spans="1:21" ht="45" customHeight="1" x14ac:dyDescent="0.25">
      <c r="A2778" s="1268" t="s">
        <v>310</v>
      </c>
      <c r="B2778" s="1167"/>
      <c r="C2778" s="1168"/>
      <c r="D2778" s="1230" t="s">
        <v>1679</v>
      </c>
      <c r="E2778" s="1231"/>
      <c r="F2778" s="1231"/>
      <c r="G2778" s="1231"/>
      <c r="H2778" s="1231"/>
      <c r="I2778" s="1231"/>
      <c r="J2778" s="1231"/>
      <c r="K2778" s="1231"/>
      <c r="L2778" s="1232"/>
      <c r="M2778" s="54"/>
      <c r="N2778" s="54"/>
      <c r="O2778" s="336"/>
      <c r="P2778" s="334"/>
      <c r="Q2778" s="335"/>
      <c r="R2778" s="336"/>
      <c r="S2778" s="337"/>
    </row>
    <row r="2779" spans="1:21" ht="30" customHeight="1" x14ac:dyDescent="0.25">
      <c r="A2779" s="1268" t="s">
        <v>312</v>
      </c>
      <c r="B2779" s="1167"/>
      <c r="C2779" s="1168"/>
      <c r="D2779" s="1230" t="s">
        <v>1680</v>
      </c>
      <c r="E2779" s="1231"/>
      <c r="F2779" s="1231"/>
      <c r="G2779" s="1231"/>
      <c r="H2779" s="1231"/>
      <c r="I2779" s="1231"/>
      <c r="J2779" s="1231"/>
      <c r="K2779" s="1231"/>
      <c r="L2779" s="1232"/>
      <c r="M2779" s="54"/>
      <c r="N2779" s="54"/>
      <c r="O2779" s="336"/>
      <c r="P2779" s="334"/>
      <c r="Q2779" s="335"/>
      <c r="R2779" s="336"/>
      <c r="S2779" s="337"/>
    </row>
    <row r="2780" spans="1:21" ht="45" customHeight="1" x14ac:dyDescent="0.25">
      <c r="A2780" s="1268" t="s">
        <v>314</v>
      </c>
      <c r="B2780" s="1167"/>
      <c r="C2780" s="1168"/>
      <c r="D2780" s="1230" t="s">
        <v>1681</v>
      </c>
      <c r="E2780" s="1231"/>
      <c r="F2780" s="1231"/>
      <c r="G2780" s="1231"/>
      <c r="H2780" s="1231"/>
      <c r="I2780" s="1231"/>
      <c r="J2780" s="1231"/>
      <c r="K2780" s="1231"/>
      <c r="L2780" s="1232"/>
      <c r="M2780" s="54"/>
      <c r="N2780" s="54"/>
      <c r="O2780" s="336"/>
      <c r="P2780" s="334"/>
      <c r="Q2780" s="335"/>
      <c r="R2780" s="336"/>
      <c r="S2780" s="337"/>
    </row>
    <row r="2781" spans="1:21" ht="75" customHeight="1" x14ac:dyDescent="0.25">
      <c r="A2781" s="1268" t="s">
        <v>316</v>
      </c>
      <c r="B2781" s="1167"/>
      <c r="C2781" s="1168"/>
      <c r="D2781" s="1230" t="s">
        <v>1682</v>
      </c>
      <c r="E2781" s="1231"/>
      <c r="F2781" s="1231"/>
      <c r="G2781" s="1231"/>
      <c r="H2781" s="1231"/>
      <c r="I2781" s="1231"/>
      <c r="J2781" s="1231"/>
      <c r="K2781" s="1231"/>
      <c r="L2781" s="1232"/>
      <c r="M2781" s="54"/>
      <c r="N2781" s="54"/>
      <c r="O2781" s="336"/>
      <c r="P2781" s="334"/>
      <c r="Q2781" s="335"/>
      <c r="R2781" s="336"/>
      <c r="S2781" s="337"/>
    </row>
    <row r="2782" spans="1:21" ht="30" customHeight="1" x14ac:dyDescent="0.25">
      <c r="A2782" s="1268" t="s">
        <v>318</v>
      </c>
      <c r="B2782" s="1167"/>
      <c r="C2782" s="1168"/>
      <c r="D2782" s="1230" t="s">
        <v>445</v>
      </c>
      <c r="E2782" s="1231"/>
      <c r="F2782" s="1231"/>
      <c r="G2782" s="1231"/>
      <c r="H2782" s="1231"/>
      <c r="I2782" s="1231"/>
      <c r="J2782" s="1231"/>
      <c r="K2782" s="1231"/>
      <c r="L2782" s="1232"/>
      <c r="M2782" s="54"/>
      <c r="N2782" s="54"/>
      <c r="O2782" s="336"/>
      <c r="P2782" s="334"/>
      <c r="Q2782" s="335"/>
      <c r="R2782" s="336"/>
      <c r="S2782" s="337"/>
    </row>
    <row r="2783" spans="1:21" ht="30" customHeight="1" x14ac:dyDescent="0.25">
      <c r="A2783" s="1268" t="s">
        <v>320</v>
      </c>
      <c r="B2783" s="1167"/>
      <c r="C2783" s="1168"/>
      <c r="D2783" s="1230" t="s">
        <v>1663</v>
      </c>
      <c r="E2783" s="1231"/>
      <c r="F2783" s="1231"/>
      <c r="G2783" s="1231"/>
      <c r="H2783" s="1231"/>
      <c r="I2783" s="1231"/>
      <c r="J2783" s="1231"/>
      <c r="K2783" s="1231"/>
      <c r="L2783" s="1232"/>
      <c r="M2783" s="54"/>
      <c r="N2783" s="54"/>
      <c r="O2783" s="336"/>
      <c r="P2783" s="334"/>
      <c r="Q2783" s="335"/>
      <c r="R2783" s="336"/>
      <c r="S2783" s="337"/>
    </row>
    <row r="2784" spans="1:21" ht="75" customHeight="1" x14ac:dyDescent="0.25">
      <c r="A2784" s="1268" t="s">
        <v>322</v>
      </c>
      <c r="B2784" s="1167"/>
      <c r="C2784" s="1168"/>
      <c r="D2784" s="1230" t="s">
        <v>422</v>
      </c>
      <c r="E2784" s="1231"/>
      <c r="F2784" s="1231"/>
      <c r="G2784" s="1231"/>
      <c r="H2784" s="1231"/>
      <c r="I2784" s="1231"/>
      <c r="J2784" s="1231"/>
      <c r="K2784" s="1231"/>
      <c r="L2784" s="1232"/>
      <c r="M2784" s="54"/>
      <c r="N2784" s="54"/>
      <c r="O2784" s="336"/>
      <c r="P2784" s="334"/>
      <c r="Q2784" s="335"/>
      <c r="R2784" s="336"/>
      <c r="S2784" s="337"/>
    </row>
    <row r="2785" spans="1:19" ht="90" customHeight="1" thickBot="1" x14ac:dyDescent="0.3">
      <c r="A2785" s="1265" t="s">
        <v>350</v>
      </c>
      <c r="B2785" s="1266"/>
      <c r="C2785" s="1267"/>
      <c r="D2785" s="1291" t="s">
        <v>3422</v>
      </c>
      <c r="E2785" s="1292"/>
      <c r="F2785" s="1292"/>
      <c r="G2785" s="1292"/>
      <c r="H2785" s="1292"/>
      <c r="I2785" s="1292"/>
      <c r="J2785" s="1292"/>
      <c r="K2785" s="1292"/>
      <c r="L2785" s="1293"/>
      <c r="M2785" s="54"/>
      <c r="N2785" s="54"/>
      <c r="O2785" s="336"/>
      <c r="P2785" s="334"/>
      <c r="Q2785" s="335"/>
      <c r="R2785" s="336"/>
      <c r="S2785" s="337"/>
    </row>
    <row r="2786" spans="1:19" ht="30" customHeight="1" thickBot="1" x14ac:dyDescent="0.3">
      <c r="A2786" s="1180"/>
      <c r="B2786" s="1181"/>
      <c r="C2786" s="1181"/>
      <c r="D2786" s="1181"/>
      <c r="E2786" s="1181"/>
      <c r="F2786" s="1181"/>
      <c r="G2786" s="1181"/>
      <c r="H2786" s="1181"/>
      <c r="I2786" s="1181"/>
      <c r="J2786" s="1181"/>
      <c r="K2786" s="1181"/>
      <c r="L2786" s="1182"/>
      <c r="M2786" s="54"/>
      <c r="N2786" s="54"/>
      <c r="O2786" s="336"/>
      <c r="P2786" s="334"/>
      <c r="Q2786" s="335"/>
      <c r="R2786" s="336"/>
      <c r="S2786" s="337"/>
    </row>
    <row r="2787" spans="1:19" ht="30" customHeight="1" x14ac:dyDescent="0.25">
      <c r="A2787" s="327" t="s">
        <v>5</v>
      </c>
      <c r="B2787" s="328">
        <v>4425</v>
      </c>
      <c r="C2787" s="1251" t="s">
        <v>1683</v>
      </c>
      <c r="D2787" s="1252"/>
      <c r="E2787" s="331" t="s">
        <v>8</v>
      </c>
      <c r="F2787" s="332" t="s">
        <v>205</v>
      </c>
      <c r="G2787" s="342" t="s">
        <v>74</v>
      </c>
      <c r="H2787" s="653">
        <v>8311</v>
      </c>
      <c r="I2787" s="331" t="s">
        <v>10</v>
      </c>
      <c r="J2787" s="1220" t="s">
        <v>294</v>
      </c>
      <c r="K2787" s="1220"/>
      <c r="L2787" s="1221"/>
      <c r="M2787" s="54"/>
      <c r="N2787" s="54"/>
      <c r="O2787" s="336"/>
      <c r="P2787" s="334"/>
      <c r="Q2787" s="335"/>
      <c r="R2787" s="336"/>
      <c r="S2787" s="337"/>
    </row>
    <row r="2788" spans="1:19" ht="30" customHeight="1" x14ac:dyDescent="0.25">
      <c r="A2788" s="359" t="s">
        <v>295</v>
      </c>
      <c r="B2788" s="1222" t="s">
        <v>326</v>
      </c>
      <c r="C2788" s="1235"/>
      <c r="D2788" s="1223"/>
      <c r="E2788" s="577" t="s">
        <v>116</v>
      </c>
      <c r="F2788" s="577" t="s">
        <v>117</v>
      </c>
      <c r="G2788" s="1194" t="s">
        <v>118</v>
      </c>
      <c r="H2788" s="1195"/>
      <c r="I2788" s="356" t="s">
        <v>296</v>
      </c>
      <c r="J2788" s="356"/>
      <c r="K2788" s="1236" t="s">
        <v>285</v>
      </c>
      <c r="L2788" s="1237"/>
      <c r="M2788" s="54"/>
      <c r="N2788" s="54"/>
      <c r="O2788" s="336"/>
      <c r="P2788" s="334"/>
      <c r="Q2788" s="335"/>
      <c r="R2788" s="336"/>
      <c r="S2788" s="337"/>
    </row>
    <row r="2789" spans="1:19" ht="30" customHeight="1" x14ac:dyDescent="0.25">
      <c r="A2789" s="365" t="s">
        <v>1684</v>
      </c>
      <c r="B2789" s="1214" t="s">
        <v>1685</v>
      </c>
      <c r="C2789" s="1215"/>
      <c r="D2789" s="1216"/>
      <c r="E2789" s="247">
        <v>79</v>
      </c>
      <c r="F2789" s="365" t="s">
        <v>205</v>
      </c>
      <c r="G2789" s="365"/>
      <c r="H2789" s="365"/>
      <c r="I2789" s="706">
        <f>(1.16+1.19)/2</f>
        <v>1.1749999999999998</v>
      </c>
      <c r="J2789" s="365"/>
      <c r="K2789" s="247">
        <f>+E2789*I2789</f>
        <v>92.824999999999989</v>
      </c>
      <c r="L2789" s="365" t="s">
        <v>205</v>
      </c>
      <c r="M2789" s="54"/>
      <c r="N2789" s="54"/>
      <c r="O2789" s="336"/>
      <c r="P2789" s="334"/>
      <c r="Q2789" s="335"/>
      <c r="R2789" s="336"/>
      <c r="S2789" s="337"/>
    </row>
    <row r="2790" spans="1:19" ht="30" customHeight="1" x14ac:dyDescent="0.25">
      <c r="A2790" s="365" t="s">
        <v>406</v>
      </c>
      <c r="B2790" s="1214" t="s">
        <v>1501</v>
      </c>
      <c r="C2790" s="1215"/>
      <c r="D2790" s="1215"/>
      <c r="E2790" s="247">
        <v>3.34</v>
      </c>
      <c r="F2790" s="365" t="s">
        <v>205</v>
      </c>
      <c r="G2790" s="366"/>
      <c r="H2790" s="662"/>
      <c r="I2790" s="706">
        <f>(1.16+1.19)/2</f>
        <v>1.1749999999999998</v>
      </c>
      <c r="J2790" s="365"/>
      <c r="K2790" s="247">
        <f>+E2790*I2790</f>
        <v>3.9244999999999992</v>
      </c>
      <c r="L2790" s="365" t="s">
        <v>205</v>
      </c>
      <c r="M2790" s="54"/>
      <c r="N2790" s="54"/>
      <c r="O2790" s="336"/>
      <c r="P2790" s="334"/>
      <c r="Q2790" s="335"/>
      <c r="R2790" s="336"/>
      <c r="S2790" s="337"/>
    </row>
    <row r="2791" spans="1:19" ht="30" customHeight="1" x14ac:dyDescent="0.25">
      <c r="A2791" s="365"/>
      <c r="B2791" s="1209"/>
      <c r="C2791" s="1210"/>
      <c r="D2791" s="1211"/>
      <c r="E2791" s="247"/>
      <c r="F2791" s="661"/>
      <c r="G2791" s="366"/>
      <c r="H2791" s="662"/>
      <c r="I2791" s="365"/>
      <c r="J2791" s="365" t="s">
        <v>343</v>
      </c>
      <c r="K2791" s="247">
        <f>SUM(K2789:K2790)</f>
        <v>96.749499999999983</v>
      </c>
      <c r="L2791" s="365" t="s">
        <v>205</v>
      </c>
      <c r="M2791" s="54"/>
      <c r="N2791" s="54"/>
      <c r="O2791" s="336"/>
      <c r="P2791" s="334"/>
      <c r="Q2791" s="335"/>
      <c r="R2791" s="336"/>
      <c r="S2791" s="337"/>
    </row>
    <row r="2792" spans="1:19" ht="30" customHeight="1" x14ac:dyDescent="0.25">
      <c r="A2792" s="365"/>
      <c r="B2792" s="1311"/>
      <c r="C2792" s="1312"/>
      <c r="D2792" s="1313"/>
      <c r="E2792" s="247"/>
      <c r="F2792" s="1272" t="s">
        <v>303</v>
      </c>
      <c r="G2792" s="1283" t="s">
        <v>304</v>
      </c>
      <c r="H2792" s="1283"/>
      <c r="I2792" s="1283"/>
      <c r="J2792" s="1283"/>
      <c r="K2792" s="706">
        <f>(1.1+1.08)/2</f>
        <v>1.0900000000000001</v>
      </c>
      <c r="L2792" s="365"/>
      <c r="M2792" s="54"/>
      <c r="N2792" s="54"/>
      <c r="O2792" s="336"/>
      <c r="P2792" s="334"/>
      <c r="Q2792" s="335"/>
      <c r="R2792" s="336"/>
      <c r="S2792" s="337"/>
    </row>
    <row r="2793" spans="1:19" ht="30" customHeight="1" x14ac:dyDescent="0.25">
      <c r="A2793" s="365"/>
      <c r="E2793" s="247"/>
      <c r="F2793" s="1273"/>
      <c r="G2793" s="1284" t="s">
        <v>305</v>
      </c>
      <c r="H2793" s="1284"/>
      <c r="I2793" s="1284"/>
      <c r="J2793" s="1284"/>
      <c r="K2793" s="250">
        <v>1.06</v>
      </c>
      <c r="L2793" s="365"/>
      <c r="M2793" s="54"/>
      <c r="N2793" s="54"/>
      <c r="O2793" s="336"/>
      <c r="P2793" s="334"/>
      <c r="Q2793" s="335"/>
      <c r="R2793" s="336"/>
      <c r="S2793" s="337"/>
    </row>
    <row r="2794" spans="1:19" ht="30" customHeight="1" x14ac:dyDescent="0.25">
      <c r="A2794" s="365"/>
      <c r="B2794" s="365"/>
      <c r="C2794" s="366"/>
      <c r="D2794" s="366"/>
      <c r="E2794" s="366"/>
      <c r="F2794" s="366"/>
      <c r="G2794" s="366"/>
      <c r="H2794" s="366"/>
      <c r="I2794" s="366"/>
      <c r="J2794" s="365" t="s">
        <v>72</v>
      </c>
      <c r="K2794" s="246">
        <f>+K2791*K2792/K2793</f>
        <v>99.487693396226405</v>
      </c>
      <c r="L2794" s="365" t="s">
        <v>205</v>
      </c>
      <c r="M2794" s="54"/>
      <c r="N2794" s="54"/>
      <c r="O2794" s="336"/>
      <c r="P2794" s="334"/>
      <c r="Q2794" s="335"/>
      <c r="R2794" s="336"/>
      <c r="S2794" s="337"/>
    </row>
    <row r="2795" spans="1:19" ht="30" customHeight="1" thickBot="1" x14ac:dyDescent="0.3">
      <c r="A2795" s="365"/>
      <c r="B2795" s="365"/>
      <c r="C2795" s="366"/>
      <c r="D2795" s="366"/>
      <c r="E2795" s="366"/>
      <c r="F2795" s="366"/>
      <c r="G2795" s="366"/>
      <c r="H2795" s="366"/>
      <c r="I2795" s="877" t="s">
        <v>306</v>
      </c>
      <c r="J2795" s="521">
        <f>VLOOKUP(B2787,'Mil Cost Premiums for PUCs'!$A$4:$R$277,18,FALSE)</f>
        <v>1.1255953609601996</v>
      </c>
      <c r="K2795" s="246">
        <f>+K2794*J2795</f>
        <v>111.98288615942313</v>
      </c>
      <c r="L2795" s="365" t="s">
        <v>205</v>
      </c>
      <c r="M2795" s="54"/>
      <c r="N2795" s="54"/>
      <c r="O2795" s="336"/>
      <c r="P2795" s="334"/>
      <c r="Q2795" s="335"/>
      <c r="R2795" s="336"/>
      <c r="S2795" s="337"/>
    </row>
    <row r="2796" spans="1:19" ht="30" customHeight="1" thickBot="1" x14ac:dyDescent="0.3">
      <c r="A2796" s="1180"/>
      <c r="B2796" s="1181"/>
      <c r="C2796" s="1181"/>
      <c r="D2796" s="1181"/>
      <c r="E2796" s="1181"/>
      <c r="F2796" s="1181"/>
      <c r="G2796" s="1181"/>
      <c r="H2796" s="1181"/>
      <c r="I2796" s="1181"/>
      <c r="J2796" s="1181"/>
      <c r="K2796" s="1181"/>
      <c r="L2796" s="1182"/>
      <c r="M2796" s="54"/>
      <c r="N2796" s="54"/>
      <c r="O2796" s="336"/>
      <c r="P2796" s="334"/>
      <c r="Q2796" s="335"/>
      <c r="R2796" s="336"/>
      <c r="S2796" s="337"/>
    </row>
    <row r="2797" spans="1:19" ht="30" customHeight="1" x14ac:dyDescent="0.25">
      <c r="A2797" s="327" t="s">
        <v>5</v>
      </c>
      <c r="B2797" s="328">
        <v>4426</v>
      </c>
      <c r="C2797" s="1251" t="s">
        <v>1686</v>
      </c>
      <c r="D2797" s="1252"/>
      <c r="E2797" s="331" t="s">
        <v>8</v>
      </c>
      <c r="F2797" s="332" t="s">
        <v>205</v>
      </c>
      <c r="G2797" s="342" t="s">
        <v>74</v>
      </c>
      <c r="H2797" s="653">
        <v>2307</v>
      </c>
      <c r="I2797" s="331" t="s">
        <v>10</v>
      </c>
      <c r="J2797" s="1220" t="s">
        <v>294</v>
      </c>
      <c r="K2797" s="1220"/>
      <c r="L2797" s="1221"/>
      <c r="M2797" s="54"/>
      <c r="N2797" s="54"/>
      <c r="O2797" s="336"/>
      <c r="P2797" s="334"/>
      <c r="Q2797" s="335"/>
      <c r="R2797" s="336"/>
      <c r="S2797" s="337"/>
    </row>
    <row r="2798" spans="1:19" ht="30" customHeight="1" x14ac:dyDescent="0.25">
      <c r="A2798" s="359" t="s">
        <v>295</v>
      </c>
      <c r="B2798" s="1222" t="s">
        <v>326</v>
      </c>
      <c r="C2798" s="1235"/>
      <c r="D2798" s="1223"/>
      <c r="E2798" s="577" t="s">
        <v>116</v>
      </c>
      <c r="F2798" s="577" t="s">
        <v>117</v>
      </c>
      <c r="G2798" s="1194" t="s">
        <v>118</v>
      </c>
      <c r="H2798" s="1195"/>
      <c r="I2798" s="356" t="s">
        <v>296</v>
      </c>
      <c r="J2798" s="356"/>
      <c r="K2798" s="1236" t="s">
        <v>285</v>
      </c>
      <c r="L2798" s="1237"/>
      <c r="M2798" s="54"/>
      <c r="N2798" s="54"/>
      <c r="O2798" s="336"/>
      <c r="P2798" s="334"/>
      <c r="Q2798" s="335"/>
      <c r="R2798" s="336"/>
      <c r="S2798" s="337"/>
    </row>
    <row r="2799" spans="1:19" ht="30" customHeight="1" x14ac:dyDescent="0.25">
      <c r="A2799" s="365" t="s">
        <v>1687</v>
      </c>
      <c r="B2799" s="1269" t="s">
        <v>1688</v>
      </c>
      <c r="C2799" s="1269"/>
      <c r="D2799" s="1269"/>
      <c r="E2799" s="247">
        <v>26</v>
      </c>
      <c r="F2799" s="365" t="s">
        <v>205</v>
      </c>
      <c r="G2799" s="365"/>
      <c r="H2799" s="365"/>
      <c r="I2799" s="365">
        <v>1.1399999999999999</v>
      </c>
      <c r="J2799" s="365"/>
      <c r="K2799" s="247">
        <f>+E2799*I2799</f>
        <v>29.639999999999997</v>
      </c>
      <c r="L2799" s="365" t="s">
        <v>205</v>
      </c>
      <c r="M2799" s="54"/>
      <c r="N2799" s="54"/>
      <c r="O2799" s="336"/>
      <c r="P2799" s="334"/>
      <c r="Q2799" s="335"/>
      <c r="R2799" s="336"/>
      <c r="S2799" s="337"/>
    </row>
    <row r="2800" spans="1:19" ht="30" customHeight="1" x14ac:dyDescent="0.25">
      <c r="A2800" s="365"/>
      <c r="B2800" s="578"/>
      <c r="C2800" s="578"/>
      <c r="D2800" s="578"/>
      <c r="E2800" s="247"/>
      <c r="F2800" s="1272" t="s">
        <v>303</v>
      </c>
      <c r="G2800" s="1283" t="s">
        <v>304</v>
      </c>
      <c r="H2800" s="1283"/>
      <c r="I2800" s="1283"/>
      <c r="J2800" s="1283"/>
      <c r="K2800" s="706">
        <v>1.03</v>
      </c>
      <c r="L2800" s="365"/>
      <c r="M2800" s="54"/>
      <c r="N2800" s="54"/>
      <c r="O2800" s="336"/>
      <c r="P2800" s="334"/>
      <c r="Q2800" s="335"/>
      <c r="R2800" s="336"/>
      <c r="S2800" s="337"/>
    </row>
    <row r="2801" spans="1:19" ht="30" customHeight="1" x14ac:dyDescent="0.25">
      <c r="A2801" s="365"/>
      <c r="B2801" s="578"/>
      <c r="C2801" s="578"/>
      <c r="D2801" s="578"/>
      <c r="E2801" s="247"/>
      <c r="F2801" s="1273"/>
      <c r="G2801" s="1284" t="s">
        <v>305</v>
      </c>
      <c r="H2801" s="1284"/>
      <c r="I2801" s="1284"/>
      <c r="J2801" s="1284"/>
      <c r="K2801" s="250">
        <v>1.06</v>
      </c>
      <c r="L2801" s="365"/>
      <c r="M2801" s="54"/>
      <c r="N2801" s="54"/>
      <c r="O2801" s="336"/>
      <c r="P2801" s="334"/>
      <c r="Q2801" s="335"/>
      <c r="R2801" s="336"/>
      <c r="S2801" s="337"/>
    </row>
    <row r="2802" spans="1:19" ht="30" customHeight="1" x14ac:dyDescent="0.25">
      <c r="A2802" s="365"/>
      <c r="B2802" s="365"/>
      <c r="C2802" s="366"/>
      <c r="D2802" s="366"/>
      <c r="E2802" s="366"/>
      <c r="F2802" s="366"/>
      <c r="G2802" s="366"/>
      <c r="H2802" s="366"/>
      <c r="I2802" s="366"/>
      <c r="J2802" s="366" t="s">
        <v>72</v>
      </c>
      <c r="K2802" s="246">
        <f>+K2799*K2800/K2801</f>
        <v>28.801132075471696</v>
      </c>
      <c r="L2802" s="365" t="s">
        <v>205</v>
      </c>
      <c r="M2802" s="54"/>
      <c r="N2802" s="54"/>
      <c r="O2802" s="336"/>
      <c r="P2802" s="334"/>
      <c r="Q2802" s="335"/>
      <c r="R2802" s="336"/>
      <c r="S2802" s="337"/>
    </row>
    <row r="2803" spans="1:19" ht="30" customHeight="1" thickBot="1" x14ac:dyDescent="0.3">
      <c r="A2803" s="365"/>
      <c r="B2803" s="365"/>
      <c r="C2803" s="366"/>
      <c r="D2803" s="366"/>
      <c r="E2803" s="366"/>
      <c r="F2803" s="366"/>
      <c r="G2803" s="580" t="s">
        <v>306</v>
      </c>
      <c r="H2803" s="366"/>
      <c r="I2803" s="366"/>
      <c r="J2803" s="521">
        <f>VLOOKUP(B2797,'Mil Cost Premiums for PUCs'!$A$4:$R$277,18,FALSE)</f>
        <v>1.0905505199999999</v>
      </c>
      <c r="K2803" s="246">
        <f>+K2802*J2803</f>
        <v>31.409089561494334</v>
      </c>
      <c r="L2803" s="365" t="s">
        <v>205</v>
      </c>
      <c r="M2803" s="54"/>
      <c r="N2803" s="54"/>
      <c r="O2803" s="336"/>
      <c r="P2803" s="334"/>
      <c r="Q2803" s="335"/>
      <c r="R2803" s="336"/>
      <c r="S2803" s="337"/>
    </row>
    <row r="2804" spans="1:19" ht="30" customHeight="1" thickBot="1" x14ac:dyDescent="0.3">
      <c r="A2804" s="1180"/>
      <c r="B2804" s="1181"/>
      <c r="C2804" s="1181"/>
      <c r="D2804" s="1181"/>
      <c r="E2804" s="1181"/>
      <c r="F2804" s="1181"/>
      <c r="G2804" s="1181"/>
      <c r="H2804" s="1181"/>
      <c r="I2804" s="1181"/>
      <c r="J2804" s="1181"/>
      <c r="K2804" s="1181"/>
      <c r="L2804" s="1182"/>
      <c r="M2804" s="54"/>
      <c r="N2804" s="54"/>
      <c r="O2804" s="336"/>
      <c r="P2804" s="334"/>
      <c r="Q2804" s="335"/>
      <c r="R2804" s="336"/>
      <c r="S2804" s="337"/>
    </row>
    <row r="2805" spans="1:19" ht="30" customHeight="1" x14ac:dyDescent="0.25">
      <c r="A2805" s="327" t="s">
        <v>5</v>
      </c>
      <c r="B2805" s="328">
        <v>4427</v>
      </c>
      <c r="C2805" s="1218" t="s">
        <v>1689</v>
      </c>
      <c r="D2805" s="1219"/>
      <c r="E2805" s="331" t="s">
        <v>8</v>
      </c>
      <c r="F2805" s="332" t="s">
        <v>205</v>
      </c>
      <c r="G2805" s="342" t="s">
        <v>74</v>
      </c>
      <c r="H2805" s="248">
        <v>2572</v>
      </c>
      <c r="I2805" s="331" t="s">
        <v>10</v>
      </c>
      <c r="J2805" s="1220" t="s">
        <v>281</v>
      </c>
      <c r="K2805" s="1220"/>
      <c r="L2805" s="1221"/>
      <c r="M2805" s="54"/>
      <c r="N2805" s="54"/>
      <c r="O2805" s="336"/>
      <c r="P2805" s="334"/>
      <c r="Q2805" s="335"/>
      <c r="R2805" s="336"/>
      <c r="S2805" s="337"/>
    </row>
    <row r="2806" spans="1:19" ht="30" customHeight="1" x14ac:dyDescent="0.25">
      <c r="A2806" s="356" t="s">
        <v>282</v>
      </c>
      <c r="B2806" s="1163" t="s">
        <v>13</v>
      </c>
      <c r="C2806" s="1163"/>
      <c r="D2806" s="1163"/>
      <c r="E2806" s="357" t="s">
        <v>283</v>
      </c>
      <c r="F2806" s="546" t="s">
        <v>116</v>
      </c>
      <c r="G2806" s="356"/>
      <c r="H2806" s="356"/>
      <c r="I2806" s="1276" t="s">
        <v>539</v>
      </c>
      <c r="J2806" s="1277"/>
      <c r="K2806" s="1236" t="s">
        <v>285</v>
      </c>
      <c r="L2806" s="1237"/>
      <c r="M2806" s="54"/>
      <c r="N2806" s="111"/>
      <c r="O2806" s="336"/>
      <c r="P2806" s="334"/>
      <c r="Q2806" s="335"/>
      <c r="R2806" s="336"/>
      <c r="S2806" s="337"/>
    </row>
    <row r="2807" spans="1:19" ht="30" customHeight="1" x14ac:dyDescent="0.25">
      <c r="A2807" s="367" t="s">
        <v>286</v>
      </c>
      <c r="B2807" s="1164" t="s">
        <v>1690</v>
      </c>
      <c r="C2807" s="1164"/>
      <c r="D2807" s="1164"/>
      <c r="E2807" s="547">
        <v>10000</v>
      </c>
      <c r="F2807" s="240">
        <v>351</v>
      </c>
      <c r="G2807" s="548"/>
      <c r="H2807" s="549"/>
      <c r="I2807" s="1302" t="s">
        <v>288</v>
      </c>
      <c r="J2807" s="1303"/>
      <c r="K2807" s="240">
        <f>+F2807</f>
        <v>351</v>
      </c>
      <c r="L2807" s="367" t="s">
        <v>205</v>
      </c>
      <c r="M2807" s="54"/>
      <c r="N2807" s="54"/>
      <c r="O2807" s="336"/>
      <c r="P2807" s="334"/>
      <c r="Q2807" s="335"/>
      <c r="R2807" s="336"/>
      <c r="S2807" s="337"/>
    </row>
    <row r="2808" spans="1:19" ht="30" customHeight="1" thickBot="1" x14ac:dyDescent="0.3">
      <c r="A2808" s="365"/>
      <c r="B2808" s="1281"/>
      <c r="C2808" s="1281"/>
      <c r="D2808" s="1281"/>
      <c r="E2808" s="550"/>
      <c r="F2808" s="551"/>
      <c r="G2808" s="551"/>
      <c r="H2808" s="552"/>
      <c r="I2808" s="366"/>
      <c r="J2808" s="359" t="s">
        <v>72</v>
      </c>
      <c r="K2808" s="246">
        <f>+K2807</f>
        <v>351</v>
      </c>
      <c r="L2808" s="365" t="s">
        <v>205</v>
      </c>
      <c r="M2808" s="54"/>
      <c r="N2808" s="54"/>
      <c r="O2808" s="336"/>
      <c r="P2808" s="334"/>
      <c r="Q2808" s="335"/>
      <c r="R2808" s="336"/>
      <c r="S2808" s="337"/>
    </row>
    <row r="2809" spans="1:19" ht="30" customHeight="1" thickBot="1" x14ac:dyDescent="0.3">
      <c r="A2809" s="1180"/>
      <c r="B2809" s="1181"/>
      <c r="C2809" s="1181"/>
      <c r="D2809" s="1181"/>
      <c r="E2809" s="1181"/>
      <c r="F2809" s="1181"/>
      <c r="G2809" s="1181"/>
      <c r="H2809" s="1181"/>
      <c r="I2809" s="1181"/>
      <c r="J2809" s="1181"/>
      <c r="K2809" s="1181"/>
      <c r="L2809" s="1182"/>
      <c r="M2809" s="54"/>
      <c r="N2809" s="54"/>
      <c r="O2809" s="336"/>
      <c r="P2809" s="334"/>
      <c r="Q2809" s="335"/>
      <c r="R2809" s="336"/>
      <c r="S2809" s="337"/>
    </row>
    <row r="2810" spans="1:19" ht="30" customHeight="1" x14ac:dyDescent="0.25">
      <c r="A2810" s="327" t="s">
        <v>5</v>
      </c>
      <c r="B2810" s="328">
        <v>4428</v>
      </c>
      <c r="C2810" s="1251" t="s">
        <v>1691</v>
      </c>
      <c r="D2810" s="1252"/>
      <c r="E2810" s="331" t="s">
        <v>8</v>
      </c>
      <c r="F2810" s="332" t="s">
        <v>205</v>
      </c>
      <c r="G2810" s="342" t="s">
        <v>74</v>
      </c>
      <c r="H2810" s="653">
        <v>13404</v>
      </c>
      <c r="I2810" s="331" t="s">
        <v>10</v>
      </c>
      <c r="J2810" s="1220" t="s">
        <v>294</v>
      </c>
      <c r="K2810" s="1220"/>
      <c r="L2810" s="1221"/>
      <c r="M2810" s="54"/>
      <c r="N2810" s="54"/>
      <c r="O2810" s="336"/>
      <c r="P2810" s="334"/>
      <c r="Q2810" s="335"/>
      <c r="R2810" s="336"/>
      <c r="S2810" s="337"/>
    </row>
    <row r="2811" spans="1:19" ht="30" customHeight="1" x14ac:dyDescent="0.25">
      <c r="A2811" s="359" t="s">
        <v>295</v>
      </c>
      <c r="B2811" s="1222" t="s">
        <v>326</v>
      </c>
      <c r="C2811" s="1235"/>
      <c r="D2811" s="1223"/>
      <c r="E2811" s="577" t="s">
        <v>116</v>
      </c>
      <c r="F2811" s="577" t="s">
        <v>117</v>
      </c>
      <c r="G2811" s="1194">
        <v>87.5</v>
      </c>
      <c r="H2811" s="1195"/>
      <c r="I2811" s="356" t="s">
        <v>296</v>
      </c>
      <c r="J2811" s="356"/>
      <c r="K2811" s="1236" t="s">
        <v>285</v>
      </c>
      <c r="L2811" s="1237"/>
      <c r="M2811" s="54"/>
      <c r="N2811" s="54"/>
      <c r="O2811" s="554"/>
      <c r="P2811" s="334"/>
      <c r="Q2811" s="335"/>
      <c r="R2811" s="336"/>
      <c r="S2811" s="337"/>
    </row>
    <row r="2812" spans="1:19" ht="30" customHeight="1" x14ac:dyDescent="0.25">
      <c r="A2812" s="365" t="s">
        <v>1692</v>
      </c>
      <c r="B2812" s="1214" t="s">
        <v>1693</v>
      </c>
      <c r="C2812" s="1215"/>
      <c r="D2812" s="1216"/>
      <c r="E2812" s="247">
        <v>87.5</v>
      </c>
      <c r="F2812" s="365" t="s">
        <v>205</v>
      </c>
      <c r="G2812" s="365"/>
      <c r="H2812" s="365"/>
      <c r="I2812" s="706">
        <v>1.18</v>
      </c>
      <c r="J2812" s="365"/>
      <c r="K2812" s="247">
        <f>+E2812*I2812</f>
        <v>103.25</v>
      </c>
      <c r="L2812" s="365" t="s">
        <v>205</v>
      </c>
      <c r="M2812" s="54"/>
      <c r="N2812" s="54"/>
      <c r="O2812" s="554"/>
      <c r="P2812" s="334"/>
      <c r="Q2812" s="335"/>
      <c r="R2812" s="336"/>
      <c r="S2812" s="337"/>
    </row>
    <row r="2813" spans="1:19" ht="30" customHeight="1" x14ac:dyDescent="0.25">
      <c r="A2813" s="365" t="s">
        <v>1694</v>
      </c>
      <c r="B2813" s="1214" t="s">
        <v>1695</v>
      </c>
      <c r="C2813" s="1215"/>
      <c r="D2813" s="1215"/>
      <c r="E2813" s="247">
        <v>3.42</v>
      </c>
      <c r="F2813" s="365" t="s">
        <v>205</v>
      </c>
      <c r="G2813" s="366"/>
      <c r="H2813" s="662"/>
      <c r="I2813" s="706">
        <v>1.18</v>
      </c>
      <c r="J2813" s="365"/>
      <c r="K2813" s="247">
        <f>+E2813*I2813</f>
        <v>4.0355999999999996</v>
      </c>
      <c r="L2813" s="365" t="s">
        <v>205</v>
      </c>
      <c r="M2813" s="54"/>
      <c r="N2813" s="54"/>
      <c r="O2813" s="336"/>
      <c r="P2813" s="334"/>
      <c r="Q2813" s="335"/>
      <c r="R2813" s="336"/>
      <c r="S2813" s="337"/>
    </row>
    <row r="2814" spans="1:19" ht="30" customHeight="1" x14ac:dyDescent="0.25">
      <c r="A2814" s="365"/>
      <c r="B2814" s="1209"/>
      <c r="C2814" s="1210"/>
      <c r="D2814" s="1211"/>
      <c r="E2814" s="247"/>
      <c r="F2814" s="661"/>
      <c r="G2814" s="366"/>
      <c r="H2814" s="662"/>
      <c r="I2814" s="365"/>
      <c r="J2814" s="365" t="s">
        <v>343</v>
      </c>
      <c r="K2814" s="247">
        <f>SUM(K2812:K2813)</f>
        <v>107.2856</v>
      </c>
      <c r="L2814" s="365" t="s">
        <v>205</v>
      </c>
      <c r="M2814" s="54"/>
      <c r="N2814" s="54"/>
      <c r="O2814" s="336"/>
      <c r="P2814" s="334"/>
      <c r="Q2814" s="335"/>
      <c r="R2814" s="336"/>
      <c r="S2814" s="337"/>
    </row>
    <row r="2815" spans="1:19" ht="30" customHeight="1" x14ac:dyDescent="0.25">
      <c r="A2815" s="365"/>
      <c r="B2815" s="1311" t="s">
        <v>1696</v>
      </c>
      <c r="C2815" s="1312"/>
      <c r="D2815" s="1313"/>
      <c r="E2815" s="247"/>
      <c r="F2815" s="1272" t="s">
        <v>303</v>
      </c>
      <c r="G2815" s="1283" t="s">
        <v>304</v>
      </c>
      <c r="H2815" s="1283"/>
      <c r="I2815" s="1283"/>
      <c r="J2815" s="1283"/>
      <c r="K2815" s="706">
        <f>(1.05+1.08)/2</f>
        <v>1.0649999999999999</v>
      </c>
      <c r="L2815" s="365"/>
      <c r="M2815" s="54"/>
      <c r="N2815" s="54"/>
      <c r="O2815" s="336"/>
      <c r="P2815" s="334"/>
      <c r="Q2815" s="335"/>
      <c r="R2815" s="336"/>
      <c r="S2815" s="337"/>
    </row>
    <row r="2816" spans="1:19" ht="30" customHeight="1" x14ac:dyDescent="0.25">
      <c r="A2816" s="365"/>
      <c r="B2816" s="578"/>
      <c r="C2816" s="578"/>
      <c r="D2816" s="578"/>
      <c r="E2816" s="247"/>
      <c r="F2816" s="1273"/>
      <c r="G2816" s="1284" t="s">
        <v>305</v>
      </c>
      <c r="H2816" s="1284"/>
      <c r="I2816" s="1284"/>
      <c r="J2816" s="1284"/>
      <c r="K2816" s="250">
        <v>1.06</v>
      </c>
      <c r="L2816" s="365"/>
      <c r="M2816" s="54"/>
      <c r="N2816" s="54"/>
      <c r="O2816" s="336"/>
      <c r="P2816" s="334"/>
      <c r="Q2816" s="335"/>
      <c r="R2816" s="336"/>
      <c r="S2816" s="337"/>
    </row>
    <row r="2817" spans="1:19" ht="30" customHeight="1" x14ac:dyDescent="0.25">
      <c r="A2817" s="365"/>
      <c r="B2817" s="365"/>
      <c r="C2817" s="366"/>
      <c r="D2817" s="366"/>
      <c r="E2817" s="366"/>
      <c r="F2817" s="366"/>
      <c r="G2817" s="366"/>
      <c r="H2817" s="366"/>
      <c r="I2817" s="366"/>
      <c r="J2817" s="365" t="s">
        <v>72</v>
      </c>
      <c r="K2817" s="246">
        <f>+K2814*K2815/K2816</f>
        <v>107.79166415094339</v>
      </c>
      <c r="L2817" s="365" t="s">
        <v>205</v>
      </c>
      <c r="M2817" s="54"/>
      <c r="N2817" s="54"/>
      <c r="O2817" s="336"/>
      <c r="P2817" s="334"/>
      <c r="Q2817" s="335"/>
      <c r="R2817" s="336"/>
      <c r="S2817" s="337"/>
    </row>
    <row r="2818" spans="1:19" ht="30" customHeight="1" thickBot="1" x14ac:dyDescent="0.3">
      <c r="A2818" s="365"/>
      <c r="B2818" s="365"/>
      <c r="C2818" s="366"/>
      <c r="D2818" s="366"/>
      <c r="E2818" s="366"/>
      <c r="F2818" s="366"/>
      <c r="G2818" s="366"/>
      <c r="H2818" s="366"/>
      <c r="I2818" s="877" t="s">
        <v>306</v>
      </c>
      <c r="J2818" s="521">
        <f>VLOOKUP(B2810,'Mil Cost Premiums for PUCs'!$A$4:$R$277,18,FALSE)</f>
        <v>1.1025891562650529</v>
      </c>
      <c r="K2818" s="246">
        <f>+K2817*J2818</f>
        <v>118.84992002859462</v>
      </c>
      <c r="L2818" s="365" t="s">
        <v>205</v>
      </c>
      <c r="M2818" s="54"/>
      <c r="N2818" s="54"/>
      <c r="O2818" s="336"/>
      <c r="P2818" s="334"/>
      <c r="Q2818" s="335"/>
      <c r="R2818" s="336"/>
      <c r="S2818" s="337"/>
    </row>
    <row r="2819" spans="1:19" ht="30" customHeight="1" thickBot="1" x14ac:dyDescent="0.3">
      <c r="A2819" s="1180"/>
      <c r="B2819" s="1181"/>
      <c r="C2819" s="1181"/>
      <c r="D2819" s="1181"/>
      <c r="E2819" s="1181"/>
      <c r="F2819" s="1181"/>
      <c r="G2819" s="1181"/>
      <c r="H2819" s="1181"/>
      <c r="I2819" s="1181"/>
      <c r="J2819" s="1181"/>
      <c r="K2819" s="1181"/>
      <c r="L2819" s="1182"/>
      <c r="M2819" s="54"/>
      <c r="N2819" s="54"/>
      <c r="O2819" s="340"/>
      <c r="P2819" s="334"/>
      <c r="Q2819" s="335"/>
      <c r="R2819" s="336"/>
      <c r="S2819" s="337"/>
    </row>
    <row r="2820" spans="1:19" ht="30" customHeight="1" x14ac:dyDescent="0.25">
      <c r="A2820" s="327" t="s">
        <v>5</v>
      </c>
      <c r="B2820" s="328">
        <v>4511</v>
      </c>
      <c r="C2820" s="1251" t="s">
        <v>1697</v>
      </c>
      <c r="D2820" s="1252"/>
      <c r="E2820" s="331" t="s">
        <v>8</v>
      </c>
      <c r="F2820" s="332" t="s">
        <v>9</v>
      </c>
      <c r="G2820" s="342" t="s">
        <v>74</v>
      </c>
      <c r="H2820" s="653">
        <v>10261</v>
      </c>
      <c r="I2820" s="331" t="s">
        <v>10</v>
      </c>
      <c r="J2820" s="1220" t="s">
        <v>294</v>
      </c>
      <c r="K2820" s="1220"/>
      <c r="L2820" s="1221"/>
      <c r="M2820" s="54"/>
      <c r="N2820" s="54"/>
      <c r="O2820" s="336"/>
      <c r="P2820" s="334"/>
      <c r="Q2820" s="335"/>
      <c r="R2820" s="336"/>
      <c r="S2820" s="337"/>
    </row>
    <row r="2821" spans="1:19" ht="30" customHeight="1" x14ac:dyDescent="0.25">
      <c r="A2821" s="359" t="s">
        <v>295</v>
      </c>
      <c r="B2821" s="1222" t="s">
        <v>326</v>
      </c>
      <c r="C2821" s="1235"/>
      <c r="D2821" s="1223"/>
      <c r="E2821" s="577" t="s">
        <v>116</v>
      </c>
      <c r="F2821" s="577" t="s">
        <v>117</v>
      </c>
      <c r="G2821" s="1194" t="s">
        <v>118</v>
      </c>
      <c r="H2821" s="1195"/>
      <c r="I2821" s="356" t="s">
        <v>296</v>
      </c>
      <c r="J2821" s="356"/>
      <c r="K2821" s="1236" t="s">
        <v>285</v>
      </c>
      <c r="L2821" s="1237"/>
      <c r="M2821" s="111"/>
      <c r="N2821" s="54"/>
      <c r="O2821" s="340"/>
      <c r="P2821" s="334"/>
      <c r="Q2821" s="335"/>
      <c r="R2821" s="336"/>
      <c r="S2821" s="337"/>
    </row>
    <row r="2822" spans="1:19" ht="30" customHeight="1" x14ac:dyDescent="0.25">
      <c r="A2822" s="365" t="s">
        <v>339</v>
      </c>
      <c r="B2822" s="1214" t="s">
        <v>1623</v>
      </c>
      <c r="C2822" s="1215"/>
      <c r="D2822" s="1216"/>
      <c r="E2822" s="247">
        <v>0.78</v>
      </c>
      <c r="F2822" s="365" t="s">
        <v>205</v>
      </c>
      <c r="G2822" s="365">
        <v>9</v>
      </c>
      <c r="H2822" s="365" t="s">
        <v>1624</v>
      </c>
      <c r="I2822" s="706">
        <v>1.21</v>
      </c>
      <c r="J2822" s="365"/>
      <c r="K2822" s="247">
        <f>+E2822*I2822*G2822</f>
        <v>8.4941999999999993</v>
      </c>
      <c r="L2822" s="365" t="s">
        <v>9</v>
      </c>
      <c r="M2822" s="54"/>
      <c r="N2822" s="54"/>
      <c r="P2822" s="334"/>
      <c r="Q2822" s="335"/>
      <c r="R2822" s="336"/>
      <c r="S2822" s="337"/>
    </row>
    <row r="2823" spans="1:19" ht="30" customHeight="1" x14ac:dyDescent="0.25">
      <c r="A2823" s="365" t="s">
        <v>339</v>
      </c>
      <c r="B2823" s="1209" t="s">
        <v>1625</v>
      </c>
      <c r="C2823" s="1210"/>
      <c r="D2823" s="1211"/>
      <c r="E2823" s="894">
        <v>2.29</v>
      </c>
      <c r="F2823" s="365" t="s">
        <v>205</v>
      </c>
      <c r="G2823" s="365">
        <v>9</v>
      </c>
      <c r="H2823" s="365" t="s">
        <v>1624</v>
      </c>
      <c r="I2823" s="706">
        <v>1.21</v>
      </c>
      <c r="J2823" s="365"/>
      <c r="K2823" s="247">
        <f>+E2823*I2823*G2823</f>
        <v>24.938100000000002</v>
      </c>
      <c r="L2823" s="365" t="s">
        <v>9</v>
      </c>
      <c r="M2823" s="54"/>
      <c r="N2823" s="54"/>
      <c r="O2823" s="336"/>
      <c r="P2823" s="334"/>
      <c r="Q2823" s="335"/>
      <c r="R2823" s="336"/>
      <c r="S2823" s="337"/>
    </row>
    <row r="2824" spans="1:19" ht="30" customHeight="1" x14ac:dyDescent="0.25">
      <c r="A2824" s="365" t="s">
        <v>339</v>
      </c>
      <c r="B2824" s="1214" t="s">
        <v>1626</v>
      </c>
      <c r="C2824" s="1215"/>
      <c r="D2824" s="1215"/>
      <c r="E2824" s="247">
        <v>4.07</v>
      </c>
      <c r="F2824" s="661" t="s">
        <v>205</v>
      </c>
      <c r="G2824" s="365">
        <v>9</v>
      </c>
      <c r="H2824" s="365" t="s">
        <v>1624</v>
      </c>
      <c r="I2824" s="706">
        <v>1.21</v>
      </c>
      <c r="J2824" s="365"/>
      <c r="K2824" s="247">
        <f>+E2824*I2824*G2824</f>
        <v>44.322300000000006</v>
      </c>
      <c r="L2824" s="365" t="s">
        <v>9</v>
      </c>
      <c r="M2824" s="54"/>
      <c r="N2824" s="54"/>
      <c r="O2824" s="336"/>
      <c r="P2824" s="334"/>
      <c r="Q2824" s="335"/>
      <c r="R2824" s="336"/>
      <c r="S2824" s="337"/>
    </row>
    <row r="2825" spans="1:19" ht="30" customHeight="1" x14ac:dyDescent="0.25">
      <c r="A2825" s="365"/>
      <c r="B2825" s="1209"/>
      <c r="C2825" s="1210"/>
      <c r="D2825" s="1211"/>
      <c r="E2825" s="247"/>
      <c r="F2825" s="365"/>
      <c r="G2825" s="366"/>
      <c r="H2825" s="1316" t="s">
        <v>1698</v>
      </c>
      <c r="I2825" s="1317"/>
      <c r="J2825" s="1318"/>
      <c r="K2825" s="588">
        <f>AVERAGE(K2823:K2824)</f>
        <v>34.630200000000002</v>
      </c>
      <c r="L2825" s="365" t="s">
        <v>9</v>
      </c>
      <c r="M2825" s="54"/>
      <c r="N2825" s="54"/>
      <c r="O2825" s="336"/>
      <c r="P2825" s="334"/>
      <c r="Q2825" s="335"/>
      <c r="R2825" s="336"/>
      <c r="S2825" s="337"/>
    </row>
    <row r="2826" spans="1:19" ht="30" customHeight="1" x14ac:dyDescent="0.25">
      <c r="A2826" s="365"/>
      <c r="B2826" s="1375"/>
      <c r="C2826" s="1376"/>
      <c r="D2826" s="1377"/>
      <c r="E2826" s="247"/>
      <c r="F2826" s="661"/>
      <c r="G2826" s="365"/>
      <c r="H2826" s="365"/>
      <c r="I2826" s="365"/>
      <c r="J2826" s="365" t="s">
        <v>343</v>
      </c>
      <c r="K2826" s="247">
        <f>+K2825+K2822</f>
        <v>43.124400000000001</v>
      </c>
      <c r="L2826" s="365" t="s">
        <v>9</v>
      </c>
      <c r="M2826" s="54"/>
      <c r="N2826" s="54"/>
      <c r="O2826" s="336"/>
      <c r="P2826" s="334"/>
      <c r="Q2826" s="335"/>
      <c r="R2826" s="336"/>
      <c r="S2826" s="337"/>
    </row>
    <row r="2827" spans="1:19" ht="30" customHeight="1" x14ac:dyDescent="0.25">
      <c r="A2827" s="365"/>
      <c r="B2827" s="578"/>
      <c r="C2827" s="578"/>
      <c r="D2827" s="578"/>
      <c r="E2827" s="247"/>
      <c r="F2827" s="1272" t="s">
        <v>303</v>
      </c>
      <c r="G2827" s="1283" t="s">
        <v>304</v>
      </c>
      <c r="H2827" s="1283"/>
      <c r="I2827" s="1283"/>
      <c r="J2827" s="1283"/>
      <c r="K2827" s="706">
        <v>1.06</v>
      </c>
      <c r="L2827" s="365"/>
      <c r="M2827" s="54"/>
      <c r="N2827" s="54"/>
      <c r="O2827" s="336"/>
      <c r="P2827" s="334"/>
      <c r="Q2827" s="335"/>
      <c r="R2827" s="336"/>
      <c r="S2827" s="337"/>
    </row>
    <row r="2828" spans="1:19" ht="30" customHeight="1" x14ac:dyDescent="0.25">
      <c r="A2828" s="365"/>
      <c r="B2828" s="578"/>
      <c r="C2828" s="578"/>
      <c r="D2828" s="578"/>
      <c r="E2828" s="247"/>
      <c r="F2828" s="1273"/>
      <c r="G2828" s="1284" t="s">
        <v>305</v>
      </c>
      <c r="H2828" s="1284"/>
      <c r="I2828" s="1284"/>
      <c r="J2828" s="1284"/>
      <c r="K2828" s="250">
        <v>1.06</v>
      </c>
      <c r="L2828" s="365"/>
      <c r="M2828" s="54"/>
      <c r="N2828" s="54"/>
      <c r="O2828" s="336"/>
      <c r="P2828" s="334"/>
      <c r="Q2828" s="335"/>
      <c r="R2828" s="336"/>
      <c r="S2828" s="337"/>
    </row>
    <row r="2829" spans="1:19" ht="30" customHeight="1" x14ac:dyDescent="0.25">
      <c r="A2829" s="365"/>
      <c r="B2829" s="1209"/>
      <c r="C2829" s="1210"/>
      <c r="D2829" s="1211"/>
      <c r="E2829" s="247"/>
      <c r="F2829" s="661"/>
      <c r="G2829" s="366"/>
      <c r="H2829" s="662"/>
      <c r="J2829" s="661" t="s">
        <v>72</v>
      </c>
      <c r="K2829" s="246">
        <f>+K2826*K2827/K2828</f>
        <v>43.124400000000001</v>
      </c>
      <c r="L2829" s="365" t="s">
        <v>9</v>
      </c>
      <c r="M2829" s="54"/>
      <c r="N2829" s="54"/>
      <c r="O2829" s="336"/>
      <c r="P2829" s="334"/>
      <c r="Q2829" s="335"/>
      <c r="R2829" s="336"/>
      <c r="S2829" s="337"/>
    </row>
    <row r="2830" spans="1:19" ht="30" customHeight="1" thickBot="1" x14ac:dyDescent="0.3">
      <c r="A2830" s="365"/>
      <c r="B2830" s="1209"/>
      <c r="C2830" s="1210"/>
      <c r="D2830" s="1211"/>
      <c r="E2830" s="247"/>
      <c r="F2830" s="661"/>
      <c r="G2830" s="580" t="s">
        <v>306</v>
      </c>
      <c r="H2830" s="662"/>
      <c r="I2830" s="661"/>
      <c r="J2830" s="521">
        <f>VLOOKUP(B2820,'Mil Cost Premiums for PUCs'!$A$4:$R$277,18,FALSE)</f>
        <v>1.0905505199999999</v>
      </c>
      <c r="K2830" s="246">
        <f>+K2829*J2830</f>
        <v>47.029336844687997</v>
      </c>
      <c r="L2830" s="365" t="s">
        <v>9</v>
      </c>
      <c r="M2830" s="54"/>
      <c r="N2830" s="54"/>
      <c r="O2830" s="336"/>
      <c r="P2830" s="334"/>
      <c r="Q2830" s="335"/>
      <c r="R2830" s="336"/>
      <c r="S2830" s="337"/>
    </row>
    <row r="2831" spans="1:19" ht="30" customHeight="1" thickBot="1" x14ac:dyDescent="0.3">
      <c r="A2831" s="1180"/>
      <c r="B2831" s="1181"/>
      <c r="C2831" s="1181"/>
      <c r="D2831" s="1181"/>
      <c r="E2831" s="1181"/>
      <c r="F2831" s="1181"/>
      <c r="G2831" s="1181"/>
      <c r="H2831" s="1181"/>
      <c r="I2831" s="1181"/>
      <c r="J2831" s="1181"/>
      <c r="K2831" s="1181"/>
      <c r="L2831" s="1182"/>
      <c r="M2831" s="54"/>
      <c r="N2831" s="54"/>
      <c r="P2831" s="334"/>
      <c r="Q2831" s="335"/>
      <c r="R2831" s="336"/>
      <c r="S2831" s="337"/>
    </row>
    <row r="2832" spans="1:19" ht="30" customHeight="1" x14ac:dyDescent="0.25">
      <c r="A2832" s="327" t="s">
        <v>5</v>
      </c>
      <c r="B2832" s="328">
        <v>4521</v>
      </c>
      <c r="C2832" s="1294" t="s">
        <v>1699</v>
      </c>
      <c r="D2832" s="1295"/>
      <c r="E2832" s="331" t="s">
        <v>8</v>
      </c>
      <c r="F2832" s="332" t="s">
        <v>9</v>
      </c>
      <c r="G2832" s="342" t="s">
        <v>74</v>
      </c>
      <c r="H2832" s="653">
        <v>13867</v>
      </c>
      <c r="I2832" s="331" t="s">
        <v>10</v>
      </c>
      <c r="J2832" s="1220" t="s">
        <v>294</v>
      </c>
      <c r="K2832" s="1220"/>
      <c r="L2832" s="1221"/>
      <c r="M2832" s="54"/>
      <c r="N2832" s="54"/>
      <c r="P2832" s="334"/>
      <c r="Q2832" s="335"/>
      <c r="R2832" s="336"/>
      <c r="S2832" s="337"/>
    </row>
    <row r="2833" spans="1:25" ht="30" customHeight="1" x14ac:dyDescent="0.25">
      <c r="A2833" s="359" t="s">
        <v>295</v>
      </c>
      <c r="B2833" s="1222" t="s">
        <v>326</v>
      </c>
      <c r="C2833" s="1235"/>
      <c r="D2833" s="1223"/>
      <c r="E2833" s="577" t="s">
        <v>116</v>
      </c>
      <c r="F2833" s="577" t="s">
        <v>117</v>
      </c>
      <c r="G2833" s="1194" t="s">
        <v>118</v>
      </c>
      <c r="H2833" s="1195"/>
      <c r="I2833" s="356" t="s">
        <v>296</v>
      </c>
      <c r="J2833" s="356"/>
      <c r="K2833" s="1236" t="s">
        <v>285</v>
      </c>
      <c r="L2833" s="1237"/>
      <c r="M2833" s="54"/>
      <c r="N2833" s="54"/>
      <c r="O2833" s="336"/>
      <c r="P2833" s="334"/>
      <c r="Q2833" s="335"/>
      <c r="R2833" s="336"/>
      <c r="S2833" s="337"/>
    </row>
    <row r="2834" spans="1:25" ht="30" customHeight="1" x14ac:dyDescent="0.25">
      <c r="A2834" s="365" t="s">
        <v>339</v>
      </c>
      <c r="B2834" s="1214" t="s">
        <v>1623</v>
      </c>
      <c r="C2834" s="1215"/>
      <c r="D2834" s="1216"/>
      <c r="E2834" s="247">
        <v>0.78</v>
      </c>
      <c r="F2834" s="365" t="s">
        <v>205</v>
      </c>
      <c r="G2834" s="365">
        <v>9</v>
      </c>
      <c r="H2834" s="365" t="s">
        <v>1624</v>
      </c>
      <c r="I2834" s="706">
        <v>1.21</v>
      </c>
      <c r="J2834" s="365"/>
      <c r="K2834" s="247">
        <f>+E2834*I2834*G2834</f>
        <v>8.4941999999999993</v>
      </c>
      <c r="L2834" s="365" t="s">
        <v>9</v>
      </c>
      <c r="M2834" s="54"/>
      <c r="N2834" s="54"/>
      <c r="O2834" s="336"/>
      <c r="P2834" s="334"/>
      <c r="Q2834" s="335"/>
      <c r="R2834" s="336"/>
      <c r="S2834" s="337"/>
    </row>
    <row r="2835" spans="1:25" ht="30" customHeight="1" x14ac:dyDescent="0.25">
      <c r="A2835" s="365" t="s">
        <v>339</v>
      </c>
      <c r="B2835" s="1209" t="s">
        <v>1625</v>
      </c>
      <c r="C2835" s="1210"/>
      <c r="D2835" s="1211"/>
      <c r="E2835" s="11">
        <v>2.29</v>
      </c>
      <c r="F2835" s="365" t="s">
        <v>205</v>
      </c>
      <c r="G2835" s="365">
        <v>9</v>
      </c>
      <c r="H2835" s="365" t="s">
        <v>1624</v>
      </c>
      <c r="I2835" s="706">
        <v>1.21</v>
      </c>
      <c r="J2835" s="365"/>
      <c r="K2835" s="247">
        <f>+E2835*I2835*G2835</f>
        <v>24.938100000000002</v>
      </c>
      <c r="L2835" s="365" t="s">
        <v>9</v>
      </c>
      <c r="M2835" s="54"/>
      <c r="N2835" s="54"/>
      <c r="O2835" s="336"/>
      <c r="P2835" s="334"/>
      <c r="Q2835" s="335"/>
      <c r="R2835" s="336"/>
      <c r="S2835" s="337"/>
    </row>
    <row r="2836" spans="1:25" ht="30" customHeight="1" x14ac:dyDescent="0.25">
      <c r="A2836" s="365" t="s">
        <v>339</v>
      </c>
      <c r="B2836" s="1214" t="s">
        <v>1626</v>
      </c>
      <c r="C2836" s="1215"/>
      <c r="D2836" s="1215"/>
      <c r="E2836" s="247">
        <v>4.07</v>
      </c>
      <c r="F2836" s="661" t="s">
        <v>205</v>
      </c>
      <c r="G2836" s="365">
        <v>9</v>
      </c>
      <c r="H2836" s="365" t="s">
        <v>1624</v>
      </c>
      <c r="I2836" s="706">
        <v>1.21</v>
      </c>
      <c r="J2836" s="365"/>
      <c r="K2836" s="247">
        <f>+E2836*I2836*G2836</f>
        <v>44.322300000000006</v>
      </c>
      <c r="L2836" s="365" t="s">
        <v>9</v>
      </c>
      <c r="M2836" s="111"/>
      <c r="N2836" s="54"/>
      <c r="O2836" s="336"/>
      <c r="P2836" s="334"/>
      <c r="Q2836" s="335"/>
      <c r="R2836" s="336"/>
      <c r="S2836" s="337"/>
    </row>
    <row r="2837" spans="1:25" ht="30" customHeight="1" x14ac:dyDescent="0.25">
      <c r="A2837" s="365"/>
      <c r="B2837" s="1209"/>
      <c r="C2837" s="1210"/>
      <c r="D2837" s="1211"/>
      <c r="E2837" s="247"/>
      <c r="F2837" s="365"/>
      <c r="G2837" s="366"/>
      <c r="H2837" s="1316" t="s">
        <v>1698</v>
      </c>
      <c r="I2837" s="1317"/>
      <c r="J2837" s="1318"/>
      <c r="K2837" s="588">
        <f>AVERAGE(K2835:K2836)</f>
        <v>34.630200000000002</v>
      </c>
      <c r="L2837" s="365" t="s">
        <v>9</v>
      </c>
      <c r="M2837" s="54"/>
      <c r="N2837" s="54"/>
      <c r="O2837" s="336"/>
      <c r="T2837" s="10"/>
    </row>
    <row r="2838" spans="1:25" ht="30" customHeight="1" x14ac:dyDescent="0.25">
      <c r="A2838" s="365"/>
      <c r="B2838" s="1375"/>
      <c r="C2838" s="1376"/>
      <c r="D2838" s="1377"/>
      <c r="E2838" s="247"/>
      <c r="F2838" s="661"/>
      <c r="G2838" s="365"/>
      <c r="H2838" s="365"/>
      <c r="I2838" s="365"/>
      <c r="J2838" s="365" t="s">
        <v>343</v>
      </c>
      <c r="K2838" s="247">
        <f>+K2837+K2834</f>
        <v>43.124400000000001</v>
      </c>
      <c r="L2838" s="365" t="s">
        <v>9</v>
      </c>
      <c r="M2838" s="54"/>
      <c r="N2838" s="54"/>
      <c r="O2838" s="336"/>
      <c r="T2838" s="10"/>
      <c r="U2838" s="10"/>
    </row>
    <row r="2839" spans="1:25" ht="30" customHeight="1" x14ac:dyDescent="0.25">
      <c r="A2839" s="365"/>
      <c r="B2839" s="578"/>
      <c r="C2839" s="578"/>
      <c r="D2839" s="578"/>
      <c r="E2839" s="247"/>
      <c r="F2839" s="1272" t="s">
        <v>303</v>
      </c>
      <c r="G2839" s="1283" t="s">
        <v>304</v>
      </c>
      <c r="H2839" s="1283"/>
      <c r="I2839" s="1283"/>
      <c r="J2839" s="1283"/>
      <c r="K2839" s="706">
        <v>1.06</v>
      </c>
      <c r="L2839" s="365"/>
      <c r="M2839" s="54"/>
      <c r="N2839" s="54"/>
      <c r="O2839" s="345"/>
      <c r="P2839" s="344"/>
      <c r="Q2839" s="345"/>
      <c r="R2839" s="345"/>
      <c r="S2839" s="345"/>
      <c r="T2839" s="345"/>
      <c r="U2839" s="10"/>
    </row>
    <row r="2840" spans="1:25" ht="30" customHeight="1" x14ac:dyDescent="0.25">
      <c r="A2840" s="365"/>
      <c r="B2840" s="578"/>
      <c r="C2840" s="578"/>
      <c r="D2840" s="578"/>
      <c r="E2840" s="247"/>
      <c r="F2840" s="1273"/>
      <c r="G2840" s="1284" t="s">
        <v>305</v>
      </c>
      <c r="H2840" s="1284"/>
      <c r="I2840" s="1284"/>
      <c r="J2840" s="1284"/>
      <c r="K2840" s="250">
        <v>1.06</v>
      </c>
      <c r="L2840" s="365"/>
      <c r="M2840" s="54"/>
      <c r="N2840" s="54"/>
      <c r="U2840" s="345"/>
      <c r="V2840" s="345"/>
      <c r="W2840" s="345"/>
      <c r="X2840" s="345"/>
      <c r="Y2840" s="345"/>
    </row>
    <row r="2841" spans="1:25" s="345" customFormat="1" ht="30" customHeight="1" x14ac:dyDescent="0.25">
      <c r="A2841" s="365"/>
      <c r="B2841" s="1209"/>
      <c r="C2841" s="1210"/>
      <c r="D2841" s="1211"/>
      <c r="E2841" s="247"/>
      <c r="F2841" s="661"/>
      <c r="G2841" s="366"/>
      <c r="H2841" s="662"/>
      <c r="I2841" s="1389" t="s">
        <v>72</v>
      </c>
      <c r="J2841" s="1240"/>
      <c r="K2841" s="246">
        <f>+K2838*K2839/K2840</f>
        <v>43.124400000000001</v>
      </c>
      <c r="L2841" s="365" t="s">
        <v>9</v>
      </c>
      <c r="M2841" s="54"/>
      <c r="N2841" s="54"/>
      <c r="O2841" s="543"/>
      <c r="P2841" s="340"/>
      <c r="Q2841" s="334"/>
      <c r="R2841" s="334"/>
      <c r="S2841" s="334"/>
      <c r="T2841" s="10"/>
      <c r="U2841" s="334"/>
      <c r="V2841" s="334"/>
      <c r="W2841" s="334"/>
      <c r="X2841" s="334"/>
      <c r="Y2841" s="334"/>
    </row>
    <row r="2842" spans="1:25" ht="30" customHeight="1" thickBot="1" x14ac:dyDescent="0.3">
      <c r="A2842" s="365"/>
      <c r="B2842" s="738"/>
      <c r="C2842" s="591"/>
      <c r="D2842" s="589"/>
      <c r="E2842" s="247"/>
      <c r="F2842" s="661"/>
      <c r="H2842" s="662"/>
      <c r="I2842" s="553" t="s">
        <v>414</v>
      </c>
      <c r="J2842" s="521">
        <f>VLOOKUP(B2832,'Mil Cost Premiums for PUCs'!$A$4:$R$277,18,FALSE)</f>
        <v>1.0905505199999999</v>
      </c>
      <c r="K2842" s="246">
        <f>+K2841*J2842</f>
        <v>47.029336844687997</v>
      </c>
      <c r="L2842" s="365" t="s">
        <v>9</v>
      </c>
      <c r="M2842" s="54"/>
      <c r="N2842" s="54"/>
      <c r="T2842" s="10"/>
      <c r="U2842" s="10"/>
    </row>
    <row r="2843" spans="1:25" ht="30" customHeight="1" thickBot="1" x14ac:dyDescent="0.3">
      <c r="A2843" s="1180"/>
      <c r="B2843" s="1181"/>
      <c r="C2843" s="1181"/>
      <c r="D2843" s="1181"/>
      <c r="E2843" s="1181"/>
      <c r="F2843" s="1181"/>
      <c r="G2843" s="1181"/>
      <c r="H2843" s="1181"/>
      <c r="I2843" s="1181"/>
      <c r="J2843" s="1181"/>
      <c r="K2843" s="1181"/>
      <c r="L2843" s="1182"/>
      <c r="M2843" s="54"/>
      <c r="N2843" s="54"/>
      <c r="T2843" s="10"/>
      <c r="U2843" s="10"/>
    </row>
    <row r="2844" spans="1:25" ht="30" customHeight="1" x14ac:dyDescent="0.25">
      <c r="A2844" s="327" t="s">
        <v>5</v>
      </c>
      <c r="B2844" s="328">
        <v>5100</v>
      </c>
      <c r="C2844" s="1218" t="s">
        <v>1700</v>
      </c>
      <c r="D2844" s="1219"/>
      <c r="E2844" s="331" t="s">
        <v>8</v>
      </c>
      <c r="F2844" s="332" t="s">
        <v>205</v>
      </c>
      <c r="G2844" s="342" t="s">
        <v>74</v>
      </c>
      <c r="H2844" s="160">
        <v>174570</v>
      </c>
      <c r="I2844" s="331" t="s">
        <v>10</v>
      </c>
      <c r="J2844" s="1220" t="s">
        <v>1130</v>
      </c>
      <c r="K2844" s="1220"/>
      <c r="L2844" s="1221"/>
      <c r="M2844" s="111"/>
      <c r="N2844" s="54"/>
      <c r="O2844" s="345"/>
      <c r="P2844" s="344"/>
      <c r="Q2844" s="345"/>
      <c r="R2844" s="345"/>
      <c r="S2844" s="345"/>
      <c r="T2844" s="345"/>
      <c r="U2844" s="10"/>
    </row>
    <row r="2845" spans="1:25" ht="30" customHeight="1" x14ac:dyDescent="0.25">
      <c r="A2845" s="356" t="s">
        <v>282</v>
      </c>
      <c r="B2845" s="1163" t="s">
        <v>13</v>
      </c>
      <c r="C2845" s="1163"/>
      <c r="D2845" s="1163"/>
      <c r="E2845" s="356" t="s">
        <v>283</v>
      </c>
      <c r="F2845" s="546" t="s">
        <v>116</v>
      </c>
      <c r="G2845" s="1314" t="s">
        <v>15</v>
      </c>
      <c r="H2845" s="1315"/>
      <c r="I2845" s="1276" t="s">
        <v>284</v>
      </c>
      <c r="J2845" s="1277"/>
      <c r="K2845" s="1236" t="s">
        <v>285</v>
      </c>
      <c r="L2845" s="1237"/>
      <c r="M2845" s="54"/>
      <c r="N2845" s="54"/>
      <c r="O2845" s="340"/>
      <c r="U2845" s="345"/>
      <c r="V2845" s="345"/>
      <c r="W2845" s="345"/>
      <c r="X2845" s="345"/>
      <c r="Y2845" s="345"/>
    </row>
    <row r="2846" spans="1:25" s="345" customFormat="1" ht="30" customHeight="1" x14ac:dyDescent="0.25">
      <c r="A2846" s="365">
        <v>51010</v>
      </c>
      <c r="B2846" s="1214" t="s">
        <v>1701</v>
      </c>
      <c r="C2846" s="1215"/>
      <c r="D2846" s="1216"/>
      <c r="E2846" s="257" t="s">
        <v>1702</v>
      </c>
      <c r="F2846" s="247">
        <v>458.11</v>
      </c>
      <c r="G2846" s="365" t="s">
        <v>205</v>
      </c>
      <c r="H2846" s="365"/>
      <c r="I2846" s="1183">
        <v>1.2561</v>
      </c>
      <c r="J2846" s="1184"/>
      <c r="K2846" s="253">
        <f>+F2846*I2846</f>
        <v>575.43197099999998</v>
      </c>
      <c r="L2846" s="367" t="s">
        <v>205</v>
      </c>
      <c r="M2846" s="54"/>
      <c r="N2846" s="54"/>
      <c r="O2846" s="543"/>
      <c r="P2846" s="340"/>
      <c r="Q2846" s="334"/>
      <c r="R2846" s="334"/>
      <c r="S2846" s="334"/>
      <c r="T2846" s="334"/>
      <c r="U2846" s="334"/>
      <c r="V2846" s="334"/>
      <c r="W2846" s="334"/>
      <c r="X2846" s="334"/>
      <c r="Y2846" s="334"/>
    </row>
    <row r="2847" spans="1:25" ht="30" customHeight="1" thickBot="1" x14ac:dyDescent="0.3">
      <c r="A2847" s="365"/>
      <c r="B2847" s="1214"/>
      <c r="C2847" s="1215"/>
      <c r="D2847" s="1216"/>
      <c r="E2847" s="333"/>
      <c r="F2847" s="744"/>
      <c r="G2847" s="333"/>
      <c r="H2847" s="729"/>
      <c r="I2847" s="366"/>
      <c r="J2847" s="359" t="s">
        <v>72</v>
      </c>
      <c r="K2847" s="243">
        <f>AVERAGE(K2846:K2846)</f>
        <v>575.43197099999998</v>
      </c>
      <c r="L2847" s="367" t="s">
        <v>205</v>
      </c>
      <c r="M2847" s="54"/>
      <c r="N2847" s="54"/>
      <c r="T2847" s="10"/>
    </row>
    <row r="2848" spans="1:25" ht="30" customHeight="1" thickBot="1" x14ac:dyDescent="0.3">
      <c r="A2848" s="1180"/>
      <c r="B2848" s="1181"/>
      <c r="C2848" s="1181"/>
      <c r="D2848" s="1181"/>
      <c r="E2848" s="1181"/>
      <c r="F2848" s="1181"/>
      <c r="G2848" s="1181"/>
      <c r="H2848" s="1181"/>
      <c r="I2848" s="1181"/>
      <c r="J2848" s="1181"/>
      <c r="K2848" s="1181"/>
      <c r="L2848" s="1182"/>
      <c r="M2848" s="54"/>
      <c r="N2848" s="54"/>
      <c r="T2848" s="10"/>
      <c r="U2848" s="10"/>
    </row>
    <row r="2849" spans="1:25" ht="30" customHeight="1" x14ac:dyDescent="0.25">
      <c r="A2849" s="327" t="s">
        <v>5</v>
      </c>
      <c r="B2849" s="328">
        <v>5302</v>
      </c>
      <c r="C2849" s="1251" t="s">
        <v>1703</v>
      </c>
      <c r="D2849" s="1252"/>
      <c r="E2849" s="331" t="s">
        <v>8</v>
      </c>
      <c r="F2849" s="332" t="s">
        <v>205</v>
      </c>
      <c r="G2849" s="342" t="s">
        <v>74</v>
      </c>
      <c r="H2849" s="653">
        <v>7432</v>
      </c>
      <c r="I2849" s="331" t="s">
        <v>10</v>
      </c>
      <c r="J2849" s="1220" t="s">
        <v>3388</v>
      </c>
      <c r="K2849" s="1220"/>
      <c r="L2849" s="1221"/>
      <c r="M2849" s="54"/>
      <c r="N2849" s="54"/>
      <c r="P2849" s="344"/>
      <c r="Q2849" s="345"/>
      <c r="R2849" s="345"/>
      <c r="S2849" s="345"/>
      <c r="T2849" s="345"/>
      <c r="U2849" s="10"/>
    </row>
    <row r="2850" spans="1:25" ht="30" customHeight="1" x14ac:dyDescent="0.25">
      <c r="A2850" s="359" t="s">
        <v>295</v>
      </c>
      <c r="B2850" s="1222" t="s">
        <v>326</v>
      </c>
      <c r="C2850" s="1235"/>
      <c r="D2850" s="1223"/>
      <c r="E2850" s="577" t="s">
        <v>116</v>
      </c>
      <c r="F2850" s="577" t="s">
        <v>117</v>
      </c>
      <c r="G2850" s="1194" t="s">
        <v>118</v>
      </c>
      <c r="H2850" s="1195"/>
      <c r="I2850" s="356" t="s">
        <v>296</v>
      </c>
      <c r="J2850" s="356"/>
      <c r="K2850" s="1236" t="s">
        <v>285</v>
      </c>
      <c r="L2850" s="1237"/>
      <c r="M2850" s="54"/>
      <c r="N2850" s="54"/>
      <c r="U2850" s="345"/>
      <c r="V2850" s="345"/>
      <c r="W2850" s="345"/>
      <c r="X2850" s="345"/>
      <c r="Y2850" s="345"/>
    </row>
    <row r="2851" spans="1:25" s="345" customFormat="1" ht="30" customHeight="1" x14ac:dyDescent="0.25">
      <c r="A2851" s="365" t="s">
        <v>411</v>
      </c>
      <c r="B2851" s="1209" t="s">
        <v>1704</v>
      </c>
      <c r="C2851" s="1210"/>
      <c r="D2851" s="1211"/>
      <c r="E2851" s="252">
        <v>242</v>
      </c>
      <c r="F2851" s="365" t="s">
        <v>205</v>
      </c>
      <c r="G2851" s="365"/>
      <c r="H2851" s="365"/>
      <c r="I2851" s="365">
        <v>1.03</v>
      </c>
      <c r="J2851" s="365"/>
      <c r="K2851" s="247">
        <f>+E2851*I2851</f>
        <v>249.26000000000002</v>
      </c>
      <c r="L2851" s="365" t="s">
        <v>205</v>
      </c>
      <c r="M2851" s="54"/>
      <c r="N2851" s="54"/>
      <c r="O2851" s="543"/>
      <c r="P2851" s="340"/>
      <c r="Q2851" s="334"/>
      <c r="R2851" s="334"/>
      <c r="S2851" s="334"/>
      <c r="T2851" s="334"/>
      <c r="U2851" s="334"/>
      <c r="V2851" s="334"/>
      <c r="W2851" s="334"/>
      <c r="X2851" s="334"/>
      <c r="Y2851" s="334"/>
    </row>
    <row r="2852" spans="1:25" ht="30" customHeight="1" x14ac:dyDescent="0.25">
      <c r="A2852" s="365" t="s">
        <v>406</v>
      </c>
      <c r="B2852" s="1214" t="s">
        <v>1366</v>
      </c>
      <c r="C2852" s="1215"/>
      <c r="D2852" s="1215"/>
      <c r="E2852" s="247">
        <v>4.38</v>
      </c>
      <c r="F2852" s="365" t="s">
        <v>205</v>
      </c>
      <c r="G2852" s="366"/>
      <c r="H2852" s="662"/>
      <c r="I2852" s="365">
        <v>1.03</v>
      </c>
      <c r="J2852" s="365"/>
      <c r="K2852" s="247">
        <f>+E2852*I2852</f>
        <v>4.5114000000000001</v>
      </c>
      <c r="L2852" s="365" t="s">
        <v>205</v>
      </c>
      <c r="M2852" s="54"/>
      <c r="N2852" s="54"/>
      <c r="T2852" s="10"/>
    </row>
    <row r="2853" spans="1:25" ht="30" customHeight="1" x14ac:dyDescent="0.25">
      <c r="A2853" s="365" t="s">
        <v>426</v>
      </c>
      <c r="B2853" s="1209" t="s">
        <v>1705</v>
      </c>
      <c r="C2853" s="1210"/>
      <c r="D2853" s="1211"/>
      <c r="E2853" s="247">
        <f>(20.3+31.5)/2</f>
        <v>25.9</v>
      </c>
      <c r="F2853" s="365" t="s">
        <v>205</v>
      </c>
      <c r="G2853" s="588">
        <f>81*E2853/H2849</f>
        <v>0.28227933261571586</v>
      </c>
      <c r="H2853" s="662" t="s">
        <v>1145</v>
      </c>
      <c r="I2853" s="365">
        <v>1.03</v>
      </c>
      <c r="J2853" s="365"/>
      <c r="K2853" s="247">
        <f t="shared" ref="K2853:K2858" si="55">+G2853*I2853</f>
        <v>0.29074771259418736</v>
      </c>
      <c r="L2853" s="365" t="s">
        <v>205</v>
      </c>
      <c r="M2853" s="54"/>
      <c r="N2853" s="54"/>
      <c r="T2853" s="10"/>
      <c r="U2853" s="10"/>
    </row>
    <row r="2854" spans="1:25" ht="30" customHeight="1" x14ac:dyDescent="0.25">
      <c r="A2854" s="365" t="s">
        <v>426</v>
      </c>
      <c r="B2854" s="1209" t="s">
        <v>1446</v>
      </c>
      <c r="C2854" s="1210"/>
      <c r="D2854" s="1211"/>
      <c r="E2854" s="247">
        <f>(1710+2420)/2</f>
        <v>2065</v>
      </c>
      <c r="F2854" s="365" t="s">
        <v>76</v>
      </c>
      <c r="G2854" s="246">
        <f>+E2854/H2849</f>
        <v>0.2778525296017223</v>
      </c>
      <c r="H2854" s="662" t="s">
        <v>1145</v>
      </c>
      <c r="I2854" s="365">
        <v>1.03</v>
      </c>
      <c r="J2854" s="365"/>
      <c r="K2854" s="247">
        <f t="shared" si="55"/>
        <v>0.28618810548977397</v>
      </c>
      <c r="L2854" s="365" t="s">
        <v>205</v>
      </c>
      <c r="M2854" s="54"/>
      <c r="N2854" s="54"/>
      <c r="P2854" s="344"/>
      <c r="Q2854" s="345"/>
      <c r="R2854" s="345"/>
      <c r="S2854" s="345"/>
      <c r="T2854" s="345"/>
      <c r="U2854" s="10"/>
    </row>
    <row r="2855" spans="1:25" ht="30" customHeight="1" x14ac:dyDescent="0.25">
      <c r="A2855" s="365" t="s">
        <v>430</v>
      </c>
      <c r="B2855" s="1214" t="s">
        <v>1675</v>
      </c>
      <c r="C2855" s="1215"/>
      <c r="D2855" s="1216"/>
      <c r="E2855" s="247">
        <f>+(34.5+82)/2</f>
        <v>58.25</v>
      </c>
      <c r="F2855" s="365" t="s">
        <v>40</v>
      </c>
      <c r="G2855" s="246">
        <f>10*E2855/H2849</f>
        <v>7.8377287405812707E-2</v>
      </c>
      <c r="H2855" s="662" t="s">
        <v>1145</v>
      </c>
      <c r="I2855" s="365">
        <v>1.03</v>
      </c>
      <c r="J2855" s="365"/>
      <c r="K2855" s="247">
        <f t="shared" si="55"/>
        <v>8.0728606027987093E-2</v>
      </c>
      <c r="L2855" s="365" t="s">
        <v>205</v>
      </c>
      <c r="M2855" s="54"/>
      <c r="N2855" s="54"/>
      <c r="U2855" s="345"/>
      <c r="V2855" s="345"/>
      <c r="W2855" s="345"/>
      <c r="X2855" s="345"/>
      <c r="Y2855" s="345"/>
    </row>
    <row r="2856" spans="1:25" s="345" customFormat="1" ht="30" customHeight="1" x14ac:dyDescent="0.25">
      <c r="A2856" s="365" t="s">
        <v>430</v>
      </c>
      <c r="B2856" s="561" t="s">
        <v>433</v>
      </c>
      <c r="C2856" s="562"/>
      <c r="D2856" s="563"/>
      <c r="E2856" s="247">
        <f>+(6450+12300)/2</f>
        <v>9375</v>
      </c>
      <c r="F2856" s="365" t="s">
        <v>76</v>
      </c>
      <c r="G2856" s="246">
        <f>+E2856/H2849</f>
        <v>1.2614370290635091</v>
      </c>
      <c r="H2856" s="662" t="s">
        <v>1145</v>
      </c>
      <c r="I2856" s="365">
        <v>1.03</v>
      </c>
      <c r="J2856" s="365"/>
      <c r="K2856" s="247">
        <f t="shared" si="55"/>
        <v>1.2992801399354144</v>
      </c>
      <c r="L2856" s="365" t="s">
        <v>205</v>
      </c>
      <c r="M2856" s="54"/>
      <c r="N2856" s="54"/>
      <c r="O2856" s="543"/>
      <c r="P2856" s="340"/>
      <c r="Q2856" s="334"/>
      <c r="R2856" s="334"/>
      <c r="S2856" s="334"/>
      <c r="T2856" s="334"/>
      <c r="U2856" s="334"/>
      <c r="V2856" s="334"/>
      <c r="W2856" s="334"/>
      <c r="X2856" s="334"/>
      <c r="Y2856" s="334"/>
    </row>
    <row r="2857" spans="1:25" ht="30" customHeight="1" x14ac:dyDescent="0.25">
      <c r="A2857" s="365" t="s">
        <v>430</v>
      </c>
      <c r="B2857" s="1214" t="s">
        <v>1676</v>
      </c>
      <c r="C2857" s="1215"/>
      <c r="D2857" s="1216"/>
      <c r="E2857" s="247">
        <f>+(660+1010)/2</f>
        <v>835</v>
      </c>
      <c r="F2857" s="365" t="s">
        <v>76</v>
      </c>
      <c r="G2857" s="246">
        <f>+E2857/H2849</f>
        <v>0.11235199138858988</v>
      </c>
      <c r="H2857" s="662" t="s">
        <v>1145</v>
      </c>
      <c r="I2857" s="365">
        <v>1.03</v>
      </c>
      <c r="J2857" s="365"/>
      <c r="K2857" s="247">
        <f t="shared" si="55"/>
        <v>0.11572255113024758</v>
      </c>
      <c r="L2857" s="365" t="s">
        <v>205</v>
      </c>
      <c r="M2857" s="54"/>
      <c r="N2857" s="54"/>
      <c r="O2857" s="340"/>
      <c r="T2857" s="10"/>
    </row>
    <row r="2858" spans="1:25" ht="30" customHeight="1" x14ac:dyDescent="0.25">
      <c r="A2858" s="365" t="s">
        <v>430</v>
      </c>
      <c r="B2858" s="1214" t="s">
        <v>435</v>
      </c>
      <c r="C2858" s="1215"/>
      <c r="D2858" s="1216"/>
      <c r="E2858" s="247">
        <f>+(1160+3475)/2</f>
        <v>2317.5</v>
      </c>
      <c r="F2858" s="365" t="s">
        <v>76</v>
      </c>
      <c r="G2858" s="246">
        <f>+E2858/H2849</f>
        <v>0.31182723358449949</v>
      </c>
      <c r="H2858" s="662" t="s">
        <v>1145</v>
      </c>
      <c r="I2858" s="365">
        <v>1.03</v>
      </c>
      <c r="J2858" s="365"/>
      <c r="K2858" s="247">
        <f t="shared" si="55"/>
        <v>0.32118205059203447</v>
      </c>
      <c r="L2858" s="365" t="s">
        <v>205</v>
      </c>
      <c r="M2858" s="54"/>
      <c r="N2858" s="54"/>
      <c r="T2858" s="10"/>
      <c r="U2858" s="10"/>
    </row>
    <row r="2859" spans="1:25" ht="30" customHeight="1" x14ac:dyDescent="0.25">
      <c r="A2859" s="365"/>
      <c r="B2859" s="1281"/>
      <c r="C2859" s="1281"/>
      <c r="D2859" s="1281"/>
      <c r="E2859" s="247"/>
      <c r="F2859" s="365"/>
      <c r="G2859" s="366"/>
      <c r="H2859" s="662"/>
      <c r="I2859" s="365"/>
      <c r="J2859" s="365" t="s">
        <v>343</v>
      </c>
      <c r="K2859" s="247">
        <f>SUM(K2851:K2858)</f>
        <v>256.16524916576969</v>
      </c>
      <c r="L2859" s="365" t="s">
        <v>205</v>
      </c>
      <c r="M2859" s="54"/>
      <c r="N2859" s="54"/>
      <c r="P2859" s="344"/>
      <c r="Q2859" s="345"/>
      <c r="R2859" s="345"/>
      <c r="S2859" s="345"/>
      <c r="T2859" s="345"/>
      <c r="U2859" s="10"/>
    </row>
    <row r="2860" spans="1:25" ht="30" customHeight="1" x14ac:dyDescent="0.25">
      <c r="A2860" s="365"/>
      <c r="B2860" s="578"/>
      <c r="C2860" s="578"/>
      <c r="D2860" s="578"/>
      <c r="E2860" s="247"/>
      <c r="F2860" s="1272" t="s">
        <v>303</v>
      </c>
      <c r="G2860" s="1283" t="s">
        <v>304</v>
      </c>
      <c r="H2860" s="1283"/>
      <c r="I2860" s="1283"/>
      <c r="J2860" s="1283"/>
      <c r="K2860" s="706">
        <f>(1.1+1.08)/2</f>
        <v>1.0900000000000001</v>
      </c>
      <c r="L2860" s="365"/>
      <c r="M2860" s="54"/>
      <c r="N2860" s="54"/>
      <c r="U2860" s="345"/>
      <c r="V2860" s="345"/>
      <c r="W2860" s="345"/>
      <c r="X2860" s="345"/>
      <c r="Y2860" s="345"/>
    </row>
    <row r="2861" spans="1:25" s="345" customFormat="1" ht="30" customHeight="1" x14ac:dyDescent="0.25">
      <c r="A2861" s="365"/>
      <c r="B2861" s="578"/>
      <c r="C2861" s="578"/>
      <c r="D2861" s="578"/>
      <c r="E2861" s="247"/>
      <c r="F2861" s="1273"/>
      <c r="H2861" s="1644" t="s">
        <v>438</v>
      </c>
      <c r="I2861" s="1645"/>
      <c r="J2861" s="1646"/>
      <c r="K2861" s="250">
        <v>1.08</v>
      </c>
      <c r="L2861" s="365"/>
      <c r="M2861" s="54"/>
      <c r="N2861" s="54"/>
      <c r="O2861" s="543"/>
      <c r="P2861" s="340"/>
      <c r="Q2861" s="334"/>
      <c r="R2861" s="334"/>
      <c r="S2861" s="334"/>
      <c r="T2861" s="334"/>
      <c r="U2861" s="334"/>
      <c r="V2861" s="334"/>
      <c r="W2861" s="334"/>
      <c r="X2861" s="334"/>
      <c r="Y2861" s="334"/>
    </row>
    <row r="2862" spans="1:25" ht="30" customHeight="1" x14ac:dyDescent="0.25">
      <c r="A2862" s="365"/>
      <c r="B2862" s="365"/>
      <c r="C2862" s="366"/>
      <c r="D2862" s="366"/>
      <c r="E2862" s="366"/>
      <c r="F2862" s="366"/>
      <c r="G2862" s="366"/>
      <c r="H2862" s="366"/>
      <c r="I2862" s="366"/>
      <c r="J2862" s="365" t="s">
        <v>72</v>
      </c>
      <c r="K2862" s="246">
        <f>+K2859*K2860/K2861</f>
        <v>258.53714962100827</v>
      </c>
      <c r="L2862" s="365" t="s">
        <v>205</v>
      </c>
      <c r="M2862" s="54"/>
      <c r="N2862" s="54"/>
      <c r="T2862" s="10"/>
    </row>
    <row r="2863" spans="1:25" ht="30" customHeight="1" x14ac:dyDescent="0.25">
      <c r="A2863" s="365"/>
      <c r="B2863" s="365"/>
      <c r="C2863" s="366"/>
      <c r="D2863" s="366"/>
      <c r="E2863" s="366"/>
      <c r="F2863" s="366"/>
      <c r="G2863" s="366"/>
      <c r="I2863" s="553" t="s">
        <v>414</v>
      </c>
      <c r="J2863" s="521">
        <f>VLOOKUP(B2849,'Mil Cost Premiums for PUCs'!$A$4:$R$277,18,FALSE)</f>
        <v>1.3319480854780448</v>
      </c>
      <c r="K2863" s="246">
        <f>+K2862*J2863</f>
        <v>344.35806146265276</v>
      </c>
      <c r="L2863" s="365" t="s">
        <v>205</v>
      </c>
      <c r="M2863" s="54"/>
      <c r="N2863" s="54"/>
      <c r="T2863" s="10"/>
      <c r="U2863" s="10"/>
    </row>
    <row r="2864" spans="1:25" ht="30" customHeight="1" x14ac:dyDescent="0.25">
      <c r="A2864" s="835"/>
      <c r="B2864" s="835"/>
      <c r="C2864" s="840"/>
      <c r="D2864" s="840"/>
      <c r="E2864" s="850"/>
      <c r="F2864" s="1278" t="s">
        <v>1148</v>
      </c>
      <c r="G2864" s="1278"/>
      <c r="H2864" s="1278"/>
      <c r="I2864" s="1278"/>
      <c r="J2864" s="845">
        <v>1.0833999999999999</v>
      </c>
      <c r="K2864" s="544">
        <f>K2863*J2864</f>
        <v>373.07752378863796</v>
      </c>
      <c r="L2864" s="365" t="s">
        <v>205</v>
      </c>
      <c r="N2864" s="54"/>
      <c r="O2864" s="336"/>
      <c r="P2864" s="334"/>
      <c r="Q2864" s="335"/>
      <c r="R2864" s="336"/>
      <c r="S2864" s="337"/>
    </row>
    <row r="2865" spans="1:25" ht="75" customHeight="1" x14ac:dyDescent="0.25">
      <c r="A2865" s="1230" t="s">
        <v>307</v>
      </c>
      <c r="B2865" s="1231"/>
      <c r="C2865" s="1231"/>
      <c r="D2865" s="1231"/>
      <c r="E2865" s="1231"/>
      <c r="F2865" s="1231"/>
      <c r="G2865" s="1231"/>
      <c r="H2865" s="1231"/>
      <c r="I2865" s="1231"/>
      <c r="J2865" s="1231"/>
      <c r="K2865" s="1231"/>
      <c r="L2865" s="1232"/>
      <c r="M2865" s="54"/>
      <c r="N2865" s="54"/>
      <c r="P2865" s="344"/>
      <c r="Q2865" s="345"/>
      <c r="R2865" s="345"/>
      <c r="S2865" s="345"/>
      <c r="T2865" s="345"/>
      <c r="U2865" s="10"/>
    </row>
    <row r="2866" spans="1:25" ht="30" customHeight="1" x14ac:dyDescent="0.25">
      <c r="A2866" s="1268" t="s">
        <v>308</v>
      </c>
      <c r="B2866" s="1167"/>
      <c r="C2866" s="1168"/>
      <c r="D2866" s="1230" t="s">
        <v>1706</v>
      </c>
      <c r="E2866" s="1231"/>
      <c r="F2866" s="1231"/>
      <c r="G2866" s="1231"/>
      <c r="H2866" s="1231"/>
      <c r="I2866" s="1231"/>
      <c r="J2866" s="1231"/>
      <c r="K2866" s="1231"/>
      <c r="L2866" s="1232"/>
      <c r="M2866" s="54"/>
      <c r="N2866" s="54"/>
      <c r="U2866" s="345"/>
      <c r="V2866" s="345"/>
      <c r="W2866" s="345"/>
      <c r="X2866" s="345"/>
      <c r="Y2866" s="345"/>
    </row>
    <row r="2867" spans="1:25" s="345" customFormat="1" ht="30" customHeight="1" x14ac:dyDescent="0.25">
      <c r="A2867" s="1268" t="s">
        <v>310</v>
      </c>
      <c r="B2867" s="1167"/>
      <c r="C2867" s="1168"/>
      <c r="D2867" s="1230" t="s">
        <v>1707</v>
      </c>
      <c r="E2867" s="1231"/>
      <c r="F2867" s="1231"/>
      <c r="G2867" s="1231"/>
      <c r="H2867" s="1231"/>
      <c r="I2867" s="1231"/>
      <c r="J2867" s="1231"/>
      <c r="K2867" s="1231"/>
      <c r="L2867" s="1232"/>
      <c r="M2867" s="54"/>
      <c r="N2867" s="54"/>
      <c r="O2867" s="543"/>
      <c r="P2867" s="340"/>
      <c r="Q2867" s="334"/>
      <c r="R2867" s="334"/>
      <c r="S2867" s="334"/>
      <c r="T2867" s="334"/>
      <c r="U2867" s="334"/>
      <c r="V2867" s="334"/>
      <c r="W2867" s="334"/>
      <c r="X2867" s="334"/>
      <c r="Y2867" s="334"/>
    </row>
    <row r="2868" spans="1:25" ht="30" customHeight="1" x14ac:dyDescent="0.25">
      <c r="A2868" s="1268" t="s">
        <v>312</v>
      </c>
      <c r="B2868" s="1167"/>
      <c r="C2868" s="1168"/>
      <c r="D2868" s="1230" t="s">
        <v>1708</v>
      </c>
      <c r="E2868" s="1231"/>
      <c r="F2868" s="1231"/>
      <c r="G2868" s="1231"/>
      <c r="H2868" s="1231"/>
      <c r="I2868" s="1231"/>
      <c r="J2868" s="1231"/>
      <c r="K2868" s="1231"/>
      <c r="L2868" s="1232"/>
      <c r="M2868" s="54"/>
      <c r="N2868" s="54"/>
      <c r="P2868" s="334"/>
      <c r="Q2868" s="335"/>
      <c r="R2868" s="336"/>
      <c r="S2868" s="337"/>
    </row>
    <row r="2869" spans="1:25" ht="45" customHeight="1" x14ac:dyDescent="0.25">
      <c r="A2869" s="1268" t="s">
        <v>314</v>
      </c>
      <c r="B2869" s="1167"/>
      <c r="C2869" s="1168"/>
      <c r="D2869" s="1230" t="s">
        <v>1405</v>
      </c>
      <c r="E2869" s="1231"/>
      <c r="F2869" s="1231"/>
      <c r="G2869" s="1231"/>
      <c r="H2869" s="1231"/>
      <c r="I2869" s="1231"/>
      <c r="J2869" s="1231"/>
      <c r="K2869" s="1231"/>
      <c r="L2869" s="1232"/>
      <c r="M2869" s="54"/>
      <c r="N2869" s="54"/>
      <c r="P2869" s="334"/>
      <c r="Q2869" s="335"/>
      <c r="R2869" s="336"/>
      <c r="S2869" s="337"/>
    </row>
    <row r="2870" spans="1:25" ht="45" customHeight="1" x14ac:dyDescent="0.25">
      <c r="A2870" s="1268" t="s">
        <v>316</v>
      </c>
      <c r="B2870" s="1167"/>
      <c r="C2870" s="1168"/>
      <c r="D2870" s="1230" t="s">
        <v>1709</v>
      </c>
      <c r="E2870" s="1231"/>
      <c r="F2870" s="1231"/>
      <c r="G2870" s="1231"/>
      <c r="H2870" s="1231"/>
      <c r="I2870" s="1231"/>
      <c r="J2870" s="1231"/>
      <c r="K2870" s="1231"/>
      <c r="L2870" s="1232"/>
      <c r="M2870" s="54"/>
      <c r="O2870" s="336"/>
      <c r="P2870" s="334"/>
      <c r="Q2870" s="335"/>
      <c r="R2870" s="336"/>
      <c r="S2870" s="337"/>
    </row>
    <row r="2871" spans="1:25" ht="30" customHeight="1" x14ac:dyDescent="0.25">
      <c r="A2871" s="1268" t="s">
        <v>318</v>
      </c>
      <c r="B2871" s="1167"/>
      <c r="C2871" s="1168"/>
      <c r="D2871" s="1230" t="s">
        <v>1710</v>
      </c>
      <c r="E2871" s="1231"/>
      <c r="F2871" s="1231"/>
      <c r="G2871" s="1231"/>
      <c r="H2871" s="1231"/>
      <c r="I2871" s="1231"/>
      <c r="J2871" s="1231"/>
      <c r="K2871" s="1231"/>
      <c r="L2871" s="1232"/>
      <c r="M2871" s="54"/>
      <c r="N2871" s="54"/>
      <c r="P2871" s="344"/>
      <c r="Q2871" s="345"/>
      <c r="R2871" s="345"/>
      <c r="S2871" s="345"/>
      <c r="T2871" s="345"/>
    </row>
    <row r="2872" spans="1:25" ht="30" customHeight="1" x14ac:dyDescent="0.25">
      <c r="A2872" s="1268" t="s">
        <v>320</v>
      </c>
      <c r="B2872" s="1167"/>
      <c r="C2872" s="1168"/>
      <c r="D2872" s="1230" t="s">
        <v>1407</v>
      </c>
      <c r="E2872" s="1231"/>
      <c r="F2872" s="1231"/>
      <c r="G2872" s="1231"/>
      <c r="H2872" s="1231"/>
      <c r="I2872" s="1231"/>
      <c r="J2872" s="1231"/>
      <c r="K2872" s="1231"/>
      <c r="L2872" s="1232"/>
      <c r="M2872" s="54"/>
      <c r="N2872" s="54"/>
      <c r="U2872" s="345"/>
      <c r="V2872" s="345"/>
      <c r="W2872" s="345"/>
      <c r="X2872" s="345"/>
      <c r="Y2872" s="345"/>
    </row>
    <row r="2873" spans="1:25" s="345" customFormat="1" ht="75" customHeight="1" x14ac:dyDescent="0.25">
      <c r="A2873" s="1268" t="s">
        <v>322</v>
      </c>
      <c r="B2873" s="1167"/>
      <c r="C2873" s="1168"/>
      <c r="D2873" s="1230" t="s">
        <v>422</v>
      </c>
      <c r="E2873" s="1231"/>
      <c r="F2873" s="1231"/>
      <c r="G2873" s="1231"/>
      <c r="H2873" s="1231"/>
      <c r="I2873" s="1231"/>
      <c r="J2873" s="1231"/>
      <c r="K2873" s="1231"/>
      <c r="L2873" s="1232"/>
      <c r="M2873" s="54"/>
      <c r="N2873" s="54"/>
      <c r="O2873" s="543"/>
      <c r="P2873" s="340"/>
      <c r="Q2873" s="334"/>
      <c r="R2873" s="334"/>
      <c r="S2873" s="334"/>
      <c r="T2873" s="334"/>
      <c r="U2873" s="334"/>
      <c r="V2873" s="334"/>
      <c r="W2873" s="334"/>
      <c r="X2873" s="334"/>
      <c r="Y2873" s="334"/>
    </row>
    <row r="2874" spans="1:25" ht="45" customHeight="1" thickBot="1" x14ac:dyDescent="0.3">
      <c r="A2874" s="1268" t="s">
        <v>350</v>
      </c>
      <c r="B2874" s="1167"/>
      <c r="C2874" s="1168"/>
      <c r="D2874" s="1291" t="s">
        <v>3423</v>
      </c>
      <c r="E2874" s="1292"/>
      <c r="F2874" s="1292"/>
      <c r="G2874" s="1292"/>
      <c r="H2874" s="1292"/>
      <c r="I2874" s="1292"/>
      <c r="J2874" s="1292"/>
      <c r="K2874" s="1292"/>
      <c r="L2874" s="1293"/>
      <c r="M2874" s="54"/>
      <c r="N2874" s="54"/>
      <c r="T2874" s="10"/>
    </row>
    <row r="2875" spans="1:25" ht="30" customHeight="1" thickBot="1" x14ac:dyDescent="0.3">
      <c r="A2875" s="1180"/>
      <c r="B2875" s="1181"/>
      <c r="C2875" s="1181"/>
      <c r="D2875" s="1181"/>
      <c r="E2875" s="1181"/>
      <c r="F2875" s="1181"/>
      <c r="G2875" s="1181"/>
      <c r="H2875" s="1181"/>
      <c r="I2875" s="1181"/>
      <c r="J2875" s="1181"/>
      <c r="K2875" s="1181"/>
      <c r="L2875" s="1182"/>
      <c r="M2875" s="54"/>
      <c r="N2875" s="111"/>
      <c r="T2875" s="10"/>
      <c r="U2875" s="10"/>
    </row>
    <row r="2876" spans="1:25" ht="30" customHeight="1" x14ac:dyDescent="0.25">
      <c r="A2876" s="327" t="s">
        <v>5</v>
      </c>
      <c r="B2876" s="328">
        <v>5303</v>
      </c>
      <c r="C2876" s="1251" t="s">
        <v>1711</v>
      </c>
      <c r="D2876" s="1252"/>
      <c r="E2876" s="331" t="s">
        <v>8</v>
      </c>
      <c r="F2876" s="332" t="s">
        <v>205</v>
      </c>
      <c r="G2876" s="342" t="s">
        <v>74</v>
      </c>
      <c r="H2876" s="653">
        <v>7024</v>
      </c>
      <c r="I2876" s="331" t="s">
        <v>10</v>
      </c>
      <c r="J2876" s="1220" t="s">
        <v>3388</v>
      </c>
      <c r="K2876" s="1220"/>
      <c r="L2876" s="1221"/>
      <c r="M2876" s="54"/>
      <c r="N2876" s="54"/>
      <c r="T2876" s="10"/>
      <c r="U2876" s="10"/>
    </row>
    <row r="2877" spans="1:25" ht="30" customHeight="1" x14ac:dyDescent="0.25">
      <c r="A2877" s="359" t="s">
        <v>295</v>
      </c>
      <c r="B2877" s="1222" t="s">
        <v>326</v>
      </c>
      <c r="C2877" s="1235"/>
      <c r="D2877" s="1223"/>
      <c r="E2877" s="577" t="s">
        <v>116</v>
      </c>
      <c r="F2877" s="577" t="s">
        <v>117</v>
      </c>
      <c r="G2877" s="1194" t="s">
        <v>118</v>
      </c>
      <c r="H2877" s="1195"/>
      <c r="I2877" s="356" t="s">
        <v>296</v>
      </c>
      <c r="J2877" s="356"/>
      <c r="K2877" s="1236" t="s">
        <v>285</v>
      </c>
      <c r="L2877" s="1237"/>
      <c r="M2877" s="54"/>
      <c r="N2877" s="54"/>
      <c r="P2877" s="344"/>
      <c r="Q2877" s="345"/>
      <c r="R2877" s="345"/>
      <c r="S2877" s="345"/>
      <c r="T2877" s="345"/>
      <c r="U2877" s="10"/>
    </row>
    <row r="2878" spans="1:25" ht="30" customHeight="1" x14ac:dyDescent="0.25">
      <c r="A2878" s="895" t="s">
        <v>1712</v>
      </c>
      <c r="B2878" s="1214" t="s">
        <v>1713</v>
      </c>
      <c r="C2878" s="1215"/>
      <c r="D2878" s="1216"/>
      <c r="E2878" s="247">
        <v>181</v>
      </c>
      <c r="F2878" s="365" t="s">
        <v>205</v>
      </c>
      <c r="G2878" s="365"/>
      <c r="H2878" s="365"/>
      <c r="I2878" s="852">
        <f>(1.06+1.08)/2</f>
        <v>1.07</v>
      </c>
      <c r="J2878" s="706"/>
      <c r="K2878" s="247">
        <f>+E2878*I2878</f>
        <v>193.67000000000002</v>
      </c>
      <c r="L2878" s="365" t="s">
        <v>205</v>
      </c>
      <c r="M2878" s="54"/>
      <c r="N2878" s="54"/>
      <c r="U2878" s="345"/>
      <c r="V2878" s="345"/>
      <c r="W2878" s="345"/>
      <c r="X2878" s="345"/>
      <c r="Y2878" s="345"/>
    </row>
    <row r="2879" spans="1:25" s="345" customFormat="1" ht="30" customHeight="1" x14ac:dyDescent="0.25">
      <c r="A2879" s="895" t="s">
        <v>1714</v>
      </c>
      <c r="B2879" s="1209" t="s">
        <v>1501</v>
      </c>
      <c r="C2879" s="1210"/>
      <c r="D2879" s="1211"/>
      <c r="E2879" s="11">
        <v>3.66</v>
      </c>
      <c r="F2879" s="365" t="s">
        <v>205</v>
      </c>
      <c r="G2879" s="587"/>
      <c r="H2879" s="662"/>
      <c r="I2879" s="852">
        <f>(1.06+1.08)/2</f>
        <v>1.07</v>
      </c>
      <c r="J2879" s="706"/>
      <c r="K2879" s="247">
        <f>+E2879*I2879</f>
        <v>3.9162000000000003</v>
      </c>
      <c r="L2879" s="365" t="s">
        <v>205</v>
      </c>
      <c r="M2879" s="54"/>
      <c r="N2879" s="54"/>
      <c r="O2879" s="543"/>
      <c r="P2879" s="340"/>
      <c r="Q2879" s="334"/>
      <c r="R2879" s="334"/>
      <c r="S2879" s="334"/>
      <c r="T2879" s="334"/>
      <c r="U2879" s="334"/>
      <c r="V2879" s="334"/>
      <c r="W2879" s="334"/>
      <c r="X2879" s="334"/>
      <c r="Y2879" s="334"/>
    </row>
    <row r="2880" spans="1:25" ht="30" customHeight="1" x14ac:dyDescent="0.25">
      <c r="A2880" s="365"/>
      <c r="B2880" s="1281"/>
      <c r="C2880" s="1281"/>
      <c r="D2880" s="1281"/>
      <c r="E2880" s="247"/>
      <c r="F2880" s="365"/>
      <c r="G2880" s="366"/>
      <c r="H2880" s="662"/>
      <c r="I2880" s="365"/>
      <c r="J2880" s="365" t="s">
        <v>343</v>
      </c>
      <c r="K2880" s="247">
        <f>SUM(K2878:K2879)</f>
        <v>197.58620000000002</v>
      </c>
      <c r="L2880" s="365" t="s">
        <v>205</v>
      </c>
      <c r="M2880" s="54"/>
      <c r="N2880" s="54"/>
      <c r="O2880" s="340"/>
      <c r="T2880" s="10"/>
    </row>
    <row r="2881" spans="1:21" ht="30" customHeight="1" x14ac:dyDescent="0.25">
      <c r="A2881" s="365"/>
      <c r="B2881" s="578"/>
      <c r="C2881" s="578"/>
      <c r="D2881" s="578"/>
      <c r="E2881" s="247"/>
      <c r="F2881" s="1272" t="s">
        <v>303</v>
      </c>
      <c r="G2881" s="1283" t="s">
        <v>304</v>
      </c>
      <c r="H2881" s="1283"/>
      <c r="I2881" s="1283"/>
      <c r="J2881" s="1283"/>
      <c r="K2881" s="706">
        <f>(1.1+1.08)/2</f>
        <v>1.0900000000000001</v>
      </c>
      <c r="L2881" s="365"/>
      <c r="M2881" s="54"/>
      <c r="N2881" s="54"/>
      <c r="T2881" s="10"/>
      <c r="U2881" s="10"/>
    </row>
    <row r="2882" spans="1:21" ht="30" customHeight="1" x14ac:dyDescent="0.25">
      <c r="A2882" s="365"/>
      <c r="B2882" s="578"/>
      <c r="C2882" s="578"/>
      <c r="D2882" s="578"/>
      <c r="E2882" s="247"/>
      <c r="F2882" s="1273"/>
      <c r="G2882" s="1284" t="s">
        <v>438</v>
      </c>
      <c r="H2882" s="1284"/>
      <c r="I2882" s="1284"/>
      <c r="J2882" s="1284"/>
      <c r="K2882" s="250">
        <v>1.08</v>
      </c>
      <c r="L2882" s="365"/>
      <c r="M2882" s="54"/>
      <c r="N2882" s="54"/>
      <c r="O2882" s="336"/>
      <c r="P2882" s="334"/>
      <c r="Q2882" s="335"/>
      <c r="R2882" s="336"/>
      <c r="S2882" s="337"/>
      <c r="U2882" s="10"/>
    </row>
    <row r="2883" spans="1:21" ht="30" customHeight="1" x14ac:dyDescent="0.25">
      <c r="A2883" s="365"/>
      <c r="B2883" s="365"/>
      <c r="C2883" s="366"/>
      <c r="D2883" s="366"/>
      <c r="E2883" s="366"/>
      <c r="F2883" s="366"/>
      <c r="G2883" s="366"/>
      <c r="H2883" s="366"/>
      <c r="I2883" s="366"/>
      <c r="J2883" s="365" t="s">
        <v>72</v>
      </c>
      <c r="K2883" s="246">
        <f>+K2880*K2881/K2882</f>
        <v>199.41570185185188</v>
      </c>
      <c r="L2883" s="365" t="s">
        <v>205</v>
      </c>
      <c r="M2883" s="54"/>
      <c r="N2883" s="54"/>
      <c r="O2883" s="336"/>
      <c r="P2883" s="334"/>
      <c r="Q2883" s="335"/>
      <c r="R2883" s="336"/>
      <c r="S2883" s="337"/>
    </row>
    <row r="2884" spans="1:21" ht="30" customHeight="1" x14ac:dyDescent="0.25">
      <c r="A2884" s="365"/>
      <c r="B2884" s="365"/>
      <c r="C2884" s="366"/>
      <c r="D2884" s="366"/>
      <c r="E2884" s="366"/>
      <c r="F2884" s="366"/>
      <c r="G2884" s="366"/>
      <c r="H2884" s="366"/>
      <c r="I2884" s="877" t="s">
        <v>306</v>
      </c>
      <c r="J2884" s="521">
        <f>VLOOKUP(B2876,'Mil Cost Premiums for PUCs'!$A$4:$R$277,18,FALSE)</f>
        <v>1.3319480854780448</v>
      </c>
      <c r="K2884" s="246">
        <f>+K2883*J2884</f>
        <v>265.61136229583468</v>
      </c>
      <c r="L2884" s="365" t="s">
        <v>205</v>
      </c>
      <c r="M2884" s="54"/>
      <c r="N2884" s="54"/>
      <c r="O2884" s="340"/>
      <c r="P2884" s="334"/>
      <c r="Q2884" s="335"/>
      <c r="R2884" s="336"/>
      <c r="S2884" s="337"/>
    </row>
    <row r="2885" spans="1:21" ht="30" customHeight="1" thickBot="1" x14ac:dyDescent="0.3">
      <c r="A2885" s="835"/>
      <c r="B2885" s="835"/>
      <c r="C2885" s="840"/>
      <c r="D2885" s="840"/>
      <c r="E2885" s="850"/>
      <c r="F2885" s="1278" t="s">
        <v>1148</v>
      </c>
      <c r="G2885" s="1278"/>
      <c r="H2885" s="1278"/>
      <c r="I2885" s="1278"/>
      <c r="J2885" s="845">
        <v>1.0833999999999999</v>
      </c>
      <c r="K2885" s="544">
        <f>K2884*J2885</f>
        <v>287.76334991130727</v>
      </c>
      <c r="L2885" s="365" t="s">
        <v>205</v>
      </c>
      <c r="N2885" s="54"/>
      <c r="O2885" s="336"/>
      <c r="P2885" s="334"/>
      <c r="Q2885" s="335"/>
      <c r="R2885" s="336"/>
      <c r="S2885" s="337"/>
    </row>
    <row r="2886" spans="1:21" ht="30" customHeight="1" thickBot="1" x14ac:dyDescent="0.3">
      <c r="A2886" s="1180"/>
      <c r="B2886" s="1181"/>
      <c r="C2886" s="1181"/>
      <c r="D2886" s="1181"/>
      <c r="E2886" s="1181"/>
      <c r="F2886" s="1181"/>
      <c r="G2886" s="1181"/>
      <c r="H2886" s="1181"/>
      <c r="I2886" s="1181"/>
      <c r="J2886" s="1181"/>
      <c r="K2886" s="1181"/>
      <c r="L2886" s="1182"/>
      <c r="M2886" s="54"/>
      <c r="N2886" s="54"/>
      <c r="O2886" s="336"/>
      <c r="P2886" s="334"/>
      <c r="Q2886" s="335"/>
      <c r="R2886" s="336"/>
      <c r="S2886" s="337"/>
    </row>
    <row r="2887" spans="1:21" ht="30" customHeight="1" x14ac:dyDescent="0.25">
      <c r="A2887" s="327" t="s">
        <v>5</v>
      </c>
      <c r="B2887" s="328">
        <v>5304</v>
      </c>
      <c r="C2887" s="1251" t="s">
        <v>1715</v>
      </c>
      <c r="D2887" s="1252"/>
      <c r="E2887" s="331" t="s">
        <v>8</v>
      </c>
      <c r="F2887" s="332" t="s">
        <v>205</v>
      </c>
      <c r="G2887" s="342" t="s">
        <v>74</v>
      </c>
      <c r="H2887" s="653">
        <v>3795</v>
      </c>
      <c r="I2887" s="331" t="s">
        <v>10</v>
      </c>
      <c r="J2887" s="1220" t="s">
        <v>294</v>
      </c>
      <c r="K2887" s="1220"/>
      <c r="L2887" s="1221"/>
      <c r="M2887" s="54"/>
      <c r="N2887" s="54"/>
      <c r="O2887" s="336"/>
      <c r="P2887" s="334"/>
      <c r="Q2887" s="335"/>
      <c r="R2887" s="336"/>
      <c r="S2887" s="337"/>
    </row>
    <row r="2888" spans="1:21" ht="30" customHeight="1" x14ac:dyDescent="0.25">
      <c r="A2888" s="359" t="s">
        <v>295</v>
      </c>
      <c r="B2888" s="1222" t="s">
        <v>326</v>
      </c>
      <c r="C2888" s="1235"/>
      <c r="D2888" s="1223"/>
      <c r="E2888" s="577" t="s">
        <v>116</v>
      </c>
      <c r="F2888" s="577" t="s">
        <v>117</v>
      </c>
      <c r="G2888" s="1194" t="s">
        <v>118</v>
      </c>
      <c r="H2888" s="1195"/>
      <c r="I2888" s="356" t="s">
        <v>296</v>
      </c>
      <c r="J2888" s="356"/>
      <c r="K2888" s="1236" t="s">
        <v>285</v>
      </c>
      <c r="L2888" s="1237"/>
      <c r="M2888" s="54"/>
      <c r="N2888" s="54"/>
      <c r="O2888" s="336"/>
      <c r="P2888" s="334"/>
      <c r="Q2888" s="335"/>
      <c r="R2888" s="336"/>
      <c r="S2888" s="337"/>
    </row>
    <row r="2889" spans="1:21" ht="30" customHeight="1" x14ac:dyDescent="0.25">
      <c r="A2889" s="895" t="s">
        <v>1716</v>
      </c>
      <c r="B2889" s="1209" t="s">
        <v>1717</v>
      </c>
      <c r="C2889" s="1210"/>
      <c r="D2889" s="1211"/>
      <c r="E2889" s="247">
        <f>213-4.32</f>
        <v>208.68</v>
      </c>
      <c r="F2889" s="365" t="s">
        <v>205</v>
      </c>
      <c r="G2889" s="365"/>
      <c r="H2889" s="365"/>
      <c r="I2889" s="706">
        <f>(1.18+1.17)/2</f>
        <v>1.1749999999999998</v>
      </c>
      <c r="J2889" s="365"/>
      <c r="K2889" s="247">
        <f>+E2889*I2889</f>
        <v>245.19899999999998</v>
      </c>
      <c r="L2889" s="365" t="s">
        <v>205</v>
      </c>
      <c r="M2889" s="54"/>
      <c r="N2889" s="54"/>
      <c r="O2889" s="336"/>
      <c r="P2889" s="334"/>
      <c r="Q2889" s="335"/>
      <c r="R2889" s="336"/>
      <c r="S2889" s="337"/>
    </row>
    <row r="2890" spans="1:21" ht="30" customHeight="1" x14ac:dyDescent="0.25">
      <c r="A2890" s="895" t="s">
        <v>456</v>
      </c>
      <c r="B2890" s="1209" t="s">
        <v>1718</v>
      </c>
      <c r="C2890" s="1210"/>
      <c r="D2890" s="1211"/>
      <c r="E2890" s="11">
        <v>4.49</v>
      </c>
      <c r="F2890" s="365" t="s">
        <v>205</v>
      </c>
      <c r="G2890" s="587"/>
      <c r="H2890" s="662"/>
      <c r="I2890" s="706">
        <f>(1.18+1.17)/2</f>
        <v>1.1749999999999998</v>
      </c>
      <c r="J2890" s="365"/>
      <c r="K2890" s="247">
        <f>+E2890*I2890</f>
        <v>5.2757499999999995</v>
      </c>
      <c r="L2890" s="365" t="s">
        <v>205</v>
      </c>
      <c r="M2890" s="111"/>
      <c r="N2890" s="54"/>
      <c r="T2890" s="10"/>
    </row>
    <row r="2891" spans="1:21" ht="30" customHeight="1" x14ac:dyDescent="0.25">
      <c r="A2891" s="365"/>
      <c r="B2891" s="1281"/>
      <c r="C2891" s="1281"/>
      <c r="D2891" s="1281"/>
      <c r="E2891" s="247"/>
      <c r="F2891" s="365"/>
      <c r="G2891" s="366"/>
      <c r="H2891" s="662"/>
      <c r="I2891" s="365"/>
      <c r="J2891" s="365" t="s">
        <v>343</v>
      </c>
      <c r="K2891" s="247">
        <f>SUM(K2889:K2890)</f>
        <v>250.47474999999997</v>
      </c>
      <c r="L2891" s="365" t="s">
        <v>205</v>
      </c>
      <c r="M2891" s="54"/>
      <c r="N2891" s="54"/>
      <c r="O2891" s="336"/>
      <c r="U2891" s="10"/>
    </row>
    <row r="2892" spans="1:21" ht="30" customHeight="1" x14ac:dyDescent="0.25">
      <c r="A2892" s="365"/>
      <c r="B2892" s="1311"/>
      <c r="C2892" s="1312"/>
      <c r="D2892" s="1313"/>
      <c r="E2892" s="247"/>
      <c r="F2892" s="1272" t="s">
        <v>303</v>
      </c>
      <c r="G2892" s="1283" t="s">
        <v>304</v>
      </c>
      <c r="H2892" s="1283"/>
      <c r="I2892" s="1283"/>
      <c r="J2892" s="1283"/>
      <c r="K2892" s="706">
        <f>(1.05+1.08)/2</f>
        <v>1.0649999999999999</v>
      </c>
      <c r="L2892" s="365"/>
      <c r="M2892" s="54"/>
      <c r="N2892" s="54"/>
    </row>
    <row r="2893" spans="1:21" ht="30" customHeight="1" x14ac:dyDescent="0.25">
      <c r="A2893" s="365"/>
      <c r="B2893" s="1398"/>
      <c r="C2893" s="1399"/>
      <c r="D2893" s="1400"/>
      <c r="E2893" s="247"/>
      <c r="F2893" s="1273"/>
      <c r="G2893" s="1284" t="s">
        <v>305</v>
      </c>
      <c r="H2893" s="1284"/>
      <c r="I2893" s="1284"/>
      <c r="J2893" s="1284"/>
      <c r="K2893" s="250">
        <v>1.06</v>
      </c>
      <c r="L2893" s="365"/>
      <c r="M2893" s="54"/>
      <c r="N2893" s="54"/>
      <c r="O2893" s="345"/>
      <c r="T2893" s="60"/>
    </row>
    <row r="2894" spans="1:21" ht="30" customHeight="1" x14ac:dyDescent="0.25">
      <c r="A2894" s="365"/>
      <c r="B2894" s="365"/>
      <c r="C2894" s="366"/>
      <c r="D2894" s="366"/>
      <c r="E2894" s="366"/>
      <c r="F2894" s="366"/>
      <c r="G2894" s="366"/>
      <c r="H2894" s="366"/>
      <c r="I2894" s="366"/>
      <c r="J2894" s="365" t="s">
        <v>72</v>
      </c>
      <c r="K2894" s="246">
        <f>+K2891*K2892/K2893</f>
        <v>251.65623466981128</v>
      </c>
      <c r="L2894" s="365" t="s">
        <v>205</v>
      </c>
      <c r="M2894" s="54"/>
      <c r="N2894" s="54"/>
      <c r="T2894" s="10"/>
      <c r="U2894" s="60"/>
    </row>
    <row r="2895" spans="1:21" ht="30" customHeight="1" thickBot="1" x14ac:dyDescent="0.3">
      <c r="A2895" s="365"/>
      <c r="B2895" s="365"/>
      <c r="C2895" s="366"/>
      <c r="D2895" s="366"/>
      <c r="E2895" s="366"/>
      <c r="F2895" s="366"/>
      <c r="G2895" s="580" t="s">
        <v>306</v>
      </c>
      <c r="H2895" s="366"/>
      <c r="I2895" s="366"/>
      <c r="J2895" s="521">
        <f>VLOOKUP(B2887,'Mil Cost Premiums for PUCs'!$A$4:$R$277,18,FALSE)</f>
        <v>1.3319480854780448</v>
      </c>
      <c r="K2895" s="246">
        <f>+K2894*J2895</f>
        <v>335.19303996706867</v>
      </c>
      <c r="L2895" s="365" t="s">
        <v>205</v>
      </c>
      <c r="M2895" s="54"/>
      <c r="N2895" s="54"/>
      <c r="P2895" s="344"/>
      <c r="Q2895" s="345"/>
      <c r="R2895" s="345"/>
      <c r="S2895" s="345"/>
      <c r="T2895" s="345"/>
      <c r="U2895" s="10"/>
    </row>
    <row r="2896" spans="1:21" ht="30" customHeight="1" thickBot="1" x14ac:dyDescent="0.3">
      <c r="A2896" s="1180"/>
      <c r="B2896" s="1181"/>
      <c r="C2896" s="1181"/>
      <c r="D2896" s="1181"/>
      <c r="E2896" s="1181"/>
      <c r="F2896" s="1181"/>
      <c r="G2896" s="1181"/>
      <c r="H2896" s="1181"/>
      <c r="I2896" s="1181"/>
      <c r="J2896" s="1181"/>
      <c r="K2896" s="1181"/>
      <c r="L2896" s="1182"/>
      <c r="M2896" s="54"/>
      <c r="N2896" s="111"/>
      <c r="U2896" s="345"/>
    </row>
    <row r="2897" spans="1:25" ht="30" customHeight="1" x14ac:dyDescent="0.25">
      <c r="A2897" s="327" t="s">
        <v>5</v>
      </c>
      <c r="B2897" s="328">
        <v>5306</v>
      </c>
      <c r="C2897" s="1251" t="s">
        <v>1719</v>
      </c>
      <c r="D2897" s="1252"/>
      <c r="E2897" s="331" t="s">
        <v>8</v>
      </c>
      <c r="F2897" s="332" t="s">
        <v>205</v>
      </c>
      <c r="G2897" s="342" t="s">
        <v>74</v>
      </c>
      <c r="H2897" s="653">
        <v>11919</v>
      </c>
      <c r="I2897" s="331" t="s">
        <v>10</v>
      </c>
      <c r="J2897" s="1220" t="s">
        <v>294</v>
      </c>
      <c r="K2897" s="1220"/>
      <c r="L2897" s="1221"/>
      <c r="M2897" s="54"/>
      <c r="N2897" s="54"/>
      <c r="O2897" s="543"/>
    </row>
    <row r="2898" spans="1:25" ht="30" customHeight="1" x14ac:dyDescent="0.25">
      <c r="A2898" s="359" t="s">
        <v>295</v>
      </c>
      <c r="B2898" s="1222" t="s">
        <v>326</v>
      </c>
      <c r="C2898" s="1235"/>
      <c r="D2898" s="1223"/>
      <c r="E2898" s="577" t="s">
        <v>116</v>
      </c>
      <c r="F2898" s="577" t="s">
        <v>117</v>
      </c>
      <c r="G2898" s="1194" t="s">
        <v>118</v>
      </c>
      <c r="H2898" s="1195"/>
      <c r="I2898" s="356" t="s">
        <v>296</v>
      </c>
      <c r="J2898" s="356"/>
      <c r="K2898" s="1236" t="s">
        <v>285</v>
      </c>
      <c r="L2898" s="1237"/>
      <c r="M2898" s="54"/>
      <c r="N2898" s="54"/>
      <c r="T2898" s="60"/>
      <c r="V2898" s="345"/>
      <c r="W2898" s="345"/>
      <c r="X2898" s="345"/>
      <c r="Y2898" s="345"/>
    </row>
    <row r="2899" spans="1:25" s="345" customFormat="1" ht="30" customHeight="1" x14ac:dyDescent="0.25">
      <c r="A2899" s="895" t="s">
        <v>1637</v>
      </c>
      <c r="B2899" s="1214" t="s">
        <v>1720</v>
      </c>
      <c r="C2899" s="1215"/>
      <c r="D2899" s="1216"/>
      <c r="E2899" s="247">
        <v>86.5</v>
      </c>
      <c r="F2899" s="365" t="s">
        <v>205</v>
      </c>
      <c r="G2899" s="365"/>
      <c r="H2899" s="365"/>
      <c r="I2899" s="706">
        <f>(1.16+1.19)/2</f>
        <v>1.1749999999999998</v>
      </c>
      <c r="J2899" s="706"/>
      <c r="K2899" s="247">
        <f>+E2899*I2899</f>
        <v>101.63749999999999</v>
      </c>
      <c r="L2899" s="365" t="s">
        <v>205</v>
      </c>
      <c r="M2899" s="54"/>
      <c r="N2899" s="54"/>
      <c r="O2899" s="334"/>
      <c r="P2899" s="340"/>
      <c r="Q2899" s="334"/>
      <c r="R2899" s="334"/>
      <c r="S2899" s="334"/>
      <c r="T2899" s="10"/>
      <c r="U2899" s="60"/>
      <c r="V2899" s="334"/>
      <c r="W2899" s="334"/>
      <c r="X2899" s="334"/>
      <c r="Y2899" s="334"/>
    </row>
    <row r="2900" spans="1:25" ht="30" customHeight="1" x14ac:dyDescent="0.25">
      <c r="A2900" s="896" t="s">
        <v>1637</v>
      </c>
      <c r="B2900" s="1172" t="s">
        <v>1721</v>
      </c>
      <c r="C2900" s="1603"/>
      <c r="D2900" s="1604"/>
      <c r="E2900" s="14">
        <v>24.25</v>
      </c>
      <c r="F2900" s="365" t="s">
        <v>205</v>
      </c>
      <c r="G2900" s="592"/>
      <c r="H2900" s="369"/>
      <c r="I2900" s="706">
        <f>(1.16+1.19)/2</f>
        <v>1.1749999999999998</v>
      </c>
      <c r="J2900" s="706"/>
      <c r="K2900" s="247">
        <f>+E2900*I2900</f>
        <v>28.493749999999995</v>
      </c>
      <c r="L2900" s="365" t="s">
        <v>205</v>
      </c>
      <c r="M2900" s="54"/>
      <c r="N2900" s="54"/>
      <c r="P2900" s="344"/>
      <c r="Q2900" s="345"/>
      <c r="R2900" s="345"/>
      <c r="S2900" s="345"/>
      <c r="T2900" s="345"/>
      <c r="U2900" s="10"/>
    </row>
    <row r="2901" spans="1:25" ht="30" customHeight="1" x14ac:dyDescent="0.25">
      <c r="A2901" s="895" t="s">
        <v>406</v>
      </c>
      <c r="B2901" s="1281" t="s">
        <v>1366</v>
      </c>
      <c r="C2901" s="1281"/>
      <c r="D2901" s="1281"/>
      <c r="E2901" s="246">
        <v>4.38</v>
      </c>
      <c r="F2901" s="365" t="s">
        <v>205</v>
      </c>
      <c r="G2901" s="366"/>
      <c r="H2901" s="662"/>
      <c r="I2901" s="706">
        <f>(1.16+1.19)/2</f>
        <v>1.1749999999999998</v>
      </c>
      <c r="J2901" s="706"/>
      <c r="K2901" s="247">
        <f>+E2901*I2901</f>
        <v>5.1464999999999987</v>
      </c>
      <c r="L2901" s="365" t="s">
        <v>205</v>
      </c>
      <c r="M2901" s="54"/>
      <c r="N2901" s="54"/>
      <c r="U2901" s="345"/>
    </row>
    <row r="2902" spans="1:25" ht="30" customHeight="1" x14ac:dyDescent="0.25">
      <c r="A2902" s="365"/>
      <c r="B2902" s="1281"/>
      <c r="C2902" s="1281"/>
      <c r="D2902" s="1281"/>
      <c r="E2902" s="247"/>
      <c r="F2902" s="365"/>
      <c r="G2902" s="366"/>
      <c r="H2902" s="662"/>
      <c r="I2902" s="365"/>
      <c r="J2902" s="365" t="s">
        <v>343</v>
      </c>
      <c r="K2902" s="247">
        <f>SUM(K2899:K2901)</f>
        <v>135.27775</v>
      </c>
      <c r="L2902" s="365" t="s">
        <v>205</v>
      </c>
      <c r="M2902" s="54"/>
      <c r="N2902" s="54"/>
      <c r="O2902" s="543"/>
    </row>
    <row r="2903" spans="1:25" ht="30" customHeight="1" x14ac:dyDescent="0.25">
      <c r="A2903" s="365"/>
      <c r="B2903" s="1311"/>
      <c r="C2903" s="1312"/>
      <c r="D2903" s="1313"/>
      <c r="E2903" s="247"/>
      <c r="F2903" s="1272" t="s">
        <v>303</v>
      </c>
      <c r="G2903" s="1283" t="s">
        <v>304</v>
      </c>
      <c r="H2903" s="1283"/>
      <c r="I2903" s="1283"/>
      <c r="J2903" s="1283"/>
      <c r="K2903" s="706">
        <f>(1.05+1.08)/2</f>
        <v>1.0649999999999999</v>
      </c>
      <c r="L2903" s="365"/>
      <c r="M2903" s="54"/>
      <c r="N2903" s="54"/>
      <c r="T2903" s="60"/>
      <c r="V2903" s="345"/>
      <c r="W2903" s="345"/>
      <c r="X2903" s="345"/>
      <c r="Y2903" s="345"/>
    </row>
    <row r="2904" spans="1:25" s="345" customFormat="1" ht="30" customHeight="1" x14ac:dyDescent="0.25">
      <c r="A2904" s="365"/>
      <c r="B2904" s="1395"/>
      <c r="C2904" s="1396"/>
      <c r="D2904" s="1397"/>
      <c r="E2904" s="247"/>
      <c r="F2904" s="1273"/>
      <c r="G2904" s="1284" t="s">
        <v>438</v>
      </c>
      <c r="H2904" s="1284"/>
      <c r="I2904" s="1284"/>
      <c r="J2904" s="1284"/>
      <c r="K2904" s="250">
        <v>1.06</v>
      </c>
      <c r="L2904" s="365"/>
      <c r="M2904" s="54"/>
      <c r="N2904" s="54"/>
      <c r="O2904" s="344"/>
      <c r="P2904" s="340"/>
      <c r="Q2904" s="334"/>
      <c r="R2904" s="334"/>
      <c r="S2904" s="334"/>
      <c r="T2904" s="10"/>
      <c r="U2904" s="60"/>
      <c r="V2904" s="334"/>
      <c r="W2904" s="334"/>
      <c r="X2904" s="334"/>
      <c r="Y2904" s="334"/>
    </row>
    <row r="2905" spans="1:25" ht="30" customHeight="1" x14ac:dyDescent="0.25">
      <c r="A2905" s="365"/>
      <c r="B2905" s="365"/>
      <c r="C2905" s="366"/>
      <c r="D2905" s="366"/>
      <c r="E2905" s="366"/>
      <c r="F2905" s="366"/>
      <c r="G2905" s="366"/>
      <c r="H2905" s="366"/>
      <c r="I2905" s="366"/>
      <c r="J2905" s="365" t="s">
        <v>72</v>
      </c>
      <c r="K2905" s="246">
        <f>+K2902*K2903/K2904</f>
        <v>135.91585259433961</v>
      </c>
      <c r="L2905" s="365" t="s">
        <v>205</v>
      </c>
      <c r="M2905" s="54"/>
      <c r="N2905" s="54"/>
      <c r="O2905" s="344"/>
      <c r="T2905" s="10"/>
      <c r="U2905" s="10"/>
    </row>
    <row r="2906" spans="1:25" ht="30" customHeight="1" thickBot="1" x14ac:dyDescent="0.3">
      <c r="A2906" s="365"/>
      <c r="B2906" s="365"/>
      <c r="C2906" s="366"/>
      <c r="D2906" s="366"/>
      <c r="E2906" s="366"/>
      <c r="F2906" s="366"/>
      <c r="G2906" s="366"/>
      <c r="H2906" s="366"/>
      <c r="I2906" s="877" t="s">
        <v>306</v>
      </c>
      <c r="J2906" s="521">
        <f>VLOOKUP(B2897,'Mil Cost Premiums for PUCs'!$A$4:$R$277,18,FALSE)</f>
        <v>1.2981950150858137</v>
      </c>
      <c r="K2906" s="246">
        <f>+K2905*J2906</f>
        <v>176.44528230910996</v>
      </c>
      <c r="L2906" s="365" t="s">
        <v>205</v>
      </c>
      <c r="M2906" s="54"/>
      <c r="N2906" s="54"/>
      <c r="P2906" s="344"/>
      <c r="Q2906" s="345"/>
      <c r="R2906" s="345"/>
      <c r="S2906" s="345"/>
      <c r="T2906" s="345"/>
      <c r="U2906" s="10"/>
    </row>
    <row r="2907" spans="1:25" ht="30" customHeight="1" thickBot="1" x14ac:dyDescent="0.3">
      <c r="A2907" s="1180"/>
      <c r="B2907" s="1181"/>
      <c r="C2907" s="1181"/>
      <c r="D2907" s="1181"/>
      <c r="E2907" s="1181"/>
      <c r="F2907" s="1181"/>
      <c r="G2907" s="1181"/>
      <c r="H2907" s="1181"/>
      <c r="I2907" s="1181"/>
      <c r="J2907" s="1181"/>
      <c r="K2907" s="1181"/>
      <c r="L2907" s="1182"/>
      <c r="M2907" s="54"/>
      <c r="N2907" s="54"/>
      <c r="O2907" s="345"/>
      <c r="P2907" s="344"/>
      <c r="Q2907" s="345"/>
      <c r="R2907" s="345"/>
      <c r="S2907" s="345"/>
      <c r="T2907" s="345"/>
      <c r="U2907" s="345"/>
    </row>
    <row r="2908" spans="1:25" ht="30" customHeight="1" x14ac:dyDescent="0.25">
      <c r="A2908" s="327" t="s">
        <v>5</v>
      </c>
      <c r="B2908" s="328">
        <v>5307</v>
      </c>
      <c r="C2908" s="1251" t="s">
        <v>1722</v>
      </c>
      <c r="D2908" s="1252"/>
      <c r="E2908" s="331" t="s">
        <v>8</v>
      </c>
      <c r="F2908" s="332" t="s">
        <v>205</v>
      </c>
      <c r="G2908" s="342" t="s">
        <v>74</v>
      </c>
      <c r="H2908" s="653">
        <v>1813</v>
      </c>
      <c r="I2908" s="331" t="s">
        <v>10</v>
      </c>
      <c r="J2908" s="1220" t="s">
        <v>294</v>
      </c>
      <c r="K2908" s="1220"/>
      <c r="L2908" s="1221"/>
      <c r="M2908" s="54"/>
      <c r="N2908" s="54"/>
      <c r="O2908" s="544"/>
      <c r="U2908" s="345"/>
    </row>
    <row r="2909" spans="1:25" ht="30" customHeight="1" x14ac:dyDescent="0.25">
      <c r="A2909" s="359" t="s">
        <v>295</v>
      </c>
      <c r="B2909" s="1222" t="s">
        <v>326</v>
      </c>
      <c r="C2909" s="1235"/>
      <c r="D2909" s="1223"/>
      <c r="E2909" s="577" t="s">
        <v>116</v>
      </c>
      <c r="F2909" s="577" t="s">
        <v>117</v>
      </c>
      <c r="G2909" s="1194" t="s">
        <v>118</v>
      </c>
      <c r="H2909" s="1195"/>
      <c r="I2909" s="356" t="s">
        <v>296</v>
      </c>
      <c r="J2909" s="356"/>
      <c r="K2909" s="1236" t="s">
        <v>285</v>
      </c>
      <c r="L2909" s="1237"/>
      <c r="M2909" s="54"/>
      <c r="N2909" s="54"/>
      <c r="O2909" s="897"/>
    </row>
    <row r="2910" spans="1:25" ht="30" customHeight="1" x14ac:dyDescent="0.25">
      <c r="A2910" s="895" t="s">
        <v>1684</v>
      </c>
      <c r="B2910" s="1214" t="s">
        <v>1723</v>
      </c>
      <c r="C2910" s="1215"/>
      <c r="D2910" s="1216"/>
      <c r="E2910" s="247">
        <v>79</v>
      </c>
      <c r="F2910" s="365" t="s">
        <v>205</v>
      </c>
      <c r="G2910" s="365"/>
      <c r="H2910" s="365"/>
      <c r="I2910" s="706">
        <v>1.19</v>
      </c>
      <c r="J2910" s="706"/>
      <c r="K2910" s="247">
        <f>+E2910*I2910</f>
        <v>94.009999999999991</v>
      </c>
      <c r="L2910" s="365" t="s">
        <v>205</v>
      </c>
      <c r="M2910" s="54"/>
      <c r="N2910" s="54"/>
      <c r="T2910" s="10"/>
      <c r="V2910" s="345"/>
      <c r="W2910" s="345"/>
      <c r="X2910" s="345"/>
      <c r="Y2910" s="345"/>
    </row>
    <row r="2911" spans="1:25" s="345" customFormat="1" ht="30" customHeight="1" x14ac:dyDescent="0.25">
      <c r="A2911" s="895" t="s">
        <v>406</v>
      </c>
      <c r="B2911" s="1209" t="s">
        <v>1339</v>
      </c>
      <c r="C2911" s="1210"/>
      <c r="D2911" s="1211"/>
      <c r="E2911" s="11">
        <v>4.1500000000000004</v>
      </c>
      <c r="F2911" s="365" t="s">
        <v>205</v>
      </c>
      <c r="G2911" s="587"/>
      <c r="H2911" s="662"/>
      <c r="I2911" s="706">
        <v>1.19</v>
      </c>
      <c r="J2911" s="706"/>
      <c r="K2911" s="247">
        <f>+E2911*I2911</f>
        <v>4.9385000000000003</v>
      </c>
      <c r="L2911" s="365" t="s">
        <v>205</v>
      </c>
      <c r="M2911" s="111"/>
      <c r="N2911" s="54"/>
      <c r="O2911" s="334"/>
      <c r="P2911" s="340"/>
      <c r="Q2911" s="334"/>
      <c r="R2911" s="334"/>
      <c r="S2911" s="334"/>
      <c r="T2911" s="10"/>
      <c r="U2911" s="10"/>
      <c r="V2911" s="334"/>
      <c r="W2911" s="334"/>
      <c r="X2911" s="334"/>
      <c r="Y2911" s="334"/>
    </row>
    <row r="2912" spans="1:25" ht="30" customHeight="1" x14ac:dyDescent="0.25">
      <c r="A2912" s="365"/>
      <c r="B2912" s="1281"/>
      <c r="C2912" s="1281"/>
      <c r="D2912" s="1281"/>
      <c r="E2912" s="247"/>
      <c r="F2912" s="365"/>
      <c r="G2912" s="366"/>
      <c r="H2912" s="662"/>
      <c r="I2912" s="365"/>
      <c r="J2912" s="365" t="s">
        <v>343</v>
      </c>
      <c r="K2912" s="247">
        <f>SUM(K2910:K2911)</f>
        <v>98.948499999999996</v>
      </c>
      <c r="L2912" s="365" t="s">
        <v>205</v>
      </c>
      <c r="M2912" s="54"/>
      <c r="N2912" s="54"/>
      <c r="P2912" s="334"/>
      <c r="Q2912" s="335"/>
      <c r="R2912" s="336"/>
      <c r="S2912" s="337"/>
      <c r="U2912" s="10"/>
    </row>
    <row r="2913" spans="1:25" ht="30" customHeight="1" x14ac:dyDescent="0.25">
      <c r="A2913" s="365"/>
      <c r="B2913" s="1311"/>
      <c r="C2913" s="1312"/>
      <c r="D2913" s="1313"/>
      <c r="E2913" s="247"/>
      <c r="F2913" s="1272" t="s">
        <v>303</v>
      </c>
      <c r="G2913" s="1283" t="s">
        <v>304</v>
      </c>
      <c r="H2913" s="1283"/>
      <c r="I2913" s="1283"/>
      <c r="J2913" s="1283"/>
      <c r="K2913" s="706">
        <v>1.08</v>
      </c>
      <c r="L2913" s="365"/>
      <c r="M2913" s="54"/>
      <c r="N2913" s="54"/>
      <c r="P2913" s="334"/>
      <c r="Q2913" s="335"/>
      <c r="R2913" s="336"/>
      <c r="S2913" s="337"/>
    </row>
    <row r="2914" spans="1:25" ht="30" customHeight="1" x14ac:dyDescent="0.25">
      <c r="A2914" s="365"/>
      <c r="B2914" s="578"/>
      <c r="C2914" s="578"/>
      <c r="D2914" s="578"/>
      <c r="E2914" s="247"/>
      <c r="F2914" s="1273"/>
      <c r="G2914" s="1284" t="s">
        <v>305</v>
      </c>
      <c r="H2914" s="1284"/>
      <c r="I2914" s="1284"/>
      <c r="J2914" s="1284"/>
      <c r="K2914" s="250">
        <v>1.06</v>
      </c>
      <c r="L2914" s="365"/>
      <c r="M2914" s="54"/>
      <c r="N2914" s="54"/>
      <c r="O2914" s="336"/>
      <c r="P2914" s="334"/>
      <c r="Q2914" s="335"/>
      <c r="R2914" s="336"/>
      <c r="S2914" s="337"/>
    </row>
    <row r="2915" spans="1:25" ht="30" customHeight="1" x14ac:dyDescent="0.25">
      <c r="A2915" s="365"/>
      <c r="B2915" s="365"/>
      <c r="C2915" s="366"/>
      <c r="D2915" s="366"/>
      <c r="E2915" s="366"/>
      <c r="F2915" s="366"/>
      <c r="G2915" s="366"/>
      <c r="H2915" s="366"/>
      <c r="I2915" s="366"/>
      <c r="J2915" s="366" t="s">
        <v>72</v>
      </c>
      <c r="K2915" s="246">
        <f>+K2912*K2913/K2914</f>
        <v>100.81545283018868</v>
      </c>
      <c r="L2915" s="365" t="s">
        <v>205</v>
      </c>
      <c r="M2915" s="54"/>
      <c r="N2915" s="54"/>
      <c r="O2915" s="336"/>
      <c r="P2915" s="334"/>
      <c r="Q2915" s="335"/>
      <c r="R2915" s="336"/>
      <c r="S2915" s="337"/>
    </row>
    <row r="2916" spans="1:25" ht="30" customHeight="1" thickBot="1" x14ac:dyDescent="0.3">
      <c r="A2916" s="365"/>
      <c r="B2916" s="365"/>
      <c r="C2916" s="366"/>
      <c r="D2916" s="366"/>
      <c r="E2916" s="366"/>
      <c r="F2916" s="366"/>
      <c r="G2916" s="580" t="s">
        <v>306</v>
      </c>
      <c r="H2916" s="366"/>
      <c r="I2916" s="366"/>
      <c r="J2916" s="521">
        <f>VLOOKUP(B2908,'Mil Cost Premiums for PUCs'!$A$4:$R$277,18,FALSE)</f>
        <v>1.1199953840399997</v>
      </c>
      <c r="K2916" s="246">
        <f>+K2915*J2916</f>
        <v>112.91284180971364</v>
      </c>
      <c r="L2916" s="365" t="s">
        <v>205</v>
      </c>
      <c r="M2916" s="54"/>
      <c r="N2916" s="54"/>
      <c r="O2916" s="336"/>
      <c r="P2916" s="334"/>
      <c r="Q2916" s="335"/>
      <c r="R2916" s="336"/>
      <c r="S2916" s="337"/>
    </row>
    <row r="2917" spans="1:25" ht="30" customHeight="1" thickBot="1" x14ac:dyDescent="0.3">
      <c r="A2917" s="1180"/>
      <c r="B2917" s="1181"/>
      <c r="C2917" s="1181"/>
      <c r="D2917" s="1181"/>
      <c r="E2917" s="1181"/>
      <c r="F2917" s="1181"/>
      <c r="G2917" s="1181"/>
      <c r="H2917" s="1181"/>
      <c r="I2917" s="1181"/>
      <c r="J2917" s="1181"/>
      <c r="K2917" s="1181"/>
      <c r="L2917" s="1182"/>
      <c r="M2917" s="54"/>
      <c r="N2917" s="54"/>
      <c r="O2917" s="336"/>
      <c r="P2917" s="334"/>
      <c r="Q2917" s="335"/>
      <c r="R2917" s="336"/>
      <c r="S2917" s="337"/>
    </row>
    <row r="2918" spans="1:25" ht="30" customHeight="1" x14ac:dyDescent="0.25">
      <c r="A2918" s="327" t="s">
        <v>5</v>
      </c>
      <c r="B2918" s="328">
        <v>5400</v>
      </c>
      <c r="C2918" s="1218" t="s">
        <v>1724</v>
      </c>
      <c r="D2918" s="1219"/>
      <c r="E2918" s="331" t="s">
        <v>8</v>
      </c>
      <c r="F2918" s="332" t="s">
        <v>205</v>
      </c>
      <c r="G2918" s="342" t="s">
        <v>74</v>
      </c>
      <c r="H2918" s="248">
        <v>11890</v>
      </c>
      <c r="I2918" s="331" t="s">
        <v>10</v>
      </c>
      <c r="J2918" s="1220" t="s">
        <v>1645</v>
      </c>
      <c r="K2918" s="1220"/>
      <c r="L2918" s="1221"/>
      <c r="M2918" s="54"/>
      <c r="N2918" s="54"/>
      <c r="O2918" s="336"/>
      <c r="P2918" s="334"/>
      <c r="Q2918" s="335"/>
      <c r="R2918" s="336"/>
      <c r="S2918" s="337"/>
    </row>
    <row r="2919" spans="1:25" ht="30" customHeight="1" x14ac:dyDescent="0.25">
      <c r="A2919" s="356" t="s">
        <v>282</v>
      </c>
      <c r="B2919" s="1163" t="s">
        <v>13</v>
      </c>
      <c r="C2919" s="1163"/>
      <c r="D2919" s="1163"/>
      <c r="E2919" s="357" t="s">
        <v>283</v>
      </c>
      <c r="F2919" s="546" t="s">
        <v>116</v>
      </c>
      <c r="G2919" s="356"/>
      <c r="H2919" s="356"/>
      <c r="I2919" s="1276" t="s">
        <v>284</v>
      </c>
      <c r="J2919" s="1277"/>
      <c r="K2919" s="1236" t="s">
        <v>285</v>
      </c>
      <c r="L2919" s="1237"/>
      <c r="M2919" s="54"/>
      <c r="N2919" s="54"/>
      <c r="O2919" s="336"/>
      <c r="P2919" s="334"/>
      <c r="Q2919" s="335"/>
      <c r="R2919" s="336"/>
      <c r="S2919" s="337"/>
    </row>
    <row r="2920" spans="1:25" ht="30" customHeight="1" x14ac:dyDescent="0.25">
      <c r="A2920" s="367" t="s">
        <v>286</v>
      </c>
      <c r="B2920" s="1164" t="s">
        <v>1725</v>
      </c>
      <c r="C2920" s="1164"/>
      <c r="D2920" s="1164"/>
      <c r="E2920" s="547">
        <v>17000</v>
      </c>
      <c r="F2920" s="240">
        <v>552</v>
      </c>
      <c r="G2920" s="548"/>
      <c r="H2920" s="549"/>
      <c r="I2920" s="1302">
        <f>'2022 MILCON Inflation Table'!F14</f>
        <v>1.2075096234029197</v>
      </c>
      <c r="J2920" s="1303"/>
      <c r="K2920" s="240">
        <f>+F2920*I2920</f>
        <v>666.54531211841163</v>
      </c>
      <c r="L2920" s="367" t="s">
        <v>205</v>
      </c>
      <c r="M2920" s="54"/>
      <c r="N2920" s="111"/>
      <c r="O2920" s="336"/>
      <c r="P2920" s="334"/>
      <c r="Q2920" s="335"/>
      <c r="R2920" s="336"/>
      <c r="S2920" s="337"/>
    </row>
    <row r="2921" spans="1:25" ht="30" customHeight="1" thickBot="1" x14ac:dyDescent="0.3">
      <c r="A2921" s="365"/>
      <c r="B2921" s="1281"/>
      <c r="C2921" s="1281"/>
      <c r="D2921" s="1281"/>
      <c r="E2921" s="550"/>
      <c r="F2921" s="551"/>
      <c r="G2921" s="551"/>
      <c r="H2921" s="552"/>
      <c r="I2921" s="366"/>
      <c r="J2921" s="359" t="s">
        <v>72</v>
      </c>
      <c r="K2921" s="246">
        <f>+K2920</f>
        <v>666.54531211841163</v>
      </c>
      <c r="L2921" s="365" t="s">
        <v>205</v>
      </c>
      <c r="M2921" s="54"/>
      <c r="N2921" s="54"/>
      <c r="O2921" s="336"/>
      <c r="P2921" s="334"/>
      <c r="Q2921" s="335"/>
      <c r="R2921" s="336"/>
      <c r="S2921" s="337"/>
    </row>
    <row r="2922" spans="1:25" ht="30" customHeight="1" thickBot="1" x14ac:dyDescent="0.3">
      <c r="A2922" s="1180"/>
      <c r="B2922" s="1181"/>
      <c r="C2922" s="1181"/>
      <c r="D2922" s="1181"/>
      <c r="E2922" s="1181"/>
      <c r="F2922" s="1181"/>
      <c r="G2922" s="1181"/>
      <c r="H2922" s="1181"/>
      <c r="I2922" s="1181"/>
      <c r="J2922" s="1181"/>
      <c r="K2922" s="1181"/>
      <c r="L2922" s="1182"/>
      <c r="M2922" s="54"/>
      <c r="N2922" s="54"/>
      <c r="O2922" s="336"/>
      <c r="P2922" s="344"/>
      <c r="Q2922" s="345"/>
      <c r="R2922" s="345"/>
      <c r="S2922" s="345"/>
      <c r="T2922" s="345"/>
    </row>
    <row r="2923" spans="1:25" ht="30" customHeight="1" x14ac:dyDescent="0.25">
      <c r="A2923" s="327" t="s">
        <v>5</v>
      </c>
      <c r="B2923" s="328">
        <v>5500</v>
      </c>
      <c r="C2923" s="1218" t="s">
        <v>1726</v>
      </c>
      <c r="D2923" s="1219"/>
      <c r="E2923" s="331" t="s">
        <v>8</v>
      </c>
      <c r="F2923" s="332" t="s">
        <v>205</v>
      </c>
      <c r="G2923" s="342" t="s">
        <v>74</v>
      </c>
      <c r="H2923" s="248">
        <v>17476</v>
      </c>
      <c r="I2923" s="331" t="s">
        <v>10</v>
      </c>
      <c r="J2923" s="1220" t="s">
        <v>281</v>
      </c>
      <c r="K2923" s="1220"/>
      <c r="L2923" s="1221"/>
      <c r="M2923" s="54"/>
      <c r="N2923" s="54"/>
      <c r="O2923" s="467"/>
      <c r="P2923" s="344"/>
      <c r="Q2923" s="345"/>
      <c r="R2923" s="345"/>
      <c r="S2923" s="345"/>
      <c r="T2923" s="345"/>
      <c r="U2923" s="345"/>
    </row>
    <row r="2924" spans="1:25" ht="30" customHeight="1" x14ac:dyDescent="0.25">
      <c r="A2924" s="356" t="s">
        <v>282</v>
      </c>
      <c r="B2924" s="1163" t="s">
        <v>13</v>
      </c>
      <c r="C2924" s="1163"/>
      <c r="D2924" s="1163"/>
      <c r="E2924" s="357" t="s">
        <v>283</v>
      </c>
      <c r="F2924" s="546" t="s">
        <v>116</v>
      </c>
      <c r="G2924" s="356"/>
      <c r="H2924" s="356"/>
      <c r="I2924" s="1276" t="s">
        <v>284</v>
      </c>
      <c r="J2924" s="1277"/>
      <c r="K2924" s="1236" t="s">
        <v>285</v>
      </c>
      <c r="L2924" s="1237"/>
      <c r="M2924" s="54"/>
      <c r="N2924" s="54"/>
      <c r="O2924" s="345"/>
      <c r="P2924" s="344"/>
      <c r="Q2924" s="345"/>
      <c r="R2924" s="345"/>
      <c r="S2924" s="345"/>
      <c r="T2924" s="345"/>
      <c r="U2924" s="345"/>
    </row>
    <row r="2925" spans="1:25" ht="30" customHeight="1" x14ac:dyDescent="0.25">
      <c r="A2925" s="367" t="s">
        <v>286</v>
      </c>
      <c r="B2925" s="1164" t="s">
        <v>1727</v>
      </c>
      <c r="C2925" s="1164"/>
      <c r="D2925" s="1164"/>
      <c r="E2925" s="547">
        <v>35000</v>
      </c>
      <c r="F2925" s="240">
        <v>502</v>
      </c>
      <c r="G2925" s="548"/>
      <c r="H2925" s="549"/>
      <c r="I2925" s="1302" t="s">
        <v>288</v>
      </c>
      <c r="J2925" s="1303"/>
      <c r="K2925" s="240">
        <f>+F2925</f>
        <v>502</v>
      </c>
      <c r="L2925" s="367" t="s">
        <v>205</v>
      </c>
      <c r="M2925" s="54"/>
      <c r="N2925" s="54"/>
      <c r="U2925" s="345"/>
      <c r="V2925" s="345"/>
      <c r="W2925" s="345"/>
      <c r="X2925" s="345"/>
      <c r="Y2925" s="345"/>
    </row>
    <row r="2926" spans="1:25" s="345" customFormat="1" ht="30" customHeight="1" thickBot="1" x14ac:dyDescent="0.3">
      <c r="A2926" s="365"/>
      <c r="B2926" s="1281"/>
      <c r="C2926" s="1281"/>
      <c r="D2926" s="1281"/>
      <c r="E2926" s="550"/>
      <c r="F2926" s="551"/>
      <c r="G2926" s="551"/>
      <c r="H2926" s="552"/>
      <c r="I2926" s="366"/>
      <c r="J2926" s="359" t="s">
        <v>72</v>
      </c>
      <c r="K2926" s="246">
        <f>+K2925</f>
        <v>502</v>
      </c>
      <c r="L2926" s="365" t="s">
        <v>205</v>
      </c>
      <c r="M2926" s="54"/>
      <c r="N2926" s="54"/>
      <c r="O2926" s="340"/>
      <c r="P2926" s="344"/>
      <c r="U2926" s="334"/>
      <c r="V2926" s="334"/>
      <c r="W2926" s="334"/>
      <c r="X2926" s="334"/>
      <c r="Y2926" s="334"/>
    </row>
    <row r="2927" spans="1:25" ht="30" customHeight="1" thickBot="1" x14ac:dyDescent="0.3">
      <c r="A2927" s="807"/>
      <c r="B2927" s="808"/>
      <c r="C2927" s="808"/>
      <c r="D2927" s="808"/>
      <c r="E2927" s="808"/>
      <c r="F2927" s="808"/>
      <c r="G2927" s="808"/>
      <c r="H2927" s="808"/>
      <c r="I2927" s="808"/>
      <c r="J2927" s="808"/>
      <c r="K2927" s="808"/>
      <c r="L2927" s="809"/>
      <c r="M2927" s="54"/>
      <c r="N2927" s="54"/>
      <c r="O2927" s="336"/>
      <c r="P2927" s="344"/>
      <c r="Q2927" s="345"/>
      <c r="R2927" s="345"/>
      <c r="S2927" s="345"/>
      <c r="T2927" s="345"/>
      <c r="U2927" s="345"/>
      <c r="V2927" s="345"/>
      <c r="W2927" s="345"/>
      <c r="X2927" s="345"/>
      <c r="Y2927" s="345"/>
    </row>
    <row r="2928" spans="1:25" s="345" customFormat="1" ht="30" customHeight="1" x14ac:dyDescent="0.25">
      <c r="A2928" s="327" t="s">
        <v>5</v>
      </c>
      <c r="B2928" s="328">
        <v>5501</v>
      </c>
      <c r="C2928" s="1218" t="s">
        <v>1728</v>
      </c>
      <c r="D2928" s="1219"/>
      <c r="E2928" s="331" t="s">
        <v>8</v>
      </c>
      <c r="F2928" s="332" t="s">
        <v>205</v>
      </c>
      <c r="G2928" s="342" t="s">
        <v>74</v>
      </c>
      <c r="H2928" s="248">
        <v>102518</v>
      </c>
      <c r="I2928" s="331" t="s">
        <v>10</v>
      </c>
      <c r="J2928" s="1220" t="s">
        <v>1729</v>
      </c>
      <c r="K2928" s="1220"/>
      <c r="L2928" s="1221"/>
      <c r="M2928" s="54"/>
      <c r="N2928" s="54"/>
      <c r="O2928" s="336"/>
      <c r="P2928" s="344"/>
    </row>
    <row r="2929" spans="1:20" s="345" customFormat="1" ht="30" customHeight="1" x14ac:dyDescent="0.25">
      <c r="A2929" s="356" t="s">
        <v>282</v>
      </c>
      <c r="B2929" s="1163" t="s">
        <v>13</v>
      </c>
      <c r="C2929" s="1163"/>
      <c r="D2929" s="1163"/>
      <c r="E2929" s="357" t="s">
        <v>283</v>
      </c>
      <c r="F2929" s="546" t="s">
        <v>116</v>
      </c>
      <c r="G2929" s="356"/>
      <c r="H2929" s="356"/>
      <c r="I2929" s="1276" t="s">
        <v>284</v>
      </c>
      <c r="J2929" s="1277"/>
      <c r="K2929" s="1236" t="s">
        <v>285</v>
      </c>
      <c r="L2929" s="1237"/>
      <c r="M2929" s="54"/>
      <c r="N2929" s="54"/>
      <c r="O2929" s="336"/>
      <c r="P2929" s="344"/>
    </row>
    <row r="2930" spans="1:20" s="345" customFormat="1" ht="30" customHeight="1" x14ac:dyDescent="0.25">
      <c r="A2930" s="367" t="s">
        <v>286</v>
      </c>
      <c r="B2930" s="1164" t="s">
        <v>1730</v>
      </c>
      <c r="C2930" s="1164"/>
      <c r="D2930" s="1164"/>
      <c r="E2930" s="547">
        <v>120000</v>
      </c>
      <c r="F2930" s="240">
        <v>360</v>
      </c>
      <c r="G2930" s="548"/>
      <c r="H2930" s="549"/>
      <c r="I2930" s="1302">
        <f>'2022 MILCON Inflation Table'!F16</f>
        <v>1.0945893340593744</v>
      </c>
      <c r="J2930" s="1303"/>
      <c r="K2930" s="240">
        <f>+F2930*I2930</f>
        <v>394.05216026137481</v>
      </c>
      <c r="L2930" s="367" t="s">
        <v>205</v>
      </c>
      <c r="M2930" s="54"/>
      <c r="N2930" s="111"/>
      <c r="O2930" s="334"/>
      <c r="P2930" s="340"/>
      <c r="Q2930" s="334"/>
      <c r="R2930" s="334"/>
      <c r="S2930" s="334"/>
      <c r="T2930" s="334"/>
    </row>
    <row r="2931" spans="1:20" s="345" customFormat="1" ht="30" customHeight="1" thickBot="1" x14ac:dyDescent="0.3">
      <c r="A2931" s="365"/>
      <c r="B2931" s="1281"/>
      <c r="C2931" s="1281"/>
      <c r="D2931" s="1281"/>
      <c r="E2931" s="550"/>
      <c r="F2931" s="551"/>
      <c r="G2931" s="551"/>
      <c r="H2931" s="552"/>
      <c r="I2931" s="366"/>
      <c r="J2931" s="359" t="s">
        <v>72</v>
      </c>
      <c r="K2931" s="246">
        <f>+K2930</f>
        <v>394.05216026137481</v>
      </c>
      <c r="L2931" s="365" t="s">
        <v>205</v>
      </c>
      <c r="M2931" s="54"/>
      <c r="N2931" s="54"/>
      <c r="O2931" s="340"/>
      <c r="P2931" s="344"/>
    </row>
    <row r="2932" spans="1:20" ht="30" customHeight="1" thickBot="1" x14ac:dyDescent="0.3">
      <c r="A2932" s="1180"/>
      <c r="B2932" s="1181"/>
      <c r="C2932" s="1181"/>
      <c r="D2932" s="1181"/>
      <c r="E2932" s="1181"/>
      <c r="F2932" s="1181"/>
      <c r="G2932" s="1181"/>
      <c r="H2932" s="1181"/>
      <c r="I2932" s="1181"/>
      <c r="J2932" s="1181"/>
      <c r="K2932" s="1181"/>
      <c r="L2932" s="1182"/>
      <c r="M2932" s="54"/>
      <c r="N2932" s="54"/>
      <c r="O2932" s="336"/>
      <c r="P2932" s="344"/>
      <c r="Q2932" s="345"/>
      <c r="R2932" s="345"/>
      <c r="S2932" s="345"/>
      <c r="T2932" s="345"/>
    </row>
    <row r="2933" spans="1:20" s="345" customFormat="1" ht="30" customHeight="1" x14ac:dyDescent="0.25">
      <c r="A2933" s="327" t="s">
        <v>5</v>
      </c>
      <c r="B2933" s="328">
        <v>6100</v>
      </c>
      <c r="C2933" s="1218" t="s">
        <v>1731</v>
      </c>
      <c r="D2933" s="1219"/>
      <c r="E2933" s="331" t="s">
        <v>8</v>
      </c>
      <c r="F2933" s="332" t="s">
        <v>205</v>
      </c>
      <c r="G2933" s="342" t="s">
        <v>74</v>
      </c>
      <c r="H2933" s="248">
        <v>9741</v>
      </c>
      <c r="I2933" s="331" t="s">
        <v>10</v>
      </c>
      <c r="J2933" s="1220" t="s">
        <v>281</v>
      </c>
      <c r="K2933" s="1220"/>
      <c r="L2933" s="1221"/>
      <c r="M2933" s="54"/>
      <c r="N2933" s="54"/>
      <c r="O2933" s="336"/>
      <c r="P2933" s="344"/>
    </row>
    <row r="2934" spans="1:20" s="345" customFormat="1" ht="30" customHeight="1" x14ac:dyDescent="0.25">
      <c r="A2934" s="356" t="s">
        <v>282</v>
      </c>
      <c r="B2934" s="1163" t="s">
        <v>13</v>
      </c>
      <c r="C2934" s="1163"/>
      <c r="D2934" s="1163"/>
      <c r="E2934" s="357" t="s">
        <v>283</v>
      </c>
      <c r="F2934" s="546" t="s">
        <v>116</v>
      </c>
      <c r="G2934" s="356"/>
      <c r="H2934" s="356"/>
      <c r="I2934" s="1276" t="s">
        <v>284</v>
      </c>
      <c r="J2934" s="1277"/>
      <c r="K2934" s="1236" t="s">
        <v>285</v>
      </c>
      <c r="L2934" s="1237"/>
      <c r="M2934" s="54"/>
      <c r="N2934" s="54"/>
      <c r="O2934" s="336"/>
      <c r="P2934" s="344"/>
    </row>
    <row r="2935" spans="1:20" s="345" customFormat="1" ht="30" customHeight="1" x14ac:dyDescent="0.25">
      <c r="A2935" s="367" t="s">
        <v>286</v>
      </c>
      <c r="B2935" s="1164" t="s">
        <v>1732</v>
      </c>
      <c r="C2935" s="1164"/>
      <c r="D2935" s="1164"/>
      <c r="E2935" s="547">
        <v>45000</v>
      </c>
      <c r="F2935" s="240">
        <v>503</v>
      </c>
      <c r="G2935" s="548"/>
      <c r="H2935" s="549"/>
      <c r="I2935" s="1302" t="s">
        <v>288</v>
      </c>
      <c r="J2935" s="1303"/>
      <c r="K2935" s="240">
        <f>+F2935</f>
        <v>503</v>
      </c>
      <c r="L2935" s="367" t="s">
        <v>205</v>
      </c>
      <c r="M2935" s="111"/>
      <c r="N2935" s="54"/>
      <c r="O2935" s="334"/>
      <c r="P2935" s="334"/>
      <c r="Q2935" s="335"/>
      <c r="R2935" s="336"/>
      <c r="S2935" s="337"/>
      <c r="T2935" s="334"/>
    </row>
    <row r="2936" spans="1:20" s="345" customFormat="1" ht="30" customHeight="1" thickBot="1" x14ac:dyDescent="0.3">
      <c r="A2936" s="365"/>
      <c r="B2936" s="1281"/>
      <c r="C2936" s="1281"/>
      <c r="D2936" s="1281"/>
      <c r="E2936" s="550"/>
      <c r="F2936" s="551"/>
      <c r="G2936" s="551"/>
      <c r="H2936" s="552"/>
      <c r="I2936" s="366"/>
      <c r="J2936" s="359" t="s">
        <v>72</v>
      </c>
      <c r="K2936" s="246">
        <f>+K2935</f>
        <v>503</v>
      </c>
      <c r="L2936" s="365" t="s">
        <v>205</v>
      </c>
      <c r="M2936" s="54"/>
      <c r="N2936" s="11"/>
      <c r="O2936" s="336"/>
      <c r="P2936" s="334"/>
      <c r="Q2936" s="335"/>
      <c r="R2936" s="336"/>
      <c r="S2936" s="337"/>
      <c r="T2936" s="334"/>
    </row>
    <row r="2937" spans="1:20" ht="30" customHeight="1" thickBot="1" x14ac:dyDescent="0.3">
      <c r="A2937" s="1180"/>
      <c r="B2937" s="1181"/>
      <c r="C2937" s="1181"/>
      <c r="D2937" s="1181"/>
      <c r="E2937" s="1181"/>
      <c r="F2937" s="1181"/>
      <c r="G2937" s="1181"/>
      <c r="H2937" s="1181"/>
      <c r="I2937" s="1181"/>
      <c r="J2937" s="1181"/>
      <c r="K2937" s="1181"/>
      <c r="L2937" s="1182"/>
      <c r="M2937" s="54"/>
      <c r="N2937" s="54"/>
      <c r="O2937" s="336"/>
      <c r="P2937" s="334"/>
      <c r="Q2937" s="335"/>
      <c r="R2937" s="336"/>
      <c r="S2937" s="337"/>
    </row>
    <row r="2938" spans="1:20" ht="30" customHeight="1" x14ac:dyDescent="0.25">
      <c r="A2938" s="327" t="s">
        <v>5</v>
      </c>
      <c r="B2938" s="328">
        <v>6101</v>
      </c>
      <c r="C2938" s="1218" t="s">
        <v>1733</v>
      </c>
      <c r="D2938" s="1219"/>
      <c r="E2938" s="331" t="s">
        <v>8</v>
      </c>
      <c r="F2938" s="332" t="s">
        <v>205</v>
      </c>
      <c r="G2938" s="342" t="s">
        <v>74</v>
      </c>
      <c r="H2938" s="160">
        <v>11294</v>
      </c>
      <c r="I2938" s="331" t="s">
        <v>10</v>
      </c>
      <c r="J2938" s="1220" t="s">
        <v>281</v>
      </c>
      <c r="K2938" s="1220"/>
      <c r="L2938" s="1221"/>
      <c r="M2938" s="54"/>
      <c r="N2938" s="54"/>
      <c r="O2938" s="336"/>
      <c r="P2938" s="334"/>
      <c r="Q2938" s="335"/>
      <c r="R2938" s="336"/>
      <c r="S2938" s="337"/>
    </row>
    <row r="2939" spans="1:20" ht="30" customHeight="1" x14ac:dyDescent="0.25">
      <c r="A2939" s="356" t="s">
        <v>282</v>
      </c>
      <c r="B2939" s="1163" t="s">
        <v>13</v>
      </c>
      <c r="C2939" s="1163"/>
      <c r="D2939" s="1163"/>
      <c r="E2939" s="357" t="s">
        <v>283</v>
      </c>
      <c r="F2939" s="546" t="s">
        <v>116</v>
      </c>
      <c r="G2939" s="356"/>
      <c r="H2939" s="356"/>
      <c r="I2939" s="1276" t="s">
        <v>284</v>
      </c>
      <c r="J2939" s="1277"/>
      <c r="K2939" s="1236" t="s">
        <v>285</v>
      </c>
      <c r="L2939" s="1237"/>
      <c r="M2939" s="54"/>
      <c r="N2939" s="54"/>
      <c r="O2939" s="336"/>
      <c r="P2939" s="334"/>
      <c r="Q2939" s="335"/>
      <c r="R2939" s="336"/>
      <c r="S2939" s="337"/>
    </row>
    <row r="2940" spans="1:20" ht="30" customHeight="1" x14ac:dyDescent="0.25">
      <c r="A2940" s="367" t="s">
        <v>286</v>
      </c>
      <c r="B2940" s="1164" t="s">
        <v>1734</v>
      </c>
      <c r="C2940" s="1164"/>
      <c r="D2940" s="1164"/>
      <c r="E2940" s="547">
        <v>17000</v>
      </c>
      <c r="F2940" s="240">
        <v>367</v>
      </c>
      <c r="G2940" s="548"/>
      <c r="H2940" s="549"/>
      <c r="I2940" s="1302" t="s">
        <v>288</v>
      </c>
      <c r="J2940" s="1303"/>
      <c r="K2940" s="240">
        <f>+F2940</f>
        <v>367</v>
      </c>
      <c r="L2940" s="367" t="s">
        <v>205</v>
      </c>
      <c r="M2940" s="54"/>
      <c r="N2940" s="54"/>
      <c r="O2940" s="336"/>
      <c r="P2940" s="334"/>
      <c r="Q2940" s="335"/>
      <c r="R2940" s="336"/>
      <c r="S2940" s="337"/>
    </row>
    <row r="2941" spans="1:20" ht="30" customHeight="1" thickBot="1" x14ac:dyDescent="0.3">
      <c r="A2941" s="365"/>
      <c r="B2941" s="1281"/>
      <c r="C2941" s="1281"/>
      <c r="D2941" s="1281"/>
      <c r="E2941" s="550"/>
      <c r="F2941" s="551"/>
      <c r="G2941" s="551"/>
      <c r="H2941" s="552"/>
      <c r="I2941" s="366"/>
      <c r="J2941" s="359" t="s">
        <v>72</v>
      </c>
      <c r="K2941" s="246">
        <f>+K2940</f>
        <v>367</v>
      </c>
      <c r="L2941" s="365" t="s">
        <v>205</v>
      </c>
      <c r="M2941" s="54"/>
      <c r="N2941" s="54"/>
      <c r="O2941" s="336"/>
      <c r="P2941" s="334"/>
      <c r="Q2941" s="335"/>
      <c r="R2941" s="336"/>
      <c r="S2941" s="337"/>
    </row>
    <row r="2942" spans="1:20" ht="30" customHeight="1" thickBot="1" x14ac:dyDescent="0.3">
      <c r="A2942" s="1180"/>
      <c r="B2942" s="1181"/>
      <c r="C2942" s="1181"/>
      <c r="D2942" s="1181"/>
      <c r="E2942" s="1181"/>
      <c r="F2942" s="1181"/>
      <c r="G2942" s="1181"/>
      <c r="H2942" s="1181"/>
      <c r="I2942" s="1181"/>
      <c r="J2942" s="1181"/>
      <c r="K2942" s="1181"/>
      <c r="L2942" s="1182"/>
      <c r="M2942" s="54"/>
      <c r="N2942" s="54"/>
      <c r="O2942" s="336"/>
      <c r="P2942" s="334"/>
      <c r="Q2942" s="335"/>
      <c r="R2942" s="336"/>
      <c r="S2942" s="337"/>
    </row>
    <row r="2943" spans="1:20" ht="30" customHeight="1" x14ac:dyDescent="0.25">
      <c r="A2943" s="327" t="s">
        <v>5</v>
      </c>
      <c r="B2943" s="328">
        <v>6102</v>
      </c>
      <c r="C2943" s="1218" t="s">
        <v>1735</v>
      </c>
      <c r="D2943" s="1219"/>
      <c r="E2943" s="331" t="s">
        <v>8</v>
      </c>
      <c r="F2943" s="332" t="s">
        <v>205</v>
      </c>
      <c r="G2943" s="342" t="s">
        <v>74</v>
      </c>
      <c r="H2943" s="160">
        <v>12221</v>
      </c>
      <c r="I2943" s="331" t="s">
        <v>10</v>
      </c>
      <c r="J2943" s="1220" t="s">
        <v>281</v>
      </c>
      <c r="K2943" s="1220"/>
      <c r="L2943" s="1221"/>
      <c r="M2943" s="54"/>
      <c r="N2943" s="54"/>
      <c r="O2943" s="336"/>
      <c r="P2943" s="334"/>
      <c r="Q2943" s="335"/>
      <c r="R2943" s="336"/>
      <c r="S2943" s="337"/>
    </row>
    <row r="2944" spans="1:20" ht="30" customHeight="1" x14ac:dyDescent="0.25">
      <c r="A2944" s="356" t="s">
        <v>282</v>
      </c>
      <c r="B2944" s="1163" t="s">
        <v>13</v>
      </c>
      <c r="C2944" s="1163"/>
      <c r="D2944" s="1163"/>
      <c r="E2944" s="357" t="s">
        <v>283</v>
      </c>
      <c r="F2944" s="546" t="s">
        <v>116</v>
      </c>
      <c r="G2944" s="356"/>
      <c r="H2944" s="356"/>
      <c r="I2944" s="1276" t="s">
        <v>284</v>
      </c>
      <c r="J2944" s="1277"/>
      <c r="K2944" s="1236" t="s">
        <v>285</v>
      </c>
      <c r="L2944" s="1237"/>
      <c r="M2944" s="54"/>
      <c r="N2944" s="54"/>
      <c r="O2944" s="336"/>
      <c r="P2944" s="334"/>
      <c r="Q2944" s="335"/>
      <c r="R2944" s="336"/>
      <c r="S2944" s="337"/>
    </row>
    <row r="2945" spans="1:26" ht="30" customHeight="1" x14ac:dyDescent="0.25">
      <c r="A2945" s="367" t="s">
        <v>286</v>
      </c>
      <c r="B2945" s="1164" t="s">
        <v>1736</v>
      </c>
      <c r="C2945" s="1164"/>
      <c r="D2945" s="1164"/>
      <c r="E2945" s="547">
        <v>80000</v>
      </c>
      <c r="F2945" s="240">
        <v>377</v>
      </c>
      <c r="G2945" s="548"/>
      <c r="H2945" s="549"/>
      <c r="I2945" s="1302" t="s">
        <v>288</v>
      </c>
      <c r="J2945" s="1303"/>
      <c r="K2945" s="240">
        <f>+F2945</f>
        <v>377</v>
      </c>
      <c r="L2945" s="367" t="s">
        <v>205</v>
      </c>
      <c r="M2945" s="111"/>
      <c r="N2945" s="54"/>
      <c r="O2945" s="336"/>
      <c r="P2945" s="334"/>
      <c r="Q2945" s="335"/>
      <c r="R2945" s="336"/>
      <c r="S2945" s="337"/>
    </row>
    <row r="2946" spans="1:26" ht="30" customHeight="1" thickBot="1" x14ac:dyDescent="0.3">
      <c r="A2946" s="365"/>
      <c r="B2946" s="1281"/>
      <c r="C2946" s="1281"/>
      <c r="D2946" s="1281"/>
      <c r="E2946" s="550"/>
      <c r="F2946" s="551"/>
      <c r="G2946" s="551"/>
      <c r="H2946" s="552"/>
      <c r="I2946" s="366"/>
      <c r="J2946" s="359" t="s">
        <v>72</v>
      </c>
      <c r="K2946" s="246">
        <f>+K2945</f>
        <v>377</v>
      </c>
      <c r="L2946" s="365" t="s">
        <v>205</v>
      </c>
      <c r="M2946" s="54"/>
      <c r="N2946" s="111"/>
      <c r="O2946" s="336"/>
      <c r="P2946" s="334"/>
      <c r="Q2946" s="335"/>
      <c r="R2946" s="336"/>
      <c r="S2946" s="337"/>
    </row>
    <row r="2947" spans="1:26" ht="30" customHeight="1" thickBot="1" x14ac:dyDescent="0.3">
      <c r="A2947" s="1180"/>
      <c r="B2947" s="1181"/>
      <c r="C2947" s="1181"/>
      <c r="D2947" s="1181"/>
      <c r="E2947" s="1181"/>
      <c r="F2947" s="1181"/>
      <c r="G2947" s="1181"/>
      <c r="H2947" s="1181"/>
      <c r="I2947" s="1181"/>
      <c r="J2947" s="1181"/>
      <c r="K2947" s="1181"/>
      <c r="L2947" s="1182"/>
      <c r="M2947" s="54"/>
      <c r="N2947" s="54"/>
      <c r="O2947" s="336"/>
      <c r="P2947" s="334"/>
      <c r="Q2947" s="335"/>
      <c r="R2947" s="336"/>
      <c r="S2947" s="337"/>
    </row>
    <row r="2948" spans="1:26" ht="30" customHeight="1" x14ac:dyDescent="0.25">
      <c r="A2948" s="327" t="s">
        <v>5</v>
      </c>
      <c r="B2948" s="328">
        <v>6103</v>
      </c>
      <c r="C2948" s="1251" t="s">
        <v>1737</v>
      </c>
      <c r="D2948" s="1252"/>
      <c r="E2948" s="331" t="s">
        <v>8</v>
      </c>
      <c r="F2948" s="576" t="s">
        <v>205</v>
      </c>
      <c r="G2948" s="342" t="s">
        <v>74</v>
      </c>
      <c r="H2948" s="820">
        <v>6927</v>
      </c>
      <c r="I2948" s="331" t="s">
        <v>10</v>
      </c>
      <c r="J2948" s="1220" t="s">
        <v>294</v>
      </c>
      <c r="K2948" s="1220"/>
      <c r="L2948" s="1221"/>
      <c r="M2948" s="54"/>
      <c r="N2948" s="54"/>
      <c r="O2948" s="336"/>
      <c r="P2948" s="334"/>
      <c r="Q2948" s="335"/>
      <c r="R2948" s="336"/>
      <c r="S2948" s="337"/>
    </row>
    <row r="2949" spans="1:26" ht="30" customHeight="1" x14ac:dyDescent="0.25">
      <c r="A2949" s="359" t="s">
        <v>295</v>
      </c>
      <c r="B2949" s="1222" t="s">
        <v>326</v>
      </c>
      <c r="C2949" s="1235"/>
      <c r="D2949" s="1223"/>
      <c r="E2949" s="577" t="s">
        <v>116</v>
      </c>
      <c r="F2949" s="577" t="s">
        <v>117</v>
      </c>
      <c r="G2949" s="1194" t="s">
        <v>118</v>
      </c>
      <c r="H2949" s="1195"/>
      <c r="I2949" s="356" t="s">
        <v>296</v>
      </c>
      <c r="J2949" s="356"/>
      <c r="K2949" s="1236" t="s">
        <v>285</v>
      </c>
      <c r="L2949" s="1237"/>
      <c r="M2949" s="54"/>
      <c r="N2949" s="54"/>
      <c r="O2949" s="336"/>
      <c r="P2949" s="334"/>
      <c r="Q2949" s="335"/>
      <c r="R2949" s="336"/>
      <c r="S2949" s="337"/>
    </row>
    <row r="2950" spans="1:26" ht="30" customHeight="1" x14ac:dyDescent="0.25">
      <c r="A2950" s="895" t="s">
        <v>1102</v>
      </c>
      <c r="B2950" s="1214" t="s">
        <v>1738</v>
      </c>
      <c r="C2950" s="1215"/>
      <c r="D2950" s="1216"/>
      <c r="E2950" s="247">
        <v>80</v>
      </c>
      <c r="F2950" s="365" t="s">
        <v>205</v>
      </c>
      <c r="G2950" s="365"/>
      <c r="H2950" s="365"/>
      <c r="I2950" s="365">
        <v>1.19</v>
      </c>
      <c r="J2950" s="706"/>
      <c r="K2950" s="247">
        <f>+E2950*I2950</f>
        <v>95.199999999999989</v>
      </c>
      <c r="L2950" s="365" t="s">
        <v>205</v>
      </c>
      <c r="M2950" s="54"/>
      <c r="N2950" s="54"/>
      <c r="O2950" s="336"/>
      <c r="P2950" s="334"/>
      <c r="Q2950" s="335"/>
      <c r="R2950" s="336"/>
      <c r="S2950" s="337"/>
    </row>
    <row r="2951" spans="1:26" ht="30" customHeight="1" x14ac:dyDescent="0.25">
      <c r="A2951" s="895" t="s">
        <v>406</v>
      </c>
      <c r="B2951" s="1281" t="s">
        <v>1501</v>
      </c>
      <c r="C2951" s="1281"/>
      <c r="D2951" s="1281"/>
      <c r="E2951" s="246">
        <v>3.34</v>
      </c>
      <c r="F2951" s="365" t="s">
        <v>205</v>
      </c>
      <c r="G2951" s="366"/>
      <c r="H2951" s="662"/>
      <c r="I2951" s="365">
        <v>1.19</v>
      </c>
      <c r="J2951" s="706"/>
      <c r="K2951" s="247">
        <f>+E2951*I2951</f>
        <v>3.9745999999999997</v>
      </c>
      <c r="L2951" s="365" t="s">
        <v>205</v>
      </c>
      <c r="N2951" s="54"/>
      <c r="O2951" s="336"/>
      <c r="P2951" s="334"/>
      <c r="Q2951" s="335"/>
      <c r="R2951" s="336"/>
      <c r="S2951" s="337"/>
    </row>
    <row r="2952" spans="1:26" ht="30" customHeight="1" x14ac:dyDescent="0.25">
      <c r="A2952" s="365"/>
      <c r="B2952" s="1281"/>
      <c r="C2952" s="1281"/>
      <c r="D2952" s="1281"/>
      <c r="E2952" s="247"/>
      <c r="F2952" s="365"/>
      <c r="G2952" s="366"/>
      <c r="H2952" s="662"/>
      <c r="I2952" s="365"/>
      <c r="J2952" s="365" t="s">
        <v>343</v>
      </c>
      <c r="K2952" s="247">
        <f>SUM(K2950:K2951)</f>
        <v>99.174599999999984</v>
      </c>
      <c r="L2952" s="365" t="s">
        <v>205</v>
      </c>
      <c r="M2952" s="54"/>
      <c r="N2952" s="54"/>
      <c r="O2952" s="336"/>
      <c r="P2952" s="334"/>
      <c r="Q2952" s="335"/>
      <c r="R2952" s="336"/>
      <c r="S2952" s="337"/>
    </row>
    <row r="2953" spans="1:26" ht="30" customHeight="1" x14ac:dyDescent="0.25">
      <c r="A2953" s="365"/>
      <c r="B2953" s="578"/>
      <c r="C2953" s="578"/>
      <c r="D2953" s="578"/>
      <c r="E2953" s="247"/>
      <c r="F2953" s="1272" t="s">
        <v>303</v>
      </c>
      <c r="G2953" s="1283" t="s">
        <v>304</v>
      </c>
      <c r="H2953" s="1283"/>
      <c r="I2953" s="1283"/>
      <c r="J2953" s="1283"/>
      <c r="K2953" s="706">
        <v>1.08</v>
      </c>
      <c r="L2953" s="365"/>
      <c r="M2953" s="54"/>
      <c r="N2953" s="54"/>
      <c r="O2953" s="336"/>
      <c r="P2953" s="334"/>
      <c r="Q2953" s="335"/>
      <c r="R2953" s="336"/>
      <c r="S2953" s="337"/>
    </row>
    <row r="2954" spans="1:26" ht="30" customHeight="1" x14ac:dyDescent="0.25">
      <c r="A2954" s="365"/>
      <c r="B2954" s="578"/>
      <c r="C2954" s="578"/>
      <c r="D2954" s="578"/>
      <c r="E2954" s="247"/>
      <c r="F2954" s="1273"/>
      <c r="G2954" s="1284" t="s">
        <v>305</v>
      </c>
      <c r="H2954" s="1284"/>
      <c r="I2954" s="1284"/>
      <c r="J2954" s="1284"/>
      <c r="K2954" s="250">
        <v>1.06</v>
      </c>
      <c r="L2954" s="365"/>
      <c r="M2954" s="54"/>
      <c r="N2954" s="54"/>
      <c r="O2954" s="336"/>
      <c r="P2954" s="334"/>
      <c r="Q2954" s="335"/>
      <c r="R2954" s="336"/>
      <c r="S2954" s="337"/>
    </row>
    <row r="2955" spans="1:26" ht="30" customHeight="1" x14ac:dyDescent="0.25">
      <c r="A2955" s="365"/>
      <c r="B2955" s="365"/>
      <c r="C2955" s="366"/>
      <c r="D2955" s="366"/>
      <c r="E2955" s="366"/>
      <c r="F2955" s="366"/>
      <c r="G2955" s="366"/>
      <c r="H2955" s="366"/>
      <c r="I2955" s="366"/>
      <c r="J2955" s="365" t="s">
        <v>72</v>
      </c>
      <c r="K2955" s="246">
        <f>+K2952*K2953/K2954</f>
        <v>101.04581886792451</v>
      </c>
      <c r="L2955" s="365" t="s">
        <v>205</v>
      </c>
      <c r="M2955" s="54"/>
      <c r="N2955" s="54"/>
      <c r="O2955" s="336"/>
      <c r="P2955" s="334"/>
      <c r="Q2955" s="335"/>
      <c r="R2955" s="336"/>
      <c r="S2955" s="337"/>
    </row>
    <row r="2956" spans="1:26" ht="30" customHeight="1" thickBot="1" x14ac:dyDescent="0.3">
      <c r="A2956" s="365"/>
      <c r="B2956" s="365"/>
      <c r="C2956" s="366"/>
      <c r="D2956" s="366"/>
      <c r="E2956" s="366"/>
      <c r="F2956" s="366"/>
      <c r="G2956" s="366"/>
      <c r="H2956" s="366"/>
      <c r="I2956" s="877" t="s">
        <v>306</v>
      </c>
      <c r="J2956" s="521">
        <f>VLOOKUP(B2948,'Mil Cost Premiums for PUCs'!$A$4:$R$277,18,FALSE)</f>
        <v>1.1861082984327833</v>
      </c>
      <c r="K2956" s="246">
        <f>+K2955*J2956</f>
        <v>119.85128428118117</v>
      </c>
      <c r="L2956" s="365" t="s">
        <v>205</v>
      </c>
      <c r="M2956" s="54"/>
      <c r="N2956" s="54"/>
      <c r="O2956" s="336"/>
      <c r="P2956" s="334"/>
      <c r="Q2956" s="335"/>
      <c r="R2956" s="336"/>
      <c r="S2956" s="337"/>
    </row>
    <row r="2957" spans="1:26" ht="30" customHeight="1" thickBot="1" x14ac:dyDescent="0.3">
      <c r="A2957" s="1180"/>
      <c r="B2957" s="1181"/>
      <c r="C2957" s="1181"/>
      <c r="D2957" s="1181"/>
      <c r="E2957" s="1181"/>
      <c r="F2957" s="1181"/>
      <c r="G2957" s="1181"/>
      <c r="H2957" s="1181"/>
      <c r="I2957" s="1181"/>
      <c r="J2957" s="1181"/>
      <c r="K2957" s="1181"/>
      <c r="L2957" s="1182"/>
      <c r="M2957" s="54"/>
      <c r="N2957" s="54"/>
      <c r="O2957" s="336"/>
      <c r="P2957" s="334"/>
      <c r="Q2957" s="335"/>
      <c r="R2957" s="336"/>
      <c r="S2957" s="337"/>
    </row>
    <row r="2958" spans="1:26" ht="30" customHeight="1" x14ac:dyDescent="0.25">
      <c r="A2958" s="327" t="s">
        <v>5</v>
      </c>
      <c r="B2958" s="328">
        <v>6104</v>
      </c>
      <c r="C2958" s="1218" t="s">
        <v>1739</v>
      </c>
      <c r="D2958" s="1219"/>
      <c r="E2958" s="331" t="s">
        <v>8</v>
      </c>
      <c r="F2958" s="332" t="s">
        <v>205</v>
      </c>
      <c r="G2958" s="342" t="s">
        <v>74</v>
      </c>
      <c r="H2958" s="820">
        <v>12410</v>
      </c>
      <c r="I2958" s="331" t="s">
        <v>10</v>
      </c>
      <c r="J2958" s="1220" t="s">
        <v>1740</v>
      </c>
      <c r="K2958" s="1220"/>
      <c r="L2958" s="1221"/>
      <c r="M2958" s="54"/>
      <c r="N2958" s="54"/>
      <c r="O2958" s="336"/>
      <c r="P2958" s="334"/>
      <c r="Q2958" s="335"/>
      <c r="R2958" s="336"/>
      <c r="S2958" s="337"/>
    </row>
    <row r="2959" spans="1:26" ht="30" customHeight="1" x14ac:dyDescent="0.25">
      <c r="A2959" s="356"/>
      <c r="B2959" s="1163" t="s">
        <v>13</v>
      </c>
      <c r="C2959" s="1163"/>
      <c r="D2959" s="1163"/>
      <c r="E2959" s="356" t="s">
        <v>283</v>
      </c>
      <c r="F2959" s="356" t="s">
        <v>116</v>
      </c>
      <c r="G2959" s="1276"/>
      <c r="H2959" s="1277"/>
      <c r="I2959" s="1276" t="s">
        <v>284</v>
      </c>
      <c r="J2959" s="1277"/>
      <c r="K2959" s="1236" t="s">
        <v>285</v>
      </c>
      <c r="L2959" s="1237"/>
      <c r="M2959" s="54"/>
      <c r="O2959" s="467"/>
      <c r="P2959" s="467"/>
      <c r="Q2959" s="1672"/>
      <c r="R2959" s="1672"/>
      <c r="S2959" s="469"/>
      <c r="T2959" s="345"/>
      <c r="U2959" s="344"/>
      <c r="V2959" s="135"/>
      <c r="W2959" s="469"/>
      <c r="X2959" s="1649"/>
      <c r="Y2959" s="1649"/>
      <c r="Z2959" s="1649"/>
    </row>
    <row r="2960" spans="1:26" ht="30" customHeight="1" x14ac:dyDescent="0.25">
      <c r="A2960" s="360" t="s">
        <v>286</v>
      </c>
      <c r="B2960" s="1164" t="s">
        <v>1741</v>
      </c>
      <c r="C2960" s="1164"/>
      <c r="D2960" s="1164"/>
      <c r="E2960" s="361">
        <v>26000</v>
      </c>
      <c r="F2960" s="240">
        <v>294</v>
      </c>
      <c r="G2960" s="1575"/>
      <c r="H2960" s="1576"/>
      <c r="I2960" s="1302">
        <f>+'2022 MILCON Inflation Table'!F12</f>
        <v>1.3051542056534731</v>
      </c>
      <c r="J2960" s="1303"/>
      <c r="K2960" s="898">
        <f>+F2960*I2960</f>
        <v>383.71533646212106</v>
      </c>
      <c r="L2960" s="360" t="s">
        <v>205</v>
      </c>
      <c r="M2960" s="54"/>
      <c r="N2960" s="54"/>
      <c r="O2960" s="899"/>
      <c r="P2960" s="1668"/>
      <c r="Q2960" s="1668"/>
      <c r="R2960" s="1668"/>
      <c r="S2960" s="899"/>
      <c r="T2960" s="899"/>
      <c r="U2960" s="1669"/>
      <c r="V2960" s="1669"/>
      <c r="W2960" s="899"/>
      <c r="X2960" s="899"/>
      <c r="Y2960" s="1669"/>
      <c r="Z2960" s="1669"/>
    </row>
    <row r="2961" spans="1:26" ht="30" customHeight="1" thickBot="1" x14ac:dyDescent="0.3">
      <c r="A2961" s="365"/>
      <c r="B2961" s="1281"/>
      <c r="C2961" s="1281"/>
      <c r="D2961" s="1281"/>
      <c r="E2961" s="550"/>
      <c r="F2961" s="551"/>
      <c r="G2961" s="551"/>
      <c r="H2961" s="552"/>
      <c r="I2961" s="366"/>
      <c r="J2961" s="359" t="s">
        <v>72</v>
      </c>
      <c r="K2961" s="246">
        <f>+K2960</f>
        <v>383.71533646212106</v>
      </c>
      <c r="L2961" s="365" t="s">
        <v>205</v>
      </c>
      <c r="M2961" s="111"/>
      <c r="N2961" s="54"/>
      <c r="O2961" s="348"/>
      <c r="P2961" s="1670"/>
      <c r="Q2961" s="1670"/>
      <c r="R2961" s="1670"/>
      <c r="S2961" s="900"/>
      <c r="T2961" s="384"/>
      <c r="U2961" s="1671"/>
      <c r="V2961" s="1671"/>
      <c r="W2961" s="384"/>
      <c r="X2961" s="901"/>
      <c r="Y2961" s="799"/>
      <c r="Z2961" s="384"/>
    </row>
    <row r="2962" spans="1:26" ht="30" customHeight="1" thickBot="1" x14ac:dyDescent="0.3">
      <c r="A2962" s="1180"/>
      <c r="B2962" s="1181"/>
      <c r="C2962" s="1181"/>
      <c r="D2962" s="1181"/>
      <c r="E2962" s="1181"/>
      <c r="F2962" s="1181"/>
      <c r="G2962" s="1181"/>
      <c r="H2962" s="1181"/>
      <c r="I2962" s="1181"/>
      <c r="J2962" s="1181"/>
      <c r="K2962" s="1181"/>
      <c r="L2962" s="1182"/>
      <c r="M2962" s="54"/>
      <c r="N2962" s="54"/>
      <c r="O2962" s="348"/>
      <c r="P2962" s="902"/>
      <c r="Q2962" s="902"/>
      <c r="R2962" s="902"/>
      <c r="S2962" s="900"/>
      <c r="T2962" s="384"/>
      <c r="U2962" s="901"/>
      <c r="V2962" s="901"/>
      <c r="W2962" s="384"/>
      <c r="X2962" s="901"/>
      <c r="Y2962" s="799"/>
      <c r="Z2962" s="384"/>
    </row>
    <row r="2963" spans="1:26" ht="30" customHeight="1" x14ac:dyDescent="0.25">
      <c r="A2963" s="327" t="s">
        <v>5</v>
      </c>
      <c r="B2963" s="328">
        <v>6105</v>
      </c>
      <c r="C2963" s="1218" t="s">
        <v>1742</v>
      </c>
      <c r="D2963" s="1219"/>
      <c r="E2963" s="331" t="s">
        <v>8</v>
      </c>
      <c r="F2963" s="332" t="s">
        <v>205</v>
      </c>
      <c r="G2963" s="342" t="s">
        <v>74</v>
      </c>
      <c r="H2963" s="160">
        <v>227136</v>
      </c>
      <c r="I2963" s="331" t="s">
        <v>10</v>
      </c>
      <c r="J2963" s="1220" t="s">
        <v>3424</v>
      </c>
      <c r="K2963" s="1220"/>
      <c r="L2963" s="1221"/>
      <c r="M2963" s="54"/>
      <c r="N2963" s="54"/>
      <c r="O2963" s="348"/>
      <c r="P2963" s="902"/>
      <c r="Q2963" s="902"/>
      <c r="R2963" s="902"/>
      <c r="S2963" s="900"/>
      <c r="T2963" s="384"/>
      <c r="U2963" s="901"/>
      <c r="V2963" s="901"/>
      <c r="W2963" s="384"/>
      <c r="X2963" s="901"/>
      <c r="Y2963" s="799"/>
      <c r="Z2963" s="384"/>
    </row>
    <row r="2964" spans="1:26" ht="30" customHeight="1" x14ac:dyDescent="0.25">
      <c r="A2964" s="356" t="s">
        <v>282</v>
      </c>
      <c r="B2964" s="1163" t="s">
        <v>13</v>
      </c>
      <c r="C2964" s="1163"/>
      <c r="D2964" s="1163"/>
      <c r="E2964" s="546" t="s">
        <v>116</v>
      </c>
      <c r="F2964" s="356" t="s">
        <v>283</v>
      </c>
      <c r="G2964" s="1314" t="s">
        <v>118</v>
      </c>
      <c r="H2964" s="1315"/>
      <c r="I2964" s="1276" t="s">
        <v>284</v>
      </c>
      <c r="J2964" s="1277"/>
      <c r="K2964" s="1236" t="s">
        <v>285</v>
      </c>
      <c r="L2964" s="1237"/>
      <c r="M2964" s="54"/>
      <c r="N2964" s="54"/>
      <c r="O2964" s="336"/>
      <c r="P2964" s="334"/>
      <c r="Q2964" s="335"/>
      <c r="R2964" s="336"/>
      <c r="S2964" s="337"/>
    </row>
    <row r="2965" spans="1:26" ht="30" customHeight="1" x14ac:dyDescent="0.25">
      <c r="A2965" s="365"/>
      <c r="B2965" s="1662" t="s">
        <v>1743</v>
      </c>
      <c r="C2965" s="1663"/>
      <c r="D2965" s="1664"/>
      <c r="E2965" s="247">
        <v>751.24</v>
      </c>
      <c r="F2965" s="257"/>
      <c r="G2965" s="367"/>
      <c r="H2965" s="367"/>
      <c r="I2965" s="1416">
        <v>1.0833999999999999</v>
      </c>
      <c r="J2965" s="1417"/>
      <c r="K2965" s="240">
        <f>E2965*I2965</f>
        <v>813.893416</v>
      </c>
      <c r="L2965" s="367" t="s">
        <v>205</v>
      </c>
      <c r="M2965" s="54"/>
      <c r="N2965" s="54"/>
      <c r="O2965" s="336"/>
      <c r="P2965" s="334"/>
      <c r="Q2965" s="335"/>
      <c r="R2965" s="336"/>
      <c r="S2965" s="337"/>
    </row>
    <row r="2966" spans="1:26" ht="30" customHeight="1" thickBot="1" x14ac:dyDescent="0.3">
      <c r="A2966" s="365"/>
      <c r="B2966" s="1209"/>
      <c r="C2966" s="1210"/>
      <c r="D2966" s="1211"/>
      <c r="E2966" s="903"/>
      <c r="F2966" s="904"/>
      <c r="G2966" s="904"/>
      <c r="H2966" s="905"/>
      <c r="I2966" s="366"/>
      <c r="J2966" s="359" t="s">
        <v>72</v>
      </c>
      <c r="K2966" s="246">
        <f>AVERAGE(K2965:K2965)</f>
        <v>813.893416</v>
      </c>
      <c r="L2966" s="367" t="s">
        <v>205</v>
      </c>
      <c r="M2966" s="54"/>
      <c r="N2966" s="54"/>
      <c r="O2966" s="336"/>
      <c r="P2966" s="334"/>
      <c r="Q2966" s="335"/>
      <c r="R2966" s="336"/>
      <c r="S2966" s="337"/>
    </row>
    <row r="2967" spans="1:26" ht="30" customHeight="1" thickBot="1" x14ac:dyDescent="0.3">
      <c r="A2967" s="1180"/>
      <c r="B2967" s="1181"/>
      <c r="C2967" s="1181"/>
      <c r="D2967" s="1181"/>
      <c r="E2967" s="1181"/>
      <c r="F2967" s="1181"/>
      <c r="G2967" s="1181"/>
      <c r="H2967" s="1181"/>
      <c r="I2967" s="1181"/>
      <c r="J2967" s="1181"/>
      <c r="K2967" s="1181"/>
      <c r="L2967" s="1182"/>
      <c r="M2967" s="54"/>
      <c r="N2967" s="54"/>
      <c r="O2967" s="336"/>
      <c r="P2967" s="334"/>
      <c r="Q2967" s="335"/>
      <c r="R2967" s="336"/>
      <c r="S2967" s="337"/>
    </row>
    <row r="2968" spans="1:26" ht="30" customHeight="1" x14ac:dyDescent="0.25">
      <c r="A2968" s="327" t="s">
        <v>5</v>
      </c>
      <c r="B2968" s="328">
        <v>6106</v>
      </c>
      <c r="C2968" s="1218" t="s">
        <v>1744</v>
      </c>
      <c r="D2968" s="1219"/>
      <c r="E2968" s="331" t="s">
        <v>8</v>
      </c>
      <c r="F2968" s="332" t="s">
        <v>205</v>
      </c>
      <c r="G2968" s="342" t="s">
        <v>74</v>
      </c>
      <c r="H2968" s="160">
        <v>197384</v>
      </c>
      <c r="I2968" s="331" t="s">
        <v>10</v>
      </c>
      <c r="J2968" s="1220" t="s">
        <v>1611</v>
      </c>
      <c r="K2968" s="1220"/>
      <c r="L2968" s="1221"/>
      <c r="M2968" s="54"/>
      <c r="N2968" s="54"/>
      <c r="O2968" s="336"/>
      <c r="P2968" s="334"/>
      <c r="Q2968" s="335"/>
      <c r="R2968" s="336"/>
      <c r="S2968" s="337"/>
    </row>
    <row r="2969" spans="1:26" ht="30" customHeight="1" x14ac:dyDescent="0.25">
      <c r="A2969" s="356" t="s">
        <v>282</v>
      </c>
      <c r="B2969" s="1163" t="s">
        <v>13</v>
      </c>
      <c r="C2969" s="1163"/>
      <c r="D2969" s="1163"/>
      <c r="E2969" s="546" t="s">
        <v>116</v>
      </c>
      <c r="F2969" s="356" t="s">
        <v>283</v>
      </c>
      <c r="G2969" s="1314" t="s">
        <v>118</v>
      </c>
      <c r="H2969" s="1315"/>
      <c r="I2969" s="1276" t="s">
        <v>284</v>
      </c>
      <c r="J2969" s="1277"/>
      <c r="K2969" s="1236" t="s">
        <v>285</v>
      </c>
      <c r="L2969" s="1237"/>
      <c r="M2969" s="54"/>
      <c r="N2969" s="54"/>
      <c r="O2969" s="336"/>
      <c r="P2969" s="334"/>
      <c r="Q2969" s="335"/>
      <c r="R2969" s="336"/>
      <c r="S2969" s="337"/>
    </row>
    <row r="2970" spans="1:26" ht="30" customHeight="1" x14ac:dyDescent="0.25">
      <c r="A2970" s="365">
        <v>21910</v>
      </c>
      <c r="B2970" s="1209" t="s">
        <v>1745</v>
      </c>
      <c r="C2970" s="1210"/>
      <c r="D2970" s="1211"/>
      <c r="E2970" s="247">
        <v>287</v>
      </c>
      <c r="F2970" s="257">
        <v>8200</v>
      </c>
      <c r="G2970" s="367"/>
      <c r="H2970" s="367"/>
      <c r="I2970" s="1416">
        <f>'2022 MILCON Inflation Table'!F17</f>
        <v>1.0833841548808889</v>
      </c>
      <c r="J2970" s="1417"/>
      <c r="K2970" s="240">
        <f>E2970*I2970</f>
        <v>310.93125245081512</v>
      </c>
      <c r="L2970" s="367" t="s">
        <v>205</v>
      </c>
      <c r="M2970" s="54"/>
      <c r="N2970" s="54"/>
      <c r="O2970" s="336"/>
      <c r="P2970" s="334"/>
      <c r="Q2970" s="335"/>
      <c r="R2970" s="336"/>
      <c r="S2970" s="337"/>
    </row>
    <row r="2971" spans="1:26" ht="30" customHeight="1" thickBot="1" x14ac:dyDescent="0.3">
      <c r="A2971" s="365"/>
      <c r="B2971" s="1209" t="s">
        <v>1746</v>
      </c>
      <c r="C2971" s="1210"/>
      <c r="D2971" s="1211"/>
      <c r="E2971" s="903"/>
      <c r="F2971" s="1660"/>
      <c r="G2971" s="1660"/>
      <c r="H2971" s="1661"/>
      <c r="I2971" s="366" t="s">
        <v>300</v>
      </c>
      <c r="J2971" s="359" t="s">
        <v>72</v>
      </c>
      <c r="K2971" s="246">
        <f>AVERAGE(K2970:K2970)</f>
        <v>310.93125245081512</v>
      </c>
      <c r="L2971" s="367" t="s">
        <v>205</v>
      </c>
      <c r="M2971" s="54"/>
      <c r="N2971" s="54"/>
      <c r="O2971" s="554"/>
      <c r="P2971" s="334"/>
      <c r="Q2971" s="335"/>
      <c r="R2971" s="336"/>
      <c r="S2971" s="337"/>
    </row>
    <row r="2972" spans="1:26" ht="30" customHeight="1" thickBot="1" x14ac:dyDescent="0.3">
      <c r="A2972" s="1180"/>
      <c r="B2972" s="1181"/>
      <c r="C2972" s="1181"/>
      <c r="D2972" s="1181"/>
      <c r="E2972" s="1181"/>
      <c r="F2972" s="1181"/>
      <c r="G2972" s="1181"/>
      <c r="H2972" s="1181"/>
      <c r="I2972" s="1181"/>
      <c r="J2972" s="1181"/>
      <c r="K2972" s="1181"/>
      <c r="L2972" s="1182"/>
      <c r="M2972" s="54"/>
      <c r="N2972" s="54"/>
      <c r="O2972" s="554"/>
      <c r="P2972" s="334"/>
      <c r="Q2972" s="335"/>
      <c r="R2972" s="336"/>
      <c r="S2972" s="337"/>
    </row>
    <row r="2973" spans="1:26" ht="30" customHeight="1" x14ac:dyDescent="0.25">
      <c r="A2973" s="327" t="s">
        <v>5</v>
      </c>
      <c r="B2973" s="328">
        <v>6107</v>
      </c>
      <c r="C2973" s="1251" t="s">
        <v>1747</v>
      </c>
      <c r="D2973" s="1252"/>
      <c r="E2973" s="331" t="s">
        <v>8</v>
      </c>
      <c r="F2973" s="576" t="s">
        <v>205</v>
      </c>
      <c r="G2973" s="342" t="s">
        <v>74</v>
      </c>
      <c r="H2973" s="820">
        <v>326900</v>
      </c>
      <c r="I2973" s="331" t="s">
        <v>10</v>
      </c>
      <c r="J2973" s="1220" t="s">
        <v>294</v>
      </c>
      <c r="K2973" s="1220"/>
      <c r="L2973" s="1221"/>
      <c r="M2973" s="54"/>
      <c r="N2973" s="54"/>
      <c r="O2973" s="336"/>
      <c r="P2973" s="334"/>
      <c r="Q2973" s="335"/>
      <c r="R2973" s="336"/>
      <c r="S2973" s="337"/>
    </row>
    <row r="2974" spans="1:26" ht="30" customHeight="1" x14ac:dyDescent="0.25">
      <c r="A2974" s="359" t="s">
        <v>295</v>
      </c>
      <c r="B2974" s="1222" t="s">
        <v>326</v>
      </c>
      <c r="C2974" s="1235"/>
      <c r="D2974" s="1223"/>
      <c r="E2974" s="577" t="s">
        <v>116</v>
      </c>
      <c r="F2974" s="577" t="s">
        <v>117</v>
      </c>
      <c r="G2974" s="1194" t="s">
        <v>118</v>
      </c>
      <c r="H2974" s="1195"/>
      <c r="I2974" s="356" t="s">
        <v>296</v>
      </c>
      <c r="J2974" s="356"/>
      <c r="K2974" s="1236" t="s">
        <v>285</v>
      </c>
      <c r="L2974" s="1237"/>
      <c r="N2974" s="54"/>
      <c r="O2974" s="554"/>
      <c r="P2974" s="334"/>
      <c r="Q2974" s="335"/>
      <c r="R2974" s="336"/>
      <c r="S2974" s="337"/>
    </row>
    <row r="2975" spans="1:26" ht="30" customHeight="1" x14ac:dyDescent="0.25">
      <c r="A2975" s="895" t="s">
        <v>1748</v>
      </c>
      <c r="B2975" s="1214" t="s">
        <v>1749</v>
      </c>
      <c r="C2975" s="1215"/>
      <c r="D2975" s="1216"/>
      <c r="E2975" s="247">
        <v>228</v>
      </c>
      <c r="F2975" s="365" t="s">
        <v>205</v>
      </c>
      <c r="G2975" s="365"/>
      <c r="H2975" s="365"/>
      <c r="I2975" s="365">
        <v>1.18</v>
      </c>
      <c r="J2975" s="706"/>
      <c r="K2975" s="247">
        <f>+E2975*I2975</f>
        <v>269.03999999999996</v>
      </c>
      <c r="L2975" s="365" t="s">
        <v>205</v>
      </c>
      <c r="M2975" s="54"/>
      <c r="N2975" s="54"/>
      <c r="O2975" s="554"/>
      <c r="P2975" s="334"/>
      <c r="Q2975" s="335"/>
      <c r="R2975" s="336"/>
      <c r="S2975" s="337"/>
    </row>
    <row r="2976" spans="1:26" ht="30" customHeight="1" x14ac:dyDescent="0.25">
      <c r="A2976" s="895" t="s">
        <v>1748</v>
      </c>
      <c r="B2976" s="1281" t="s">
        <v>1750</v>
      </c>
      <c r="C2976" s="1281"/>
      <c r="D2976" s="1281"/>
      <c r="E2976" s="246"/>
      <c r="F2976" s="365"/>
      <c r="G2976" s="851">
        <f>13*0.005</f>
        <v>6.5000000000000002E-2</v>
      </c>
      <c r="H2976" s="662"/>
      <c r="I2976" s="365">
        <v>1.18</v>
      </c>
      <c r="J2976" s="706"/>
      <c r="K2976" s="247">
        <f>+K2975*I2976*G2976</f>
        <v>20.635367999999996</v>
      </c>
      <c r="L2976" s="365" t="s">
        <v>205</v>
      </c>
      <c r="M2976" s="111"/>
      <c r="N2976" s="54"/>
      <c r="O2976" s="336"/>
      <c r="P2976" s="334"/>
      <c r="Q2976" s="335"/>
      <c r="R2976" s="336"/>
      <c r="S2976" s="337"/>
    </row>
    <row r="2977" spans="1:19" ht="30" customHeight="1" x14ac:dyDescent="0.25">
      <c r="A2977" s="895" t="s">
        <v>456</v>
      </c>
      <c r="B2977" s="1281" t="s">
        <v>1751</v>
      </c>
      <c r="C2977" s="1281"/>
      <c r="D2977" s="1281"/>
      <c r="E2977" s="246">
        <v>2.31</v>
      </c>
      <c r="F2977" s="365" t="s">
        <v>205</v>
      </c>
      <c r="G2977" s="906"/>
      <c r="H2977" s="662"/>
      <c r="I2977" s="365">
        <v>1.18</v>
      </c>
      <c r="J2977" s="706"/>
      <c r="K2977" s="247">
        <f>+E2977*I2977</f>
        <v>2.7258</v>
      </c>
      <c r="L2977" s="365" t="s">
        <v>205</v>
      </c>
      <c r="M2977" s="54"/>
      <c r="N2977" s="54"/>
      <c r="O2977" s="336"/>
      <c r="P2977" s="334"/>
      <c r="Q2977" s="335"/>
      <c r="R2977" s="336"/>
      <c r="S2977" s="337"/>
    </row>
    <row r="2978" spans="1:19" ht="30" customHeight="1" x14ac:dyDescent="0.25">
      <c r="A2978" s="365"/>
      <c r="B2978" s="1281"/>
      <c r="C2978" s="1281"/>
      <c r="D2978" s="1281"/>
      <c r="E2978" s="247"/>
      <c r="F2978" s="365"/>
      <c r="G2978" s="366"/>
      <c r="H2978" s="662"/>
      <c r="I2978" s="365"/>
      <c r="J2978" s="365" t="s">
        <v>343</v>
      </c>
      <c r="K2978" s="247">
        <f>SUM(K2975:K2977)</f>
        <v>292.40116799999993</v>
      </c>
      <c r="L2978" s="365" t="s">
        <v>205</v>
      </c>
      <c r="M2978" s="54"/>
      <c r="N2978" s="54"/>
      <c r="O2978" s="336"/>
      <c r="P2978" s="334"/>
      <c r="Q2978" s="335"/>
      <c r="R2978" s="336"/>
      <c r="S2978" s="337"/>
    </row>
    <row r="2979" spans="1:19" ht="30" customHeight="1" x14ac:dyDescent="0.25">
      <c r="A2979" s="365"/>
      <c r="B2979" s="578"/>
      <c r="C2979" s="578"/>
      <c r="D2979" s="578"/>
      <c r="E2979" s="247"/>
      <c r="F2979" s="1272" t="s">
        <v>303</v>
      </c>
      <c r="G2979" s="1283" t="s">
        <v>304</v>
      </c>
      <c r="H2979" s="1283"/>
      <c r="I2979" s="1283"/>
      <c r="J2979" s="1283"/>
      <c r="K2979" s="706">
        <v>1.05</v>
      </c>
      <c r="L2979" s="365"/>
      <c r="M2979" s="54"/>
      <c r="N2979" s="54"/>
      <c r="O2979" s="336"/>
      <c r="P2979" s="334"/>
      <c r="Q2979" s="335"/>
      <c r="R2979" s="336"/>
      <c r="S2979" s="337"/>
    </row>
    <row r="2980" spans="1:19" ht="30" customHeight="1" x14ac:dyDescent="0.25">
      <c r="A2980" s="365"/>
      <c r="B2980" s="578"/>
      <c r="C2980" s="578"/>
      <c r="D2980" s="578"/>
      <c r="E2980" s="247"/>
      <c r="F2980" s="1273"/>
      <c r="G2980" s="1284" t="s">
        <v>305</v>
      </c>
      <c r="H2980" s="1284"/>
      <c r="I2980" s="1284"/>
      <c r="J2980" s="1284"/>
      <c r="K2980" s="250">
        <v>1.06</v>
      </c>
      <c r="L2980" s="365"/>
      <c r="M2980" s="54"/>
      <c r="N2980" s="54"/>
      <c r="O2980" s="344"/>
      <c r="P2980" s="334"/>
      <c r="Q2980" s="335"/>
      <c r="R2980" s="336"/>
      <c r="S2980" s="337"/>
    </row>
    <row r="2981" spans="1:19" ht="30" customHeight="1" x14ac:dyDescent="0.25">
      <c r="A2981" s="1173"/>
      <c r="B2981" s="1173"/>
      <c r="C2981" s="1173"/>
      <c r="D2981" s="1174"/>
      <c r="E2981" s="366"/>
      <c r="F2981" s="366"/>
      <c r="G2981" s="366"/>
      <c r="H2981" s="366"/>
      <c r="I2981" s="366"/>
      <c r="J2981" s="365" t="s">
        <v>72</v>
      </c>
      <c r="K2981" s="246">
        <f>+K2978*K2979/K2980</f>
        <v>289.64266641509425</v>
      </c>
      <c r="L2981" s="365" t="s">
        <v>205</v>
      </c>
      <c r="M2981" s="54"/>
      <c r="N2981" s="54"/>
      <c r="O2981" s="344"/>
      <c r="P2981" s="334"/>
      <c r="Q2981" s="335"/>
      <c r="R2981" s="336"/>
      <c r="S2981" s="337"/>
    </row>
    <row r="2982" spans="1:19" ht="30" customHeight="1" thickBot="1" x14ac:dyDescent="0.3">
      <c r="A2982" s="1337"/>
      <c r="B2982" s="1337"/>
      <c r="C2982" s="1337"/>
      <c r="D2982" s="1338"/>
      <c r="E2982" s="366"/>
      <c r="F2982" s="366"/>
      <c r="G2982" s="366"/>
      <c r="H2982" s="366"/>
      <c r="I2982" s="877" t="s">
        <v>306</v>
      </c>
      <c r="J2982" s="521">
        <f>VLOOKUP(B2973,'Mil Cost Premiums for PUCs'!$A$4:$R$277,18,FALSE)</f>
        <v>1.3319480854780448</v>
      </c>
      <c r="K2982" s="246">
        <f>+K2981*J2982</f>
        <v>385.78899500434079</v>
      </c>
      <c r="L2982" s="365" t="s">
        <v>205</v>
      </c>
      <c r="M2982" s="54"/>
      <c r="N2982" s="54"/>
      <c r="O2982" s="336"/>
      <c r="P2982" s="334"/>
      <c r="Q2982" s="335"/>
      <c r="R2982" s="336"/>
      <c r="S2982" s="337"/>
    </row>
    <row r="2983" spans="1:19" ht="30" customHeight="1" thickBot="1" x14ac:dyDescent="0.3">
      <c r="A2983" s="1180"/>
      <c r="B2983" s="1181"/>
      <c r="C2983" s="1181"/>
      <c r="D2983" s="1181"/>
      <c r="E2983" s="1181"/>
      <c r="F2983" s="1181"/>
      <c r="G2983" s="1181"/>
      <c r="H2983" s="1181"/>
      <c r="I2983" s="1181"/>
      <c r="J2983" s="1181"/>
      <c r="K2983" s="1181"/>
      <c r="L2983" s="1182"/>
      <c r="M2983" s="54"/>
      <c r="N2983" s="54"/>
      <c r="O2983" s="336"/>
      <c r="P2983" s="334"/>
      <c r="Q2983" s="335"/>
      <c r="R2983" s="336"/>
      <c r="S2983" s="337"/>
    </row>
    <row r="2984" spans="1:19" ht="30" customHeight="1" x14ac:dyDescent="0.25">
      <c r="A2984" s="327" t="s">
        <v>5</v>
      </c>
      <c r="B2984" s="328">
        <v>6200</v>
      </c>
      <c r="C2984" s="1218" t="s">
        <v>1752</v>
      </c>
      <c r="D2984" s="1219"/>
      <c r="E2984" s="331" t="s">
        <v>8</v>
      </c>
      <c r="F2984" s="332" t="s">
        <v>205</v>
      </c>
      <c r="G2984" s="342" t="s">
        <v>74</v>
      </c>
      <c r="H2984" s="156">
        <v>13333</v>
      </c>
      <c r="I2984" s="331" t="s">
        <v>10</v>
      </c>
      <c r="J2984" s="1220" t="s">
        <v>1753</v>
      </c>
      <c r="K2984" s="1220"/>
      <c r="L2984" s="1221"/>
      <c r="M2984" s="111"/>
      <c r="N2984" s="54"/>
      <c r="O2984" s="336"/>
      <c r="P2984" s="334"/>
      <c r="Q2984" s="335"/>
      <c r="R2984" s="336"/>
      <c r="S2984" s="337"/>
    </row>
    <row r="2985" spans="1:19" ht="30" customHeight="1" x14ac:dyDescent="0.25">
      <c r="A2985" s="356" t="s">
        <v>282</v>
      </c>
      <c r="B2985" s="1163" t="s">
        <v>13</v>
      </c>
      <c r="C2985" s="1163"/>
      <c r="D2985" s="1163"/>
      <c r="E2985" s="357" t="s">
        <v>283</v>
      </c>
      <c r="F2985" s="546" t="s">
        <v>116</v>
      </c>
      <c r="G2985" s="907"/>
      <c r="I2985" s="1276" t="s">
        <v>284</v>
      </c>
      <c r="J2985" s="1277"/>
      <c r="K2985" s="1236" t="s">
        <v>285</v>
      </c>
      <c r="L2985" s="1237"/>
      <c r="M2985" s="54"/>
      <c r="N2985" s="54"/>
      <c r="O2985" s="344"/>
      <c r="P2985" s="334"/>
      <c r="Q2985" s="335"/>
      <c r="R2985" s="336"/>
      <c r="S2985" s="337"/>
    </row>
    <row r="2986" spans="1:19" ht="30" customHeight="1" x14ac:dyDescent="0.25">
      <c r="A2986" s="367">
        <v>62010</v>
      </c>
      <c r="B2986" s="1164" t="s">
        <v>1754</v>
      </c>
      <c r="C2986" s="1164"/>
      <c r="D2986" s="1164"/>
      <c r="E2986" s="547">
        <v>6000</v>
      </c>
      <c r="F2986" s="240">
        <v>235</v>
      </c>
      <c r="G2986" s="367"/>
      <c r="H2986" s="853"/>
      <c r="I2986" s="1416">
        <f>+'2022 MILCON Inflation Table'!F8</f>
        <v>1.4916874213561331</v>
      </c>
      <c r="J2986" s="1417"/>
      <c r="K2986" s="242">
        <f>+F2986*I2986</f>
        <v>350.54654401869129</v>
      </c>
      <c r="L2986" s="367" t="s">
        <v>205</v>
      </c>
      <c r="M2986" s="54"/>
      <c r="O2986" s="336"/>
      <c r="P2986" s="334"/>
      <c r="Q2986" s="335"/>
      <c r="R2986" s="336"/>
      <c r="S2986" s="337"/>
    </row>
    <row r="2987" spans="1:19" ht="30" customHeight="1" thickBot="1" x14ac:dyDescent="0.3">
      <c r="A2987" s="365"/>
      <c r="B2987" s="1281"/>
      <c r="C2987" s="1281"/>
      <c r="D2987" s="1281"/>
      <c r="E2987" s="550"/>
      <c r="F2987" s="551"/>
      <c r="G2987" s="551"/>
      <c r="H2987" s="552"/>
      <c r="I2987" s="366"/>
      <c r="J2987" s="359" t="s">
        <v>72</v>
      </c>
      <c r="K2987" s="243">
        <f>+K2986</f>
        <v>350.54654401869129</v>
      </c>
      <c r="L2987" s="365" t="s">
        <v>205</v>
      </c>
      <c r="M2987" s="54"/>
      <c r="N2987" s="54"/>
      <c r="O2987" s="336"/>
      <c r="P2987" s="334"/>
      <c r="Q2987" s="335"/>
      <c r="R2987" s="336"/>
      <c r="S2987" s="337"/>
    </row>
    <row r="2988" spans="1:19" ht="30" customHeight="1" thickBot="1" x14ac:dyDescent="0.3">
      <c r="A2988" s="1180"/>
      <c r="B2988" s="1181"/>
      <c r="C2988" s="1181"/>
      <c r="D2988" s="1181"/>
      <c r="E2988" s="1181"/>
      <c r="F2988" s="1181"/>
      <c r="G2988" s="1181"/>
      <c r="H2988" s="1181"/>
      <c r="I2988" s="1181"/>
      <c r="J2988" s="1181"/>
      <c r="K2988" s="1181"/>
      <c r="L2988" s="1182"/>
      <c r="M2988" s="54"/>
      <c r="N2988" s="54"/>
      <c r="O2988" s="344"/>
      <c r="P2988" s="334"/>
      <c r="Q2988" s="335"/>
      <c r="R2988" s="336"/>
      <c r="S2988" s="337"/>
    </row>
    <row r="2989" spans="1:19" ht="30" customHeight="1" x14ac:dyDescent="0.25">
      <c r="A2989" s="327" t="s">
        <v>5</v>
      </c>
      <c r="B2989" s="328">
        <v>6201</v>
      </c>
      <c r="C2989" s="1218" t="s">
        <v>1755</v>
      </c>
      <c r="D2989" s="1219"/>
      <c r="E2989" s="331" t="s">
        <v>8</v>
      </c>
      <c r="F2989" s="332" t="s">
        <v>205</v>
      </c>
      <c r="G2989" s="342" t="s">
        <v>74</v>
      </c>
      <c r="H2989" s="160">
        <v>231854</v>
      </c>
      <c r="I2989" s="331" t="s">
        <v>10</v>
      </c>
      <c r="J2989" s="1220" t="s">
        <v>1756</v>
      </c>
      <c r="K2989" s="1220"/>
      <c r="L2989" s="1221"/>
      <c r="M2989" s="54"/>
      <c r="N2989" s="54"/>
      <c r="O2989" s="344"/>
      <c r="P2989" s="334"/>
      <c r="Q2989" s="335"/>
      <c r="R2989" s="336"/>
      <c r="S2989" s="337"/>
    </row>
    <row r="2990" spans="1:19" ht="30" customHeight="1" x14ac:dyDescent="0.25">
      <c r="A2990" s="356" t="s">
        <v>282</v>
      </c>
      <c r="B2990" s="1163" t="s">
        <v>13</v>
      </c>
      <c r="C2990" s="1163"/>
      <c r="D2990" s="1163"/>
      <c r="E2990" s="357" t="s">
        <v>283</v>
      </c>
      <c r="F2990" s="546" t="s">
        <v>116</v>
      </c>
      <c r="G2990" s="907"/>
      <c r="H2990" s="357"/>
      <c r="I2990" s="1276" t="s">
        <v>284</v>
      </c>
      <c r="J2990" s="1277"/>
      <c r="K2990" s="1236" t="s">
        <v>285</v>
      </c>
      <c r="L2990" s="1237"/>
      <c r="M2990" s="54"/>
      <c r="N2990" s="54"/>
      <c r="O2990" s="336"/>
      <c r="P2990" s="334"/>
      <c r="Q2990" s="335"/>
      <c r="R2990" s="336"/>
      <c r="S2990" s="337"/>
    </row>
    <row r="2991" spans="1:19" ht="30" customHeight="1" x14ac:dyDescent="0.25">
      <c r="A2991" s="360" t="s">
        <v>286</v>
      </c>
      <c r="B2991" s="1164" t="s">
        <v>1757</v>
      </c>
      <c r="C2991" s="1164"/>
      <c r="D2991" s="1164"/>
      <c r="E2991" s="361">
        <v>57000</v>
      </c>
      <c r="F2991" s="908">
        <v>489</v>
      </c>
      <c r="G2991" s="367"/>
      <c r="H2991" s="267"/>
      <c r="I2991" s="1416" t="s">
        <v>1758</v>
      </c>
      <c r="J2991" s="1417"/>
      <c r="K2991" s="909">
        <f>F2991</f>
        <v>489</v>
      </c>
      <c r="L2991" s="360" t="s">
        <v>205</v>
      </c>
      <c r="M2991" s="54"/>
      <c r="N2991" s="54"/>
      <c r="O2991" s="336"/>
      <c r="P2991" s="334"/>
      <c r="Q2991" s="335"/>
      <c r="R2991" s="336"/>
      <c r="S2991" s="337"/>
    </row>
    <row r="2992" spans="1:19" ht="30" customHeight="1" x14ac:dyDescent="0.25">
      <c r="A2992" s="367">
        <v>62010</v>
      </c>
      <c r="B2992" s="1164" t="s">
        <v>1759</v>
      </c>
      <c r="C2992" s="1164"/>
      <c r="D2992" s="1164"/>
      <c r="E2992" s="547">
        <v>6000</v>
      </c>
      <c r="F2992" s="240">
        <v>235</v>
      </c>
      <c r="G2992" s="367"/>
      <c r="H2992" s="853"/>
      <c r="I2992" s="1416">
        <f>+'2022 MILCON Inflation Table'!F8</f>
        <v>1.4916874213561331</v>
      </c>
      <c r="J2992" s="1417"/>
      <c r="K2992" s="240">
        <f>+F2992*I2992</f>
        <v>350.54654401869129</v>
      </c>
      <c r="L2992" s="367" t="s">
        <v>205</v>
      </c>
      <c r="M2992" s="54"/>
      <c r="N2992" s="54"/>
      <c r="O2992" s="554"/>
      <c r="P2992" s="334"/>
      <c r="Q2992" s="335"/>
      <c r="R2992" s="336"/>
      <c r="S2992" s="337"/>
    </row>
    <row r="2993" spans="1:26" ht="30" customHeight="1" x14ac:dyDescent="0.25">
      <c r="A2993" s="367"/>
      <c r="B2993" s="385"/>
      <c r="C2993" s="385"/>
      <c r="D2993" s="385"/>
      <c r="E2993" s="643"/>
      <c r="F2993" s="162"/>
      <c r="G2993" s="711"/>
      <c r="H2993" s="910"/>
      <c r="I2993" s="1416" t="s">
        <v>300</v>
      </c>
      <c r="J2993" s="1417"/>
      <c r="K2993" s="240">
        <f>+AVERAGE(K2991:K2992)</f>
        <v>419.77327200934565</v>
      </c>
      <c r="L2993" s="367" t="s">
        <v>205</v>
      </c>
      <c r="M2993" s="54"/>
      <c r="N2993" s="54"/>
      <c r="O2993" s="554"/>
      <c r="P2993" s="334"/>
      <c r="Q2993" s="335"/>
      <c r="R2993" s="336"/>
      <c r="S2993" s="337"/>
    </row>
    <row r="2994" spans="1:26" ht="30" customHeight="1" thickBot="1" x14ac:dyDescent="0.3">
      <c r="A2994" s="365"/>
      <c r="B2994" s="1281"/>
      <c r="C2994" s="1281"/>
      <c r="D2994" s="1281"/>
      <c r="E2994" s="550"/>
      <c r="F2994" s="551"/>
      <c r="G2994" s="551"/>
      <c r="H2994" s="552"/>
      <c r="I2994" s="366"/>
      <c r="J2994" s="359" t="s">
        <v>72</v>
      </c>
      <c r="K2994" s="246">
        <f>K2993</f>
        <v>419.77327200934565</v>
      </c>
      <c r="L2994" s="365" t="s">
        <v>205</v>
      </c>
      <c r="M2994" s="54"/>
      <c r="N2994" s="54"/>
      <c r="P2994" s="334"/>
      <c r="Q2994" s="335"/>
      <c r="R2994" s="336"/>
      <c r="S2994" s="337"/>
    </row>
    <row r="2995" spans="1:26" ht="30" customHeight="1" thickBot="1" x14ac:dyDescent="0.3">
      <c r="A2995" s="1180"/>
      <c r="B2995" s="1181"/>
      <c r="C2995" s="1181"/>
      <c r="D2995" s="1181"/>
      <c r="E2995" s="1181"/>
      <c r="F2995" s="1181"/>
      <c r="G2995" s="1181"/>
      <c r="H2995" s="1181"/>
      <c r="I2995" s="1181"/>
      <c r="J2995" s="1181"/>
      <c r="K2995" s="1181"/>
      <c r="L2995" s="1182"/>
      <c r="M2995" s="54"/>
      <c r="N2995" s="54"/>
      <c r="P2995" s="334"/>
      <c r="Q2995" s="335"/>
      <c r="R2995" s="336"/>
      <c r="S2995" s="337"/>
    </row>
    <row r="2996" spans="1:26" ht="30" customHeight="1" x14ac:dyDescent="0.25">
      <c r="A2996" s="327" t="s">
        <v>5</v>
      </c>
      <c r="B2996" s="328">
        <v>6900</v>
      </c>
      <c r="C2996" s="1218" t="s">
        <v>1760</v>
      </c>
      <c r="D2996" s="1219"/>
      <c r="E2996" s="331" t="s">
        <v>8</v>
      </c>
      <c r="F2996" s="332" t="s">
        <v>76</v>
      </c>
      <c r="G2996" s="338" t="s">
        <v>7</v>
      </c>
      <c r="H2996" s="576">
        <v>1</v>
      </c>
      <c r="I2996" s="331" t="s">
        <v>10</v>
      </c>
      <c r="J2996" s="1220" t="s">
        <v>294</v>
      </c>
      <c r="K2996" s="1220"/>
      <c r="L2996" s="1221"/>
      <c r="M2996" s="54"/>
      <c r="N2996" s="54"/>
      <c r="O2996" s="336"/>
      <c r="P2996" s="334"/>
      <c r="Q2996" s="335"/>
      <c r="R2996" s="336"/>
      <c r="S2996" s="337"/>
    </row>
    <row r="2997" spans="1:26" ht="30" customHeight="1" x14ac:dyDescent="0.25">
      <c r="A2997" s="359" t="s">
        <v>295</v>
      </c>
      <c r="B2997" s="1222" t="s">
        <v>326</v>
      </c>
      <c r="C2997" s="1235"/>
      <c r="D2997" s="1223"/>
      <c r="E2997" s="577" t="s">
        <v>116</v>
      </c>
      <c r="F2997" s="577" t="s">
        <v>117</v>
      </c>
      <c r="G2997" s="1194" t="s">
        <v>118</v>
      </c>
      <c r="H2997" s="1195"/>
      <c r="I2997" s="356" t="s">
        <v>296</v>
      </c>
      <c r="J2997" s="356"/>
      <c r="K2997" s="1236" t="s">
        <v>285</v>
      </c>
      <c r="L2997" s="1237"/>
      <c r="M2997" s="54"/>
      <c r="N2997" s="54"/>
      <c r="O2997" s="336"/>
      <c r="P2997" s="334"/>
      <c r="Q2997" s="335"/>
      <c r="R2997" s="336"/>
      <c r="S2997" s="337"/>
    </row>
    <row r="2998" spans="1:26" ht="30" customHeight="1" x14ac:dyDescent="0.25">
      <c r="A2998" s="895" t="s">
        <v>529</v>
      </c>
      <c r="B2998" s="1209" t="s">
        <v>1761</v>
      </c>
      <c r="C2998" s="1210"/>
      <c r="D2998" s="1211"/>
      <c r="E2998" s="247">
        <f>+(3475+7650)/2</f>
        <v>5562.5</v>
      </c>
      <c r="F2998" s="365" t="s">
        <v>76</v>
      </c>
      <c r="G2998" s="365"/>
      <c r="H2998" s="365"/>
      <c r="I2998" s="365">
        <v>1.23</v>
      </c>
      <c r="J2998" s="906"/>
      <c r="K2998" s="247">
        <f>+E2998*I2998</f>
        <v>6841.875</v>
      </c>
      <c r="L2998" s="365" t="s">
        <v>76</v>
      </c>
      <c r="M2998" s="54"/>
      <c r="N2998" s="54"/>
      <c r="O2998" s="344"/>
      <c r="P2998" s="334"/>
      <c r="Q2998" s="335"/>
      <c r="R2998" s="336"/>
      <c r="S2998" s="337"/>
      <c r="U2998" s="10"/>
    </row>
    <row r="2999" spans="1:26" ht="30" customHeight="1" x14ac:dyDescent="0.25">
      <c r="A2999" s="895" t="s">
        <v>1762</v>
      </c>
      <c r="B2999" s="1209" t="s">
        <v>1763</v>
      </c>
      <c r="C2999" s="1210"/>
      <c r="D2999" s="1211"/>
      <c r="E2999" s="246">
        <f>+((62.5+69.5)/2)*75</f>
        <v>4950</v>
      </c>
      <c r="F2999" s="365" t="s">
        <v>76</v>
      </c>
      <c r="G2999" s="587"/>
      <c r="H2999" s="662"/>
      <c r="I2999" s="365">
        <v>1.23</v>
      </c>
      <c r="J2999" s="906"/>
      <c r="K2999" s="247">
        <f>+E2999*I2999</f>
        <v>6088.5</v>
      </c>
      <c r="L2999" s="365" t="s">
        <v>76</v>
      </c>
      <c r="M2999" s="54"/>
      <c r="N2999" s="54"/>
      <c r="O2999" s="344"/>
      <c r="P2999" s="334"/>
      <c r="Q2999" s="335"/>
      <c r="R2999" s="336"/>
      <c r="S2999" s="337"/>
      <c r="U2999" s="10"/>
    </row>
    <row r="3000" spans="1:26" ht="30" customHeight="1" x14ac:dyDescent="0.25">
      <c r="A3000" s="895" t="s">
        <v>1764</v>
      </c>
      <c r="B3000" s="1209" t="s">
        <v>1765</v>
      </c>
      <c r="C3000" s="1210"/>
      <c r="D3000" s="1211"/>
      <c r="E3000" s="246">
        <f>((95+147)/2) *2*15</f>
        <v>3630</v>
      </c>
      <c r="F3000" s="365" t="s">
        <v>76</v>
      </c>
      <c r="G3000" s="587"/>
      <c r="H3000" s="662"/>
      <c r="I3000" s="365">
        <v>1.24</v>
      </c>
      <c r="J3000" s="906"/>
      <c r="K3000" s="247">
        <f>E3000*I3000</f>
        <v>4501.2</v>
      </c>
      <c r="L3000" s="365"/>
      <c r="M3000" s="54"/>
      <c r="N3000" s="54"/>
      <c r="O3000" s="336"/>
      <c r="T3000" s="10"/>
      <c r="U3000" s="10"/>
    </row>
    <row r="3001" spans="1:26" ht="30" customHeight="1" x14ac:dyDescent="0.25">
      <c r="A3001" s="895"/>
      <c r="B3001" s="738"/>
      <c r="C3001" s="591"/>
      <c r="D3001" s="589"/>
      <c r="E3001" s="11"/>
      <c r="F3001" s="365"/>
      <c r="G3001" s="587"/>
      <c r="H3001" s="662"/>
      <c r="I3001" s="1316" t="s">
        <v>1766</v>
      </c>
      <c r="J3001" s="1318"/>
      <c r="K3001" s="247">
        <f>+K2999+K3000</f>
        <v>10589.7</v>
      </c>
      <c r="L3001" s="365"/>
      <c r="N3001" s="54"/>
      <c r="O3001" s="336"/>
      <c r="T3001" s="10"/>
      <c r="Z3001" s="345"/>
    </row>
    <row r="3002" spans="1:26" ht="30" customHeight="1" x14ac:dyDescent="0.25">
      <c r="A3002" s="365"/>
      <c r="B3002" s="1281"/>
      <c r="C3002" s="1281"/>
      <c r="D3002" s="1281"/>
      <c r="E3002" s="247"/>
      <c r="F3002" s="365"/>
      <c r="G3002" s="366"/>
      <c r="H3002" s="662"/>
      <c r="I3002" s="1316" t="s">
        <v>1767</v>
      </c>
      <c r="J3002" s="1318"/>
      <c r="K3002" s="247">
        <f>(+K3001+K2998)/2</f>
        <v>8715.7875000000004</v>
      </c>
      <c r="L3002" s="365" t="s">
        <v>76</v>
      </c>
      <c r="M3002" s="54"/>
      <c r="N3002" s="54"/>
      <c r="O3002" s="345"/>
      <c r="P3002" s="344"/>
      <c r="Q3002" s="345"/>
      <c r="R3002" s="345"/>
      <c r="S3002" s="345"/>
      <c r="T3002" s="345"/>
    </row>
    <row r="3003" spans="1:26" ht="30" customHeight="1" x14ac:dyDescent="0.25">
      <c r="A3003" s="365"/>
      <c r="B3003" s="578"/>
      <c r="C3003" s="578"/>
      <c r="D3003" s="578"/>
      <c r="E3003" s="247"/>
      <c r="F3003" s="1272" t="s">
        <v>303</v>
      </c>
      <c r="G3003" s="1283" t="s">
        <v>304</v>
      </c>
      <c r="H3003" s="1283"/>
      <c r="I3003" s="1283"/>
      <c r="J3003" s="1283"/>
      <c r="K3003" s="250">
        <v>1.06</v>
      </c>
      <c r="L3003" s="365"/>
      <c r="M3003" s="54"/>
      <c r="N3003" s="54"/>
      <c r="U3003" s="10"/>
    </row>
    <row r="3004" spans="1:26" s="345" customFormat="1" ht="30" customHeight="1" x14ac:dyDescent="0.25">
      <c r="A3004" s="365"/>
      <c r="B3004" s="578"/>
      <c r="C3004" s="578"/>
      <c r="D3004" s="578"/>
      <c r="E3004" s="247"/>
      <c r="F3004" s="1273"/>
      <c r="G3004" s="1284" t="s">
        <v>438</v>
      </c>
      <c r="H3004" s="1284"/>
      <c r="I3004" s="1284"/>
      <c r="J3004" s="1284"/>
      <c r="K3004" s="250">
        <v>1.06</v>
      </c>
      <c r="L3004" s="365"/>
      <c r="M3004" s="54"/>
      <c r="N3004" s="54"/>
      <c r="O3004" s="336"/>
      <c r="P3004" s="340"/>
      <c r="Q3004" s="334"/>
      <c r="R3004" s="334"/>
      <c r="S3004" s="334"/>
      <c r="T3004" s="334"/>
      <c r="Z3004" s="334"/>
    </row>
    <row r="3005" spans="1:26" ht="30" customHeight="1" x14ac:dyDescent="0.25">
      <c r="A3005" s="365"/>
      <c r="B3005" s="365"/>
      <c r="C3005" s="366"/>
      <c r="D3005" s="366"/>
      <c r="E3005" s="366"/>
      <c r="F3005" s="366"/>
      <c r="G3005" s="366"/>
      <c r="H3005" s="366"/>
      <c r="I3005" s="366"/>
      <c r="J3005" s="365" t="s">
        <v>72</v>
      </c>
      <c r="K3005" s="246">
        <f>+K3002*K3003/K3004</f>
        <v>8715.7875000000004</v>
      </c>
      <c r="L3005" s="365" t="s">
        <v>76</v>
      </c>
      <c r="M3005" s="54"/>
      <c r="N3005" s="54"/>
      <c r="O3005" s="336"/>
      <c r="T3005" s="10"/>
      <c r="Z3005" s="345"/>
    </row>
    <row r="3006" spans="1:26" ht="30" customHeight="1" thickBot="1" x14ac:dyDescent="0.3">
      <c r="A3006" s="365"/>
      <c r="B3006" s="365"/>
      <c r="C3006" s="366"/>
      <c r="D3006" s="366"/>
      <c r="E3006" s="366"/>
      <c r="F3006" s="366"/>
      <c r="G3006" s="580" t="s">
        <v>306</v>
      </c>
      <c r="H3006" s="366"/>
      <c r="I3006" s="366"/>
      <c r="J3006" s="521">
        <f>VLOOKUP(B2996,'Mil Cost Premiums for PUCs'!$A$4:$R$277,18,FALSE)</f>
        <v>1.0209999999999999</v>
      </c>
      <c r="K3006" s="246">
        <f>+K3005*J3006</f>
        <v>8898.8190374999995</v>
      </c>
      <c r="L3006" s="365" t="s">
        <v>76</v>
      </c>
      <c r="M3006" s="54"/>
      <c r="N3006" s="54"/>
      <c r="O3006" s="336"/>
      <c r="P3006" s="344"/>
      <c r="Q3006" s="345"/>
      <c r="R3006" s="345"/>
      <c r="S3006" s="345"/>
      <c r="T3006" s="345"/>
    </row>
    <row r="3007" spans="1:26" ht="30" customHeight="1" thickBot="1" x14ac:dyDescent="0.3">
      <c r="A3007" s="1180"/>
      <c r="B3007" s="1181"/>
      <c r="C3007" s="1181"/>
      <c r="D3007" s="1181"/>
      <c r="E3007" s="1181"/>
      <c r="F3007" s="1181"/>
      <c r="G3007" s="1181"/>
      <c r="H3007" s="1181"/>
      <c r="I3007" s="1181"/>
      <c r="J3007" s="1181"/>
      <c r="K3007" s="1181"/>
      <c r="L3007" s="1182"/>
      <c r="M3007" s="54"/>
      <c r="N3007" s="54"/>
      <c r="O3007" s="336"/>
      <c r="U3007" s="10"/>
    </row>
    <row r="3008" spans="1:26" s="345" customFormat="1" ht="30" customHeight="1" x14ac:dyDescent="0.25">
      <c r="A3008" s="327" t="s">
        <v>5</v>
      </c>
      <c r="B3008" s="328">
        <v>7110</v>
      </c>
      <c r="C3008" s="1218" t="s">
        <v>1768</v>
      </c>
      <c r="D3008" s="1219"/>
      <c r="E3008" s="331" t="s">
        <v>8</v>
      </c>
      <c r="F3008" s="332" t="s">
        <v>205</v>
      </c>
      <c r="G3008" s="342" t="s">
        <v>74</v>
      </c>
      <c r="H3008" s="160">
        <v>3795</v>
      </c>
      <c r="I3008" s="331" t="s">
        <v>10</v>
      </c>
      <c r="J3008" s="1220" t="s">
        <v>382</v>
      </c>
      <c r="K3008" s="1220"/>
      <c r="L3008" s="1221"/>
      <c r="M3008" s="54"/>
      <c r="N3008" s="54"/>
      <c r="O3008" s="334"/>
      <c r="P3008" s="340"/>
      <c r="Q3008" s="334"/>
      <c r="R3008" s="334"/>
      <c r="S3008" s="334"/>
      <c r="T3008" s="334"/>
      <c r="U3008" s="10"/>
      <c r="V3008" s="334"/>
      <c r="W3008" s="334"/>
      <c r="X3008" s="334"/>
      <c r="Y3008" s="334"/>
      <c r="Z3008" s="334"/>
    </row>
    <row r="3009" spans="1:26" ht="30" customHeight="1" x14ac:dyDescent="0.25">
      <c r="A3009" s="356" t="s">
        <v>282</v>
      </c>
      <c r="B3009" s="1163" t="s">
        <v>13</v>
      </c>
      <c r="C3009" s="1163"/>
      <c r="D3009" s="1163"/>
      <c r="E3009" s="357" t="s">
        <v>283</v>
      </c>
      <c r="F3009" s="546" t="s">
        <v>116</v>
      </c>
      <c r="G3009" s="356"/>
      <c r="H3009" s="356"/>
      <c r="I3009" s="1276" t="s">
        <v>284</v>
      </c>
      <c r="J3009" s="1277"/>
      <c r="K3009" s="1236" t="s">
        <v>285</v>
      </c>
      <c r="L3009" s="1237"/>
      <c r="M3009" s="54"/>
      <c r="N3009" s="54"/>
      <c r="T3009" s="10"/>
      <c r="U3009" s="345"/>
      <c r="V3009" s="345"/>
      <c r="W3009" s="345"/>
      <c r="X3009" s="345"/>
      <c r="Y3009" s="345"/>
    </row>
    <row r="3010" spans="1:26" ht="30" customHeight="1" x14ac:dyDescent="0.25">
      <c r="A3010" s="365">
        <v>71111</v>
      </c>
      <c r="B3010" s="1214" t="s">
        <v>1769</v>
      </c>
      <c r="C3010" s="1215"/>
      <c r="D3010" s="1216"/>
      <c r="E3010" s="257">
        <v>3330</v>
      </c>
      <c r="F3010" s="247">
        <f>(439+305.43)/2</f>
        <v>372.21500000000003</v>
      </c>
      <c r="G3010" s="711"/>
      <c r="H3010" s="341"/>
      <c r="I3010" s="1378">
        <v>0.9405</v>
      </c>
      <c r="J3010" s="1379"/>
      <c r="K3010" s="268">
        <f t="shared" ref="K3010:K3016" si="56">+F3010*I3010</f>
        <v>350.06820750000003</v>
      </c>
      <c r="L3010" s="365" t="s">
        <v>205</v>
      </c>
      <c r="M3010" s="54"/>
      <c r="N3010" s="54"/>
      <c r="T3010" s="10"/>
      <c r="Z3010" s="345"/>
    </row>
    <row r="3011" spans="1:26" ht="30" customHeight="1" x14ac:dyDescent="0.25">
      <c r="A3011" s="365">
        <v>71112</v>
      </c>
      <c r="B3011" s="1214" t="s">
        <v>1770</v>
      </c>
      <c r="C3011" s="1215"/>
      <c r="D3011" s="1216"/>
      <c r="E3011" s="257">
        <v>2520</v>
      </c>
      <c r="F3011" s="247">
        <f>(302.97+414.75)/2</f>
        <v>358.86</v>
      </c>
      <c r="G3011" s="711"/>
      <c r="H3011" s="341"/>
      <c r="I3011" s="1378">
        <v>0.9405</v>
      </c>
      <c r="J3011" s="1379"/>
      <c r="K3011" s="268">
        <f t="shared" si="56"/>
        <v>337.50783000000001</v>
      </c>
      <c r="L3011" s="365" t="s">
        <v>205</v>
      </c>
      <c r="M3011" s="54"/>
      <c r="N3011" s="54"/>
      <c r="P3011" s="344"/>
      <c r="Q3011" s="345"/>
      <c r="R3011" s="345"/>
      <c r="S3011" s="345"/>
      <c r="T3011" s="345"/>
    </row>
    <row r="3012" spans="1:26" ht="30" customHeight="1" x14ac:dyDescent="0.25">
      <c r="A3012" s="365">
        <v>71113</v>
      </c>
      <c r="B3012" s="1209" t="s">
        <v>1771</v>
      </c>
      <c r="C3012" s="1210"/>
      <c r="D3012" s="1211"/>
      <c r="E3012" s="257">
        <v>2310</v>
      </c>
      <c r="F3012" s="247">
        <f>(285.73+404.08)/2</f>
        <v>344.90499999999997</v>
      </c>
      <c r="G3012" s="711"/>
      <c r="H3012" s="341"/>
      <c r="I3012" s="1378">
        <v>0.9405</v>
      </c>
      <c r="J3012" s="1379"/>
      <c r="K3012" s="268">
        <f t="shared" si="56"/>
        <v>324.38315249999999</v>
      </c>
      <c r="L3012" s="365" t="s">
        <v>205</v>
      </c>
      <c r="M3012" s="54"/>
      <c r="N3012" s="54"/>
      <c r="O3012" s="543"/>
      <c r="U3012" s="10"/>
    </row>
    <row r="3013" spans="1:26" s="345" customFormat="1" ht="30" customHeight="1" x14ac:dyDescent="0.25">
      <c r="A3013" s="365">
        <v>71114</v>
      </c>
      <c r="B3013" s="1209" t="s">
        <v>1772</v>
      </c>
      <c r="C3013" s="1210"/>
      <c r="D3013" s="1211"/>
      <c r="E3013" s="257">
        <v>2150</v>
      </c>
      <c r="F3013" s="247">
        <f>+(258.64+367.48)/2</f>
        <v>313.06</v>
      </c>
      <c r="G3013" s="711"/>
      <c r="H3013" s="341"/>
      <c r="I3013" s="1378">
        <v>0.9405</v>
      </c>
      <c r="J3013" s="1379"/>
      <c r="K3013" s="268">
        <f t="shared" si="56"/>
        <v>294.43293</v>
      </c>
      <c r="L3013" s="365" t="s">
        <v>205</v>
      </c>
      <c r="M3013" s="54"/>
      <c r="N3013" s="54"/>
      <c r="O3013" s="334"/>
      <c r="P3013" s="340"/>
      <c r="Q3013" s="334"/>
      <c r="R3013" s="334"/>
      <c r="S3013" s="334"/>
      <c r="T3013" s="334"/>
      <c r="U3013" s="10"/>
      <c r="V3013" s="334"/>
      <c r="W3013" s="334"/>
      <c r="X3013" s="334"/>
      <c r="Y3013" s="334"/>
      <c r="Z3013" s="334"/>
    </row>
    <row r="3014" spans="1:26" ht="30" customHeight="1" x14ac:dyDescent="0.25">
      <c r="A3014" s="365">
        <v>71115</v>
      </c>
      <c r="B3014" s="1214" t="s">
        <v>1773</v>
      </c>
      <c r="C3014" s="1215"/>
      <c r="D3014" s="1216"/>
      <c r="E3014" s="257">
        <v>2020</v>
      </c>
      <c r="F3014" s="247">
        <f>(300.51+405.6)/2</f>
        <v>353.05500000000001</v>
      </c>
      <c r="G3014" s="711"/>
      <c r="H3014" s="341"/>
      <c r="I3014" s="1378">
        <v>0.9405</v>
      </c>
      <c r="J3014" s="1379"/>
      <c r="K3014" s="268">
        <f t="shared" si="56"/>
        <v>332.0482275</v>
      </c>
      <c r="L3014" s="365" t="s">
        <v>205</v>
      </c>
      <c r="M3014" s="54"/>
      <c r="N3014" s="54"/>
      <c r="T3014" s="10"/>
      <c r="U3014" s="345"/>
      <c r="V3014" s="345"/>
      <c r="W3014" s="345"/>
      <c r="X3014" s="345"/>
      <c r="Y3014" s="345"/>
    </row>
    <row r="3015" spans="1:26" ht="30" customHeight="1" x14ac:dyDescent="0.25">
      <c r="A3015" s="365">
        <v>71115</v>
      </c>
      <c r="B3015" s="1214" t="s">
        <v>1774</v>
      </c>
      <c r="C3015" s="1215"/>
      <c r="D3015" s="1216"/>
      <c r="E3015" s="257">
        <v>1860</v>
      </c>
      <c r="F3015" s="247">
        <f>(262.33+375.58)/2</f>
        <v>318.95499999999998</v>
      </c>
      <c r="G3015" s="711"/>
      <c r="H3015" s="341"/>
      <c r="I3015" s="1378">
        <v>0.9405</v>
      </c>
      <c r="J3015" s="1379"/>
      <c r="K3015" s="268">
        <f t="shared" si="56"/>
        <v>299.97717749999998</v>
      </c>
      <c r="L3015" s="365" t="s">
        <v>205</v>
      </c>
      <c r="M3015" s="54"/>
      <c r="N3015" s="54"/>
      <c r="T3015" s="10"/>
      <c r="Z3015" s="345"/>
    </row>
    <row r="3016" spans="1:26" ht="30" customHeight="1" x14ac:dyDescent="0.25">
      <c r="A3016" s="365">
        <v>71116</v>
      </c>
      <c r="B3016" s="1214" t="s">
        <v>1775</v>
      </c>
      <c r="C3016" s="1215"/>
      <c r="D3016" s="1216"/>
      <c r="E3016" s="257">
        <v>1950</v>
      </c>
      <c r="F3016" s="247">
        <f>(268.49+381.2)/2</f>
        <v>324.84500000000003</v>
      </c>
      <c r="G3016" s="711"/>
      <c r="H3016" s="341"/>
      <c r="I3016" s="1378">
        <v>0.9405</v>
      </c>
      <c r="J3016" s="1379"/>
      <c r="K3016" s="268">
        <f t="shared" si="56"/>
        <v>305.51672250000001</v>
      </c>
      <c r="L3016" s="365" t="s">
        <v>205</v>
      </c>
      <c r="M3016" s="54"/>
      <c r="N3016" s="54"/>
      <c r="P3016" s="344"/>
      <c r="Q3016" s="345"/>
      <c r="R3016" s="345"/>
      <c r="S3016" s="345"/>
      <c r="T3016" s="345"/>
    </row>
    <row r="3017" spans="1:26" ht="30" customHeight="1" thickBot="1" x14ac:dyDescent="0.3">
      <c r="A3017" s="365"/>
      <c r="B3017" s="561"/>
      <c r="C3017" s="562"/>
      <c r="D3017" s="563" t="s">
        <v>1776</v>
      </c>
      <c r="E3017" s="646">
        <f>AVERAGE(E3010:E3016)</f>
        <v>2305.7142857142858</v>
      </c>
      <c r="F3017" s="647"/>
      <c r="G3017" s="647"/>
      <c r="H3017" s="648"/>
      <c r="I3017" s="366"/>
      <c r="J3017" s="359" t="s">
        <v>72</v>
      </c>
      <c r="K3017" s="246">
        <f>AVERAGE(K3010:K3016)</f>
        <v>320.56203535714286</v>
      </c>
      <c r="L3017" s="365" t="s">
        <v>205</v>
      </c>
      <c r="M3017" s="54"/>
      <c r="N3017" s="54"/>
      <c r="O3017" s="543"/>
    </row>
    <row r="3018" spans="1:26" s="345" customFormat="1" ht="30" customHeight="1" thickBot="1" x14ac:dyDescent="0.3">
      <c r="A3018" s="1180"/>
      <c r="B3018" s="1181"/>
      <c r="C3018" s="1181"/>
      <c r="D3018" s="1181"/>
      <c r="E3018" s="1181"/>
      <c r="F3018" s="1181"/>
      <c r="G3018" s="1181"/>
      <c r="H3018" s="1181"/>
      <c r="I3018" s="1181"/>
      <c r="J3018" s="1181"/>
      <c r="K3018" s="1181"/>
      <c r="L3018" s="1182"/>
      <c r="M3018" s="54"/>
      <c r="N3018" s="54"/>
      <c r="O3018" s="334"/>
      <c r="P3018" s="340"/>
      <c r="Q3018" s="334"/>
      <c r="R3018" s="334"/>
      <c r="S3018" s="334"/>
      <c r="T3018" s="334"/>
      <c r="U3018" s="334"/>
      <c r="V3018" s="334"/>
      <c r="W3018" s="334"/>
      <c r="X3018" s="334"/>
      <c r="Y3018" s="334"/>
      <c r="Z3018" s="334"/>
    </row>
    <row r="3019" spans="1:26" ht="30" customHeight="1" x14ac:dyDescent="0.25">
      <c r="A3019" s="327" t="s">
        <v>5</v>
      </c>
      <c r="B3019" s="328">
        <v>7113</v>
      </c>
      <c r="C3019" s="1251" t="s">
        <v>1777</v>
      </c>
      <c r="D3019" s="1252"/>
      <c r="E3019" s="331" t="s">
        <v>8</v>
      </c>
      <c r="F3019" s="332" t="s">
        <v>205</v>
      </c>
      <c r="G3019" s="333" t="s">
        <v>74</v>
      </c>
      <c r="H3019" s="653">
        <v>227826</v>
      </c>
      <c r="I3019" s="331" t="s">
        <v>10</v>
      </c>
      <c r="J3019" s="1220" t="s">
        <v>281</v>
      </c>
      <c r="K3019" s="1220"/>
      <c r="L3019" s="1221"/>
      <c r="M3019" s="54"/>
      <c r="N3019" s="54"/>
      <c r="P3019" s="334"/>
      <c r="Q3019" s="335"/>
      <c r="R3019" s="336"/>
      <c r="S3019" s="337"/>
    </row>
    <row r="3020" spans="1:26" ht="30" customHeight="1" x14ac:dyDescent="0.25">
      <c r="A3020" s="356"/>
      <c r="B3020" s="1163" t="s">
        <v>13</v>
      </c>
      <c r="C3020" s="1163"/>
      <c r="D3020" s="1163"/>
      <c r="E3020" s="356" t="s">
        <v>283</v>
      </c>
      <c r="F3020" s="356" t="s">
        <v>116</v>
      </c>
      <c r="G3020" s="1276"/>
      <c r="H3020" s="1277"/>
      <c r="I3020" s="1276" t="s">
        <v>284</v>
      </c>
      <c r="J3020" s="1277"/>
      <c r="K3020" s="1236" t="s">
        <v>285</v>
      </c>
      <c r="L3020" s="1237"/>
      <c r="M3020" s="54"/>
      <c r="N3020" s="54"/>
      <c r="P3020" s="334"/>
      <c r="Q3020" s="335"/>
      <c r="R3020" s="336"/>
      <c r="S3020" s="337"/>
    </row>
    <row r="3021" spans="1:26" ht="30" customHeight="1" x14ac:dyDescent="0.25">
      <c r="A3021" s="360" t="s">
        <v>286</v>
      </c>
      <c r="B3021" s="1164" t="s">
        <v>1778</v>
      </c>
      <c r="C3021" s="1164"/>
      <c r="D3021" s="1164"/>
      <c r="E3021" s="361">
        <v>210000</v>
      </c>
      <c r="F3021" s="240">
        <v>189</v>
      </c>
      <c r="G3021" s="1575"/>
      <c r="H3021" s="1576"/>
      <c r="I3021" s="1302" t="s">
        <v>288</v>
      </c>
      <c r="J3021" s="1303"/>
      <c r="K3021" s="898">
        <f>F3021</f>
        <v>189</v>
      </c>
      <c r="L3021" s="360" t="s">
        <v>205</v>
      </c>
      <c r="M3021" s="54"/>
      <c r="N3021" s="54"/>
      <c r="P3021" s="334"/>
      <c r="Q3021" s="335"/>
      <c r="R3021" s="336"/>
      <c r="S3021" s="337"/>
    </row>
    <row r="3022" spans="1:26" ht="30" customHeight="1" thickBot="1" x14ac:dyDescent="0.3">
      <c r="A3022" s="365"/>
      <c r="B3022" s="1281"/>
      <c r="C3022" s="1281"/>
      <c r="D3022" s="1281"/>
      <c r="E3022" s="550"/>
      <c r="F3022" s="551"/>
      <c r="G3022" s="551"/>
      <c r="H3022" s="552"/>
      <c r="I3022" s="366"/>
      <c r="J3022" s="359" t="s">
        <v>72</v>
      </c>
      <c r="K3022" s="246">
        <f>+K3021</f>
        <v>189</v>
      </c>
      <c r="L3022" s="365" t="s">
        <v>205</v>
      </c>
      <c r="M3022" s="54"/>
      <c r="N3022" s="54"/>
      <c r="O3022" s="543"/>
      <c r="P3022" s="334"/>
      <c r="Q3022" s="335"/>
      <c r="R3022" s="336"/>
      <c r="S3022" s="337"/>
    </row>
    <row r="3023" spans="1:26" ht="30" customHeight="1" thickBot="1" x14ac:dyDescent="0.3">
      <c r="A3023" s="1180"/>
      <c r="B3023" s="1181"/>
      <c r="C3023" s="1181"/>
      <c r="D3023" s="1181"/>
      <c r="E3023" s="1181"/>
      <c r="F3023" s="1181"/>
      <c r="G3023" s="1181"/>
      <c r="H3023" s="1181"/>
      <c r="I3023" s="1181"/>
      <c r="J3023" s="1181"/>
      <c r="K3023" s="1181"/>
      <c r="L3023" s="1182"/>
      <c r="M3023" s="54"/>
      <c r="N3023" s="54"/>
      <c r="P3023" s="334"/>
      <c r="Q3023" s="335"/>
      <c r="R3023" s="336"/>
      <c r="S3023" s="337"/>
    </row>
    <row r="3024" spans="1:26" ht="30" customHeight="1" x14ac:dyDescent="0.25">
      <c r="A3024" s="327" t="s">
        <v>5</v>
      </c>
      <c r="B3024" s="328">
        <v>7130</v>
      </c>
      <c r="C3024" s="1251" t="s">
        <v>1779</v>
      </c>
      <c r="D3024" s="1252"/>
      <c r="E3024" s="331" t="s">
        <v>8</v>
      </c>
      <c r="F3024" s="332" t="s">
        <v>9</v>
      </c>
      <c r="G3024" s="333" t="s">
        <v>7</v>
      </c>
      <c r="H3024" s="653">
        <v>356</v>
      </c>
      <c r="I3024" s="331" t="s">
        <v>10</v>
      </c>
      <c r="J3024" s="1220" t="s">
        <v>3430</v>
      </c>
      <c r="K3024" s="1220"/>
      <c r="L3024" s="1221"/>
      <c r="M3024" s="54"/>
      <c r="N3024" s="54"/>
      <c r="P3024" s="334"/>
      <c r="Q3024" s="335"/>
      <c r="R3024" s="336"/>
      <c r="S3024" s="337"/>
    </row>
    <row r="3025" spans="1:21" ht="30" customHeight="1" x14ac:dyDescent="0.25">
      <c r="A3025" s="359" t="s">
        <v>295</v>
      </c>
      <c r="B3025" s="1222" t="s">
        <v>326</v>
      </c>
      <c r="C3025" s="1235"/>
      <c r="D3025" s="1223"/>
      <c r="E3025" s="577" t="s">
        <v>116</v>
      </c>
      <c r="F3025" s="577" t="s">
        <v>117</v>
      </c>
      <c r="G3025" s="1194" t="s">
        <v>118</v>
      </c>
      <c r="H3025" s="1195"/>
      <c r="I3025" s="356" t="s">
        <v>296</v>
      </c>
      <c r="J3025" s="356" t="s">
        <v>1780</v>
      </c>
      <c r="K3025" s="1236" t="s">
        <v>285</v>
      </c>
      <c r="L3025" s="1237"/>
      <c r="M3025" s="54"/>
      <c r="N3025" s="54"/>
      <c r="O3025" s="554"/>
      <c r="P3025" s="334"/>
      <c r="Q3025" s="335"/>
      <c r="R3025" s="336"/>
      <c r="S3025" s="337"/>
    </row>
    <row r="3026" spans="1:21" ht="30" customHeight="1" x14ac:dyDescent="0.25">
      <c r="A3026" s="365" t="s">
        <v>1781</v>
      </c>
      <c r="B3026" s="1209" t="s">
        <v>1782</v>
      </c>
      <c r="C3026" s="1210"/>
      <c r="D3026" s="1211"/>
      <c r="E3026" s="247">
        <v>12200</v>
      </c>
      <c r="F3026" s="396" t="s">
        <v>1783</v>
      </c>
      <c r="G3026" s="911">
        <f>3200/9</f>
        <v>355.55555555555554</v>
      </c>
      <c r="H3026" s="690" t="s">
        <v>1784</v>
      </c>
      <c r="I3026" s="706">
        <v>1.17</v>
      </c>
      <c r="J3026" s="706">
        <v>1.1000000000000001</v>
      </c>
      <c r="K3026" s="247">
        <f>+E3026/G3026*I3026*J3026</f>
        <v>44.160187499999999</v>
      </c>
      <c r="L3026" s="365" t="s">
        <v>9</v>
      </c>
      <c r="M3026" s="54"/>
      <c r="N3026" s="54"/>
      <c r="P3026" s="334"/>
      <c r="Q3026" s="335"/>
      <c r="R3026" s="336"/>
      <c r="S3026" s="337"/>
    </row>
    <row r="3027" spans="1:21" ht="30" customHeight="1" x14ac:dyDescent="0.25">
      <c r="A3027" s="365"/>
      <c r="B3027" s="1281" t="s">
        <v>1785</v>
      </c>
      <c r="C3027" s="1281"/>
      <c r="D3027" s="1281"/>
      <c r="E3027" s="247"/>
      <c r="F3027" s="365"/>
      <c r="G3027" s="365"/>
      <c r="H3027" s="365"/>
      <c r="I3027" s="365"/>
      <c r="J3027" s="365"/>
      <c r="K3027" s="247"/>
      <c r="L3027" s="365"/>
      <c r="M3027" s="54"/>
      <c r="N3027" s="54"/>
      <c r="O3027" s="543"/>
      <c r="P3027" s="334"/>
      <c r="Q3027" s="335"/>
      <c r="R3027" s="336"/>
      <c r="S3027" s="337"/>
    </row>
    <row r="3028" spans="1:21" ht="30" customHeight="1" x14ac:dyDescent="0.25">
      <c r="A3028" s="365"/>
      <c r="B3028" s="578"/>
      <c r="C3028" s="578"/>
      <c r="D3028" s="578"/>
      <c r="E3028" s="247"/>
      <c r="F3028" s="1272" t="s">
        <v>303</v>
      </c>
      <c r="G3028" s="1283" t="s">
        <v>304</v>
      </c>
      <c r="H3028" s="1283"/>
      <c r="I3028" s="1283"/>
      <c r="J3028" s="1283"/>
      <c r="K3028" s="250">
        <v>1.06</v>
      </c>
      <c r="L3028" s="365"/>
      <c r="M3028" s="54"/>
      <c r="N3028" s="54"/>
      <c r="P3028" s="334"/>
      <c r="Q3028" s="335"/>
      <c r="R3028" s="336"/>
      <c r="S3028" s="337"/>
    </row>
    <row r="3029" spans="1:21" ht="30" customHeight="1" x14ac:dyDescent="0.25">
      <c r="A3029" s="365"/>
      <c r="B3029" s="578"/>
      <c r="C3029" s="578"/>
      <c r="D3029" s="578"/>
      <c r="E3029" s="247"/>
      <c r="F3029" s="1273"/>
      <c r="G3029" s="1284" t="s">
        <v>438</v>
      </c>
      <c r="H3029" s="1284"/>
      <c r="I3029" s="1284"/>
      <c r="J3029" s="1284"/>
      <c r="K3029" s="250">
        <v>1.06</v>
      </c>
      <c r="L3029" s="365"/>
      <c r="M3029" s="54"/>
      <c r="N3029" s="54"/>
      <c r="P3029" s="334"/>
      <c r="Q3029" s="335"/>
      <c r="R3029" s="336"/>
      <c r="S3029" s="337"/>
    </row>
    <row r="3030" spans="1:21" ht="30" customHeight="1" x14ac:dyDescent="0.25">
      <c r="A3030" s="895"/>
      <c r="B3030" s="365"/>
      <c r="C3030" s="366"/>
      <c r="D3030" s="366"/>
      <c r="E3030" s="247"/>
      <c r="F3030" s="365"/>
      <c r="G3030" s="365"/>
      <c r="H3030" s="365"/>
      <c r="I3030" s="365"/>
      <c r="J3030" s="365" t="s">
        <v>72</v>
      </c>
      <c r="K3030" s="246">
        <f>+K3026*K3028/K3029</f>
        <v>44.160187499999999</v>
      </c>
      <c r="L3030" s="365" t="s">
        <v>9</v>
      </c>
      <c r="M3030" s="54"/>
      <c r="N3030" s="54"/>
      <c r="O3030" s="336"/>
      <c r="P3030" s="334"/>
      <c r="Q3030" s="335"/>
      <c r="R3030" s="336"/>
      <c r="S3030" s="337"/>
    </row>
    <row r="3031" spans="1:21" ht="30" customHeight="1" thickBot="1" x14ac:dyDescent="0.3">
      <c r="A3031" s="365"/>
      <c r="B3031" s="365"/>
      <c r="C3031" s="366"/>
      <c r="D3031" s="366"/>
      <c r="E3031" s="366"/>
      <c r="F3031" s="366"/>
      <c r="G3031" s="580" t="s">
        <v>306</v>
      </c>
      <c r="H3031" s="366"/>
      <c r="I3031" s="366"/>
      <c r="J3031" s="521">
        <f>VLOOKUP(B3024,'Mil Cost Premiums for PUCs'!$A$4:$R$277,18,FALSE)</f>
        <v>1.0209999999999999</v>
      </c>
      <c r="K3031" s="246">
        <f>+K3030*J3031</f>
        <v>45.087551437499997</v>
      </c>
      <c r="L3031" s="365" t="s">
        <v>9</v>
      </c>
      <c r="M3031" s="54"/>
      <c r="N3031" s="54"/>
      <c r="O3031" s="336"/>
      <c r="P3031" s="334"/>
      <c r="Q3031" s="335"/>
      <c r="R3031" s="336"/>
      <c r="S3031" s="337"/>
    </row>
    <row r="3032" spans="1:21" ht="30" customHeight="1" thickBot="1" x14ac:dyDescent="0.3">
      <c r="A3032" s="1180"/>
      <c r="B3032" s="1181"/>
      <c r="C3032" s="1181"/>
      <c r="D3032" s="1181"/>
      <c r="E3032" s="1181"/>
      <c r="F3032" s="1181"/>
      <c r="G3032" s="1181"/>
      <c r="H3032" s="1181"/>
      <c r="I3032" s="1181"/>
      <c r="J3032" s="1181"/>
      <c r="K3032" s="1181"/>
      <c r="L3032" s="1182"/>
      <c r="M3032" s="54"/>
      <c r="N3032" s="54"/>
      <c r="O3032" s="336"/>
      <c r="P3032" s="334"/>
      <c r="Q3032" s="335"/>
      <c r="R3032" s="336"/>
      <c r="S3032" s="337"/>
    </row>
    <row r="3033" spans="1:21" ht="30" customHeight="1" x14ac:dyDescent="0.25">
      <c r="A3033" s="327" t="s">
        <v>5</v>
      </c>
      <c r="B3033" s="328">
        <v>7141</v>
      </c>
      <c r="C3033" s="1251" t="s">
        <v>1786</v>
      </c>
      <c r="D3033" s="1252"/>
      <c r="E3033" s="351" t="s">
        <v>8</v>
      </c>
      <c r="F3033" s="352" t="s">
        <v>205</v>
      </c>
      <c r="G3033" s="342" t="s">
        <v>74</v>
      </c>
      <c r="H3033" s="912">
        <v>724</v>
      </c>
      <c r="I3033" s="331" t="s">
        <v>10</v>
      </c>
      <c r="J3033" s="1220" t="s">
        <v>294</v>
      </c>
      <c r="K3033" s="1220"/>
      <c r="L3033" s="1221"/>
      <c r="M3033" s="54"/>
      <c r="N3033" s="54"/>
      <c r="O3033" s="336"/>
      <c r="P3033" s="334"/>
      <c r="Q3033" s="335"/>
      <c r="R3033" s="336"/>
      <c r="S3033" s="337"/>
    </row>
    <row r="3034" spans="1:21" ht="30" customHeight="1" x14ac:dyDescent="0.25">
      <c r="A3034" s="359" t="s">
        <v>295</v>
      </c>
      <c r="B3034" s="1222" t="s">
        <v>326</v>
      </c>
      <c r="C3034" s="1235"/>
      <c r="D3034" s="1223"/>
      <c r="E3034" s="577" t="s">
        <v>116</v>
      </c>
      <c r="F3034" s="577" t="s">
        <v>117</v>
      </c>
      <c r="G3034" s="1194" t="s">
        <v>118</v>
      </c>
      <c r="H3034" s="1195"/>
      <c r="I3034" s="356" t="s">
        <v>296</v>
      </c>
      <c r="J3034" s="356"/>
      <c r="K3034" s="1236" t="s">
        <v>285</v>
      </c>
      <c r="L3034" s="1237"/>
      <c r="M3034" s="54"/>
      <c r="N3034" s="54"/>
      <c r="O3034" s="344"/>
      <c r="P3034" s="334"/>
      <c r="Q3034" s="335"/>
      <c r="R3034" s="336"/>
      <c r="S3034" s="337"/>
    </row>
    <row r="3035" spans="1:21" ht="30" customHeight="1" x14ac:dyDescent="0.25">
      <c r="A3035" s="895" t="s">
        <v>1787</v>
      </c>
      <c r="B3035" s="1209" t="s">
        <v>1788</v>
      </c>
      <c r="C3035" s="1210"/>
      <c r="D3035" s="1211"/>
      <c r="E3035" s="247">
        <v>37</v>
      </c>
      <c r="F3035" s="365" t="s">
        <v>205</v>
      </c>
      <c r="G3035" s="365"/>
      <c r="H3035" s="365"/>
      <c r="I3035" s="365">
        <v>1.21</v>
      </c>
      <c r="J3035" s="365"/>
      <c r="K3035" s="247">
        <f>+E3035*I3035</f>
        <v>44.769999999999996</v>
      </c>
      <c r="L3035" s="365" t="s">
        <v>205</v>
      </c>
      <c r="M3035" s="54"/>
      <c r="N3035" s="54"/>
      <c r="O3035" s="344"/>
      <c r="P3035" s="334"/>
      <c r="Q3035" s="335"/>
      <c r="R3035" s="336"/>
      <c r="S3035" s="337"/>
    </row>
    <row r="3036" spans="1:21" ht="30" customHeight="1" x14ac:dyDescent="0.25">
      <c r="A3036" s="365"/>
      <c r="B3036" s="578"/>
      <c r="C3036" s="578"/>
      <c r="D3036" s="578"/>
      <c r="E3036" s="247"/>
      <c r="F3036" s="1272" t="s">
        <v>303</v>
      </c>
      <c r="G3036" s="1283" t="s">
        <v>304</v>
      </c>
      <c r="H3036" s="1283"/>
      <c r="I3036" s="1283"/>
      <c r="J3036" s="1283"/>
      <c r="K3036" s="250">
        <v>1.06</v>
      </c>
      <c r="L3036" s="365"/>
      <c r="M3036" s="54"/>
      <c r="N3036" s="54"/>
      <c r="O3036" s="336"/>
      <c r="P3036" s="334"/>
      <c r="Q3036" s="335"/>
      <c r="R3036" s="336"/>
      <c r="S3036" s="337"/>
    </row>
    <row r="3037" spans="1:21" ht="30" customHeight="1" x14ac:dyDescent="0.25">
      <c r="A3037" s="365"/>
      <c r="B3037" s="578"/>
      <c r="C3037" s="578"/>
      <c r="D3037" s="578"/>
      <c r="E3037" s="247"/>
      <c r="F3037" s="1273"/>
      <c r="G3037" s="1284" t="s">
        <v>305</v>
      </c>
      <c r="H3037" s="1284"/>
      <c r="I3037" s="1284"/>
      <c r="J3037" s="1284"/>
      <c r="K3037" s="250">
        <v>1.06</v>
      </c>
      <c r="L3037" s="365"/>
      <c r="M3037" s="54"/>
      <c r="N3037" s="54"/>
      <c r="O3037" s="336"/>
      <c r="P3037" s="334"/>
      <c r="Q3037" s="335"/>
      <c r="R3037" s="336"/>
      <c r="S3037" s="337"/>
    </row>
    <row r="3038" spans="1:21" ht="30" customHeight="1" x14ac:dyDescent="0.25">
      <c r="A3038" s="365"/>
      <c r="B3038" s="365"/>
      <c r="C3038" s="366"/>
      <c r="D3038" s="366"/>
      <c r="E3038" s="366"/>
      <c r="F3038" s="366"/>
      <c r="G3038" s="366"/>
      <c r="H3038" s="366"/>
      <c r="I3038" s="366"/>
      <c r="J3038" s="365" t="s">
        <v>72</v>
      </c>
      <c r="K3038" s="246">
        <f>+K3035*K3036/K3037</f>
        <v>44.769999999999996</v>
      </c>
      <c r="L3038" s="365" t="s">
        <v>205</v>
      </c>
      <c r="M3038" s="54"/>
      <c r="N3038" s="54"/>
      <c r="O3038" s="336"/>
      <c r="P3038" s="334"/>
      <c r="Q3038" s="335"/>
      <c r="R3038" s="336"/>
      <c r="S3038" s="337"/>
    </row>
    <row r="3039" spans="1:21" ht="30" customHeight="1" thickBot="1" x14ac:dyDescent="0.3">
      <c r="A3039" s="365"/>
      <c r="B3039" s="365"/>
      <c r="C3039" s="366"/>
      <c r="D3039" s="366"/>
      <c r="E3039" s="366"/>
      <c r="F3039" s="366"/>
      <c r="G3039" s="580" t="s">
        <v>306</v>
      </c>
      <c r="H3039" s="366"/>
      <c r="I3039" s="366"/>
      <c r="J3039" s="521">
        <f>VLOOKUP(B3033,'Mil Cost Premiums for PUCs'!$A$4:$R$277,18,FALSE)</f>
        <v>1.0905505199999999</v>
      </c>
      <c r="K3039" s="246">
        <f>+K3038*J3039</f>
        <v>48.823946780399986</v>
      </c>
      <c r="L3039" s="365" t="s">
        <v>205</v>
      </c>
      <c r="M3039" s="54"/>
      <c r="N3039" s="54"/>
      <c r="O3039" s="336"/>
      <c r="P3039" s="334"/>
      <c r="Q3039" s="335"/>
      <c r="R3039" s="336"/>
      <c r="S3039" s="337"/>
      <c r="U3039" s="10"/>
    </row>
    <row r="3040" spans="1:21" ht="30" customHeight="1" thickBot="1" x14ac:dyDescent="0.3">
      <c r="A3040" s="1180"/>
      <c r="B3040" s="1181"/>
      <c r="C3040" s="1181"/>
      <c r="D3040" s="1181"/>
      <c r="E3040" s="1181"/>
      <c r="F3040" s="1181"/>
      <c r="G3040" s="1181"/>
      <c r="H3040" s="1181"/>
      <c r="I3040" s="1181"/>
      <c r="J3040" s="1181"/>
      <c r="K3040" s="1181"/>
      <c r="L3040" s="1182"/>
      <c r="M3040" s="54"/>
      <c r="N3040" s="54"/>
      <c r="O3040" s="336"/>
      <c r="P3040" s="334"/>
      <c r="Q3040" s="335"/>
      <c r="R3040" s="336"/>
      <c r="S3040" s="337"/>
      <c r="U3040" s="10"/>
    </row>
    <row r="3041" spans="1:26" ht="30" customHeight="1" x14ac:dyDescent="0.25">
      <c r="A3041" s="327" t="s">
        <v>5</v>
      </c>
      <c r="B3041" s="328">
        <v>7142</v>
      </c>
      <c r="C3041" s="1251" t="s">
        <v>1789</v>
      </c>
      <c r="D3041" s="1252"/>
      <c r="E3041" s="331" t="s">
        <v>8</v>
      </c>
      <c r="F3041" s="332" t="s">
        <v>205</v>
      </c>
      <c r="G3041" s="342" t="s">
        <v>74</v>
      </c>
      <c r="H3041" s="576">
        <v>287</v>
      </c>
      <c r="I3041" s="331" t="s">
        <v>10</v>
      </c>
      <c r="J3041" s="1220" t="s">
        <v>294</v>
      </c>
      <c r="K3041" s="1220"/>
      <c r="L3041" s="1221"/>
      <c r="M3041" s="54"/>
      <c r="N3041" s="54"/>
      <c r="O3041" s="336"/>
      <c r="T3041" s="10"/>
      <c r="U3041" s="345"/>
      <c r="V3041" s="345"/>
      <c r="W3041" s="345"/>
      <c r="X3041" s="345"/>
      <c r="Y3041" s="345"/>
    </row>
    <row r="3042" spans="1:26" ht="30" customHeight="1" x14ac:dyDescent="0.25">
      <c r="A3042" s="359" t="s">
        <v>295</v>
      </c>
      <c r="B3042" s="1222" t="s">
        <v>326</v>
      </c>
      <c r="C3042" s="1235"/>
      <c r="D3042" s="1223"/>
      <c r="E3042" s="577" t="s">
        <v>116</v>
      </c>
      <c r="F3042" s="577" t="s">
        <v>117</v>
      </c>
      <c r="G3042" s="1194" t="s">
        <v>118</v>
      </c>
      <c r="H3042" s="1195"/>
      <c r="I3042" s="356" t="s">
        <v>296</v>
      </c>
      <c r="J3042" s="356"/>
      <c r="K3042" s="1236" t="s">
        <v>285</v>
      </c>
      <c r="L3042" s="1237"/>
      <c r="M3042" s="54"/>
      <c r="N3042" s="54"/>
      <c r="O3042" s="336"/>
      <c r="T3042" s="10"/>
      <c r="Z3042" s="345"/>
    </row>
    <row r="3043" spans="1:26" ht="30" customHeight="1" x14ac:dyDescent="0.25">
      <c r="A3043" s="365" t="s">
        <v>1790</v>
      </c>
      <c r="B3043" s="1214" t="s">
        <v>1791</v>
      </c>
      <c r="C3043" s="1215"/>
      <c r="D3043" s="1216"/>
      <c r="E3043" s="247">
        <f>+(13.95+25.25)/2</f>
        <v>19.600000000000001</v>
      </c>
      <c r="F3043" s="396" t="s">
        <v>205</v>
      </c>
      <c r="G3043" s="689"/>
      <c r="H3043" s="690"/>
      <c r="I3043" s="365">
        <v>1.22</v>
      </c>
      <c r="J3043" s="365"/>
      <c r="K3043" s="247">
        <f>+E3043*I3043</f>
        <v>23.912000000000003</v>
      </c>
      <c r="L3043" s="365" t="s">
        <v>205</v>
      </c>
      <c r="M3043" s="54"/>
      <c r="N3043" s="54"/>
      <c r="O3043" s="345"/>
      <c r="P3043" s="344"/>
      <c r="Q3043" s="345"/>
      <c r="R3043" s="345"/>
      <c r="S3043" s="345"/>
      <c r="T3043" s="345"/>
    </row>
    <row r="3044" spans="1:26" ht="30" customHeight="1" x14ac:dyDescent="0.25">
      <c r="A3044" s="365" t="s">
        <v>1790</v>
      </c>
      <c r="B3044" s="1214" t="s">
        <v>1792</v>
      </c>
      <c r="C3044" s="1215"/>
      <c r="D3044" s="1215"/>
      <c r="E3044" s="247">
        <v>4.1500000000000004</v>
      </c>
      <c r="F3044" s="661" t="s">
        <v>205</v>
      </c>
      <c r="G3044" s="689"/>
      <c r="H3044" s="690"/>
      <c r="I3044" s="365">
        <v>1.22</v>
      </c>
      <c r="J3044" s="365"/>
      <c r="K3044" s="247">
        <f>+E3044*I3044</f>
        <v>5.0630000000000006</v>
      </c>
      <c r="L3044" s="365" t="s">
        <v>205</v>
      </c>
      <c r="M3044" s="54"/>
      <c r="N3044" s="54"/>
      <c r="O3044" s="336"/>
      <c r="U3044" s="10"/>
    </row>
    <row r="3045" spans="1:26" ht="30" customHeight="1" x14ac:dyDescent="0.25">
      <c r="A3045" s="895"/>
      <c r="B3045" s="1269"/>
      <c r="C3045" s="1269"/>
      <c r="D3045" s="1269"/>
      <c r="E3045" s="247"/>
      <c r="F3045" s="365"/>
      <c r="G3045" s="365"/>
      <c r="H3045" s="365"/>
      <c r="I3045" s="365"/>
      <c r="J3045" s="365" t="s">
        <v>343</v>
      </c>
      <c r="K3045" s="247">
        <f>SUM(K3043:K3044)</f>
        <v>28.975000000000001</v>
      </c>
      <c r="L3045" s="365" t="s">
        <v>205</v>
      </c>
      <c r="M3045" s="54"/>
      <c r="O3045" s="336"/>
      <c r="P3045" s="334"/>
      <c r="Q3045" s="335"/>
      <c r="R3045" s="336"/>
      <c r="S3045" s="337"/>
    </row>
    <row r="3046" spans="1:26" s="345" customFormat="1" ht="30" customHeight="1" x14ac:dyDescent="0.25">
      <c r="A3046" s="365"/>
      <c r="B3046" s="578"/>
      <c r="C3046" s="578"/>
      <c r="D3046" s="578"/>
      <c r="E3046" s="247"/>
      <c r="F3046" s="1272" t="s">
        <v>303</v>
      </c>
      <c r="G3046" s="1283" t="s">
        <v>304</v>
      </c>
      <c r="H3046" s="1283"/>
      <c r="I3046" s="1283"/>
      <c r="J3046" s="1283"/>
      <c r="K3046" s="250">
        <v>1.06</v>
      </c>
      <c r="L3046" s="365"/>
      <c r="M3046" s="54"/>
      <c r="N3046" s="54"/>
      <c r="O3046" s="334"/>
      <c r="P3046" s="340"/>
      <c r="Q3046" s="334"/>
      <c r="R3046" s="334"/>
      <c r="S3046" s="334"/>
      <c r="T3046" s="334"/>
      <c r="U3046" s="10"/>
      <c r="V3046" s="334"/>
      <c r="W3046" s="334"/>
      <c r="X3046" s="334"/>
      <c r="Y3046" s="334"/>
      <c r="Z3046" s="334"/>
    </row>
    <row r="3047" spans="1:26" ht="30" customHeight="1" x14ac:dyDescent="0.25">
      <c r="A3047" s="365"/>
      <c r="B3047" s="578"/>
      <c r="C3047" s="578"/>
      <c r="D3047" s="578"/>
      <c r="E3047" s="247"/>
      <c r="F3047" s="1273"/>
      <c r="G3047" s="1284" t="s">
        <v>305</v>
      </c>
      <c r="H3047" s="1284"/>
      <c r="I3047" s="1284"/>
      <c r="J3047" s="1284"/>
      <c r="K3047" s="250">
        <v>1.06</v>
      </c>
      <c r="L3047" s="365"/>
      <c r="M3047" s="54"/>
      <c r="N3047" s="54"/>
      <c r="O3047" s="336"/>
      <c r="T3047" s="10"/>
      <c r="U3047" s="345"/>
      <c r="V3047" s="345"/>
      <c r="W3047" s="345"/>
      <c r="X3047" s="345"/>
      <c r="Y3047" s="345"/>
    </row>
    <row r="3048" spans="1:26" ht="30" customHeight="1" x14ac:dyDescent="0.25">
      <c r="A3048" s="365"/>
      <c r="B3048" s="365"/>
      <c r="C3048" s="366"/>
      <c r="D3048" s="366"/>
      <c r="E3048" s="366"/>
      <c r="F3048" s="366"/>
      <c r="G3048" s="366"/>
      <c r="H3048" s="366"/>
      <c r="I3048" s="366"/>
      <c r="J3048" s="366" t="s">
        <v>72</v>
      </c>
      <c r="K3048" s="246">
        <f>+K3045*K3046/K3047</f>
        <v>28.975000000000001</v>
      </c>
      <c r="L3048" s="365" t="s">
        <v>205</v>
      </c>
      <c r="M3048" s="54"/>
      <c r="N3048" s="54"/>
      <c r="O3048" s="336"/>
      <c r="T3048" s="10"/>
      <c r="U3048" s="345"/>
      <c r="V3048" s="345"/>
      <c r="W3048" s="345"/>
      <c r="X3048" s="345"/>
      <c r="Y3048" s="345"/>
      <c r="Z3048" s="345"/>
    </row>
    <row r="3049" spans="1:26" ht="30" customHeight="1" thickBot="1" x14ac:dyDescent="0.3">
      <c r="A3049" s="365"/>
      <c r="B3049" s="365"/>
      <c r="C3049" s="366"/>
      <c r="D3049" s="366"/>
      <c r="E3049" s="366"/>
      <c r="F3049" s="366"/>
      <c r="G3049" s="580" t="s">
        <v>306</v>
      </c>
      <c r="H3049" s="366"/>
      <c r="I3049" s="366"/>
      <c r="J3049" s="521">
        <f>VLOOKUP(B3041,'Mil Cost Premiums for PUCs'!$A$4:$R$277,18,FALSE)</f>
        <v>1.0209999999999999</v>
      </c>
      <c r="K3049" s="246">
        <f>+K3048*J3049</f>
        <v>29.583475</v>
      </c>
      <c r="L3049" s="365" t="s">
        <v>205</v>
      </c>
      <c r="M3049" s="54"/>
      <c r="N3049" s="54"/>
      <c r="O3049" s="336"/>
      <c r="P3049" s="344"/>
      <c r="Q3049" s="345"/>
      <c r="R3049" s="345"/>
      <c r="S3049" s="345"/>
      <c r="T3049" s="345"/>
      <c r="U3049" s="345"/>
      <c r="V3049" s="345"/>
      <c r="W3049" s="345"/>
      <c r="X3049" s="345"/>
      <c r="Y3049" s="345"/>
      <c r="Z3049" s="345"/>
    </row>
    <row r="3050" spans="1:26" ht="30" customHeight="1" thickBot="1" x14ac:dyDescent="0.3">
      <c r="A3050" s="1180"/>
      <c r="B3050" s="1181"/>
      <c r="C3050" s="1181"/>
      <c r="D3050" s="1181"/>
      <c r="E3050" s="1181"/>
      <c r="F3050" s="1181"/>
      <c r="G3050" s="1181"/>
      <c r="H3050" s="1181"/>
      <c r="I3050" s="1181"/>
      <c r="J3050" s="1181"/>
      <c r="K3050" s="1181"/>
      <c r="L3050" s="1182"/>
      <c r="M3050" s="54"/>
      <c r="N3050" s="54"/>
      <c r="O3050" s="336"/>
      <c r="P3050" s="344"/>
      <c r="Q3050" s="345"/>
      <c r="R3050" s="345"/>
      <c r="S3050" s="345"/>
      <c r="T3050" s="345"/>
      <c r="Z3050" s="345"/>
    </row>
    <row r="3051" spans="1:26" s="345" customFormat="1" ht="30" customHeight="1" x14ac:dyDescent="0.25">
      <c r="A3051" s="327" t="s">
        <v>5</v>
      </c>
      <c r="B3051" s="328">
        <v>7143</v>
      </c>
      <c r="C3051" s="1218" t="s">
        <v>1793</v>
      </c>
      <c r="D3051" s="1219"/>
      <c r="E3051" s="331" t="s">
        <v>8</v>
      </c>
      <c r="F3051" s="332" t="s">
        <v>205</v>
      </c>
      <c r="G3051" s="342" t="s">
        <v>74</v>
      </c>
      <c r="H3051" s="576">
        <v>399</v>
      </c>
      <c r="I3051" s="331" t="s">
        <v>10</v>
      </c>
      <c r="J3051" s="1220" t="s">
        <v>3388</v>
      </c>
      <c r="K3051" s="1220"/>
      <c r="L3051" s="1221"/>
      <c r="M3051" s="54"/>
      <c r="N3051" s="54"/>
      <c r="P3051" s="344"/>
      <c r="U3051" s="334"/>
      <c r="V3051" s="334"/>
      <c r="W3051" s="334"/>
      <c r="X3051" s="334"/>
      <c r="Y3051" s="334"/>
      <c r="Z3051" s="334"/>
    </row>
    <row r="3052" spans="1:26" s="345" customFormat="1" ht="30" customHeight="1" x14ac:dyDescent="0.25">
      <c r="A3052" s="359" t="s">
        <v>295</v>
      </c>
      <c r="B3052" s="1222" t="s">
        <v>326</v>
      </c>
      <c r="C3052" s="1235"/>
      <c r="D3052" s="1223"/>
      <c r="E3052" s="577" t="s">
        <v>116</v>
      </c>
      <c r="F3052" s="577" t="s">
        <v>117</v>
      </c>
      <c r="G3052" s="1194" t="s">
        <v>118</v>
      </c>
      <c r="H3052" s="1195"/>
      <c r="I3052" s="356" t="s">
        <v>296</v>
      </c>
      <c r="J3052" s="356"/>
      <c r="K3052" s="1236" t="s">
        <v>285</v>
      </c>
      <c r="L3052" s="1237"/>
      <c r="M3052" s="54"/>
      <c r="N3052" s="54"/>
      <c r="O3052" s="334"/>
      <c r="P3052" s="340"/>
      <c r="Q3052" s="334"/>
      <c r="R3052" s="334"/>
      <c r="S3052" s="334"/>
      <c r="T3052" s="334"/>
      <c r="U3052" s="334"/>
      <c r="V3052" s="334"/>
      <c r="W3052" s="334"/>
      <c r="X3052" s="334"/>
      <c r="Y3052" s="334"/>
      <c r="Z3052" s="334"/>
    </row>
    <row r="3053" spans="1:26" s="345" customFormat="1" ht="30" customHeight="1" x14ac:dyDescent="0.25">
      <c r="A3053" s="365" t="s">
        <v>1794</v>
      </c>
      <c r="B3053" s="1214" t="s">
        <v>1795</v>
      </c>
      <c r="C3053" s="1215"/>
      <c r="D3053" s="1216"/>
      <c r="E3053" s="247">
        <v>27.5</v>
      </c>
      <c r="F3053" s="396" t="s">
        <v>205</v>
      </c>
      <c r="G3053" s="689"/>
      <c r="H3053" s="690"/>
      <c r="I3053" s="706">
        <v>1.06</v>
      </c>
      <c r="J3053" s="365"/>
      <c r="K3053" s="247">
        <f>+E3053*I3053</f>
        <v>29.150000000000002</v>
      </c>
      <c r="L3053" s="365" t="s">
        <v>205</v>
      </c>
      <c r="M3053" s="54"/>
      <c r="N3053" s="54"/>
      <c r="O3053" s="334"/>
      <c r="P3053" s="340"/>
      <c r="Q3053" s="334"/>
      <c r="R3053" s="334"/>
      <c r="S3053" s="334"/>
      <c r="T3053" s="334"/>
      <c r="U3053" s="334"/>
      <c r="V3053" s="334"/>
      <c r="W3053" s="334"/>
      <c r="X3053" s="334"/>
      <c r="Y3053" s="334"/>
      <c r="Z3053" s="334"/>
    </row>
    <row r="3054" spans="1:26" ht="30" customHeight="1" x14ac:dyDescent="0.25">
      <c r="A3054" s="365" t="s">
        <v>406</v>
      </c>
      <c r="B3054" s="1269" t="s">
        <v>1796</v>
      </c>
      <c r="C3054" s="1269"/>
      <c r="D3054" s="1269"/>
      <c r="E3054" s="247">
        <v>4.1500000000000004</v>
      </c>
      <c r="F3054" s="365" t="s">
        <v>205</v>
      </c>
      <c r="G3054" s="365"/>
      <c r="H3054" s="365"/>
      <c r="I3054" s="365">
        <v>1.04</v>
      </c>
      <c r="J3054" s="365"/>
      <c r="K3054" s="247">
        <f>+E3054*I3054</f>
        <v>4.3160000000000007</v>
      </c>
      <c r="L3054" s="365" t="s">
        <v>205</v>
      </c>
      <c r="M3054" s="54"/>
      <c r="N3054" s="54"/>
      <c r="P3054" s="334"/>
      <c r="Q3054" s="335"/>
      <c r="R3054" s="336"/>
      <c r="S3054" s="337"/>
    </row>
    <row r="3055" spans="1:26" ht="30" customHeight="1" x14ac:dyDescent="0.25">
      <c r="A3055" s="895"/>
      <c r="B3055" s="1269"/>
      <c r="C3055" s="1269"/>
      <c r="D3055" s="1269"/>
      <c r="E3055" s="247"/>
      <c r="F3055" s="365"/>
      <c r="G3055" s="365"/>
      <c r="H3055" s="365"/>
      <c r="I3055" s="365"/>
      <c r="J3055" s="365" t="s">
        <v>343</v>
      </c>
      <c r="K3055" s="247">
        <f>SUM(K3053:K3054)</f>
        <v>33.466000000000001</v>
      </c>
      <c r="L3055" s="365" t="s">
        <v>205</v>
      </c>
      <c r="M3055" s="54"/>
      <c r="N3055" s="54"/>
      <c r="O3055" s="543"/>
      <c r="P3055" s="334"/>
      <c r="Q3055" s="335"/>
      <c r="R3055" s="336"/>
      <c r="S3055" s="337"/>
    </row>
    <row r="3056" spans="1:26" ht="30" customHeight="1" x14ac:dyDescent="0.25">
      <c r="A3056" s="365"/>
      <c r="B3056" s="578"/>
      <c r="C3056" s="578"/>
      <c r="D3056" s="578"/>
      <c r="E3056" s="247"/>
      <c r="F3056" s="1272" t="s">
        <v>303</v>
      </c>
      <c r="G3056" s="1283" t="s">
        <v>304</v>
      </c>
      <c r="H3056" s="1283"/>
      <c r="I3056" s="1283"/>
      <c r="J3056" s="1283"/>
      <c r="K3056" s="250">
        <v>1.07</v>
      </c>
      <c r="L3056" s="365"/>
      <c r="M3056" s="54"/>
      <c r="O3056" s="336"/>
      <c r="P3056" s="334"/>
      <c r="Q3056" s="335"/>
      <c r="R3056" s="336"/>
      <c r="S3056" s="337"/>
    </row>
    <row r="3057" spans="1:19" ht="30" customHeight="1" x14ac:dyDescent="0.25">
      <c r="A3057" s="365"/>
      <c r="B3057" s="578"/>
      <c r="C3057" s="578"/>
      <c r="D3057" s="578"/>
      <c r="E3057" s="247"/>
      <c r="F3057" s="1273"/>
      <c r="G3057" s="1284" t="s">
        <v>438</v>
      </c>
      <c r="H3057" s="1284"/>
      <c r="I3057" s="1284"/>
      <c r="J3057" s="1284"/>
      <c r="K3057" s="250">
        <v>1.08</v>
      </c>
      <c r="L3057" s="365"/>
      <c r="M3057" s="54"/>
      <c r="N3057" s="54"/>
      <c r="P3057" s="334"/>
      <c r="Q3057" s="335"/>
      <c r="R3057" s="336"/>
      <c r="S3057" s="337"/>
    </row>
    <row r="3058" spans="1:19" ht="30" customHeight="1" x14ac:dyDescent="0.25">
      <c r="A3058" s="365"/>
      <c r="B3058" s="365"/>
      <c r="C3058" s="366"/>
      <c r="D3058" s="366"/>
      <c r="E3058" s="366"/>
      <c r="F3058" s="366"/>
      <c r="G3058" s="366"/>
      <c r="H3058" s="366"/>
      <c r="I3058" s="366"/>
      <c r="J3058" s="366" t="s">
        <v>72</v>
      </c>
      <c r="K3058" s="246">
        <f>+K3055*K3056/K3057</f>
        <v>33.156129629629632</v>
      </c>
      <c r="L3058" s="365" t="s">
        <v>205</v>
      </c>
      <c r="M3058" s="54"/>
      <c r="N3058" s="54"/>
      <c r="O3058" s="340"/>
      <c r="P3058" s="334"/>
      <c r="Q3058" s="335"/>
      <c r="R3058" s="336"/>
      <c r="S3058" s="337"/>
    </row>
    <row r="3059" spans="1:19" ht="30" customHeight="1" x14ac:dyDescent="0.25">
      <c r="A3059" s="365"/>
      <c r="B3059" s="365"/>
      <c r="C3059" s="366"/>
      <c r="D3059" s="366"/>
      <c r="E3059" s="366"/>
      <c r="F3059" s="366"/>
      <c r="G3059" s="580" t="s">
        <v>306</v>
      </c>
      <c r="H3059" s="366"/>
      <c r="I3059" s="366"/>
      <c r="J3059" s="521">
        <f>VLOOKUP(B3051,'Mil Cost Premiums for PUCs'!$A$4:$R$277,18,FALSE)</f>
        <v>1.0209999999999999</v>
      </c>
      <c r="K3059" s="246">
        <f>+K3058*J3059</f>
        <v>33.852408351851849</v>
      </c>
      <c r="L3059" s="365" t="s">
        <v>205</v>
      </c>
      <c r="M3059" s="54"/>
      <c r="N3059" s="54"/>
      <c r="P3059" s="334"/>
      <c r="Q3059" s="335"/>
      <c r="R3059" s="336"/>
      <c r="S3059" s="337"/>
    </row>
    <row r="3060" spans="1:19" ht="30" customHeight="1" thickBot="1" x14ac:dyDescent="0.3">
      <c r="A3060" s="835"/>
      <c r="B3060" s="835"/>
      <c r="C3060" s="840"/>
      <c r="D3060" s="840"/>
      <c r="E3060" s="850"/>
      <c r="F3060" s="1278" t="s">
        <v>1148</v>
      </c>
      <c r="G3060" s="1278"/>
      <c r="H3060" s="1278"/>
      <c r="I3060" s="1278"/>
      <c r="J3060" s="845">
        <v>1.0833999999999999</v>
      </c>
      <c r="K3060" s="544">
        <f>K3059*J3060</f>
        <v>36.675699208396288</v>
      </c>
      <c r="L3060" s="365" t="s">
        <v>205</v>
      </c>
      <c r="N3060" s="54"/>
      <c r="P3060" s="334"/>
      <c r="Q3060" s="335"/>
      <c r="R3060" s="336"/>
      <c r="S3060" s="337"/>
    </row>
    <row r="3061" spans="1:19" ht="30" customHeight="1" thickBot="1" x14ac:dyDescent="0.3">
      <c r="A3061" s="1180"/>
      <c r="B3061" s="1181"/>
      <c r="C3061" s="1181"/>
      <c r="D3061" s="1181"/>
      <c r="E3061" s="1181"/>
      <c r="F3061" s="1181"/>
      <c r="G3061" s="1181"/>
      <c r="H3061" s="1181"/>
      <c r="I3061" s="1181"/>
      <c r="J3061" s="1181"/>
      <c r="K3061" s="1181"/>
      <c r="L3061" s="1182"/>
      <c r="M3061" s="54"/>
      <c r="N3061" s="54"/>
      <c r="P3061" s="334"/>
      <c r="Q3061" s="335"/>
      <c r="R3061" s="336"/>
      <c r="S3061" s="337"/>
    </row>
    <row r="3062" spans="1:19" ht="30" customHeight="1" x14ac:dyDescent="0.25">
      <c r="A3062" s="327" t="s">
        <v>5</v>
      </c>
      <c r="B3062" s="328">
        <v>7145</v>
      </c>
      <c r="C3062" s="1251" t="s">
        <v>1797</v>
      </c>
      <c r="D3062" s="1252"/>
      <c r="E3062" s="331" t="s">
        <v>8</v>
      </c>
      <c r="F3062" s="332" t="s">
        <v>205</v>
      </c>
      <c r="G3062" s="342" t="s">
        <v>74</v>
      </c>
      <c r="H3062" s="653">
        <v>2809</v>
      </c>
      <c r="I3062" s="331" t="s">
        <v>10</v>
      </c>
      <c r="J3062" s="1220" t="s">
        <v>3388</v>
      </c>
      <c r="K3062" s="1220"/>
      <c r="L3062" s="1221"/>
      <c r="M3062" s="54"/>
      <c r="N3062" s="54"/>
      <c r="P3062" s="334"/>
      <c r="Q3062" s="335"/>
      <c r="R3062" s="336"/>
      <c r="S3062" s="337"/>
    </row>
    <row r="3063" spans="1:19" ht="30" customHeight="1" x14ac:dyDescent="0.25">
      <c r="A3063" s="359" t="s">
        <v>295</v>
      </c>
      <c r="B3063" s="1222" t="s">
        <v>326</v>
      </c>
      <c r="C3063" s="1235"/>
      <c r="D3063" s="1223"/>
      <c r="E3063" s="577" t="s">
        <v>116</v>
      </c>
      <c r="F3063" s="577" t="s">
        <v>117</v>
      </c>
      <c r="G3063" s="1194" t="s">
        <v>118</v>
      </c>
      <c r="H3063" s="1195"/>
      <c r="I3063" s="356" t="s">
        <v>296</v>
      </c>
      <c r="J3063" s="356"/>
      <c r="K3063" s="1236" t="s">
        <v>285</v>
      </c>
      <c r="L3063" s="1237"/>
      <c r="M3063" s="54"/>
      <c r="N3063" s="54"/>
      <c r="O3063" s="543"/>
      <c r="P3063" s="334"/>
      <c r="Q3063" s="335"/>
      <c r="R3063" s="336"/>
      <c r="S3063" s="337"/>
    </row>
    <row r="3064" spans="1:19" ht="30" customHeight="1" x14ac:dyDescent="0.25">
      <c r="A3064" s="365" t="s">
        <v>1748</v>
      </c>
      <c r="B3064" s="1214" t="s">
        <v>1798</v>
      </c>
      <c r="C3064" s="1215"/>
      <c r="D3064" s="1216"/>
      <c r="E3064" s="247">
        <v>118</v>
      </c>
      <c r="F3064" s="396" t="s">
        <v>205</v>
      </c>
      <c r="G3064" s="689"/>
      <c r="H3064" s="690"/>
      <c r="I3064" s="365">
        <v>1.05</v>
      </c>
      <c r="J3064" s="365"/>
      <c r="K3064" s="247">
        <f>+E3064*I3064</f>
        <v>123.9</v>
      </c>
      <c r="L3064" s="365" t="s">
        <v>205</v>
      </c>
      <c r="M3064" s="54"/>
      <c r="N3064" s="54"/>
      <c r="P3064" s="334"/>
      <c r="Q3064" s="335"/>
      <c r="R3064" s="336"/>
      <c r="S3064" s="337"/>
    </row>
    <row r="3065" spans="1:19" ht="30" customHeight="1" x14ac:dyDescent="0.25">
      <c r="A3065" s="365" t="s">
        <v>456</v>
      </c>
      <c r="B3065" s="1269" t="s">
        <v>1799</v>
      </c>
      <c r="C3065" s="1269"/>
      <c r="D3065" s="1269"/>
      <c r="E3065" s="247">
        <v>4.8600000000000003</v>
      </c>
      <c r="F3065" s="365" t="s">
        <v>205</v>
      </c>
      <c r="G3065" s="365"/>
      <c r="H3065" s="365"/>
      <c r="I3065" s="365">
        <v>1.05</v>
      </c>
      <c r="J3065" s="365"/>
      <c r="K3065" s="247">
        <f>+E3065*I3065</f>
        <v>5.1030000000000006</v>
      </c>
      <c r="L3065" s="365" t="s">
        <v>205</v>
      </c>
      <c r="M3065" s="54"/>
      <c r="N3065" s="54"/>
      <c r="P3065" s="334"/>
      <c r="Q3065" s="335"/>
      <c r="R3065" s="336"/>
      <c r="S3065" s="337"/>
    </row>
    <row r="3066" spans="1:19" ht="30" customHeight="1" x14ac:dyDescent="0.25">
      <c r="A3066" s="895"/>
      <c r="B3066" s="1269"/>
      <c r="C3066" s="1269"/>
      <c r="D3066" s="1269"/>
      <c r="E3066" s="247"/>
      <c r="F3066" s="365"/>
      <c r="G3066" s="365"/>
      <c r="H3066" s="365"/>
      <c r="I3066" s="365"/>
      <c r="J3066" s="365" t="s">
        <v>343</v>
      </c>
      <c r="K3066" s="247">
        <f>SUM(K3064:K3065)</f>
        <v>129.00300000000001</v>
      </c>
      <c r="L3066" s="365" t="s">
        <v>205</v>
      </c>
      <c r="M3066" s="54"/>
      <c r="N3066" s="54"/>
      <c r="O3066" s="336"/>
      <c r="P3066" s="334"/>
      <c r="Q3066" s="335"/>
      <c r="R3066" s="336"/>
      <c r="S3066" s="337"/>
    </row>
    <row r="3067" spans="1:19" ht="30" customHeight="1" x14ac:dyDescent="0.25">
      <c r="A3067" s="365"/>
      <c r="B3067" s="578"/>
      <c r="C3067" s="578"/>
      <c r="D3067" s="578"/>
      <c r="E3067" s="247"/>
      <c r="F3067" s="1272" t="s">
        <v>303</v>
      </c>
      <c r="G3067" s="1283" t="s">
        <v>304</v>
      </c>
      <c r="H3067" s="1283"/>
      <c r="I3067" s="1283"/>
      <c r="J3067" s="1283"/>
      <c r="K3067" s="250">
        <v>1.07</v>
      </c>
      <c r="L3067" s="365"/>
      <c r="M3067" s="54"/>
      <c r="N3067" s="54"/>
      <c r="O3067" s="336"/>
      <c r="P3067" s="334"/>
      <c r="Q3067" s="335"/>
      <c r="R3067" s="336"/>
      <c r="S3067" s="337"/>
    </row>
    <row r="3068" spans="1:19" ht="30" customHeight="1" x14ac:dyDescent="0.25">
      <c r="A3068" s="365"/>
      <c r="B3068" s="578"/>
      <c r="C3068" s="578"/>
      <c r="D3068" s="578"/>
      <c r="E3068" s="247"/>
      <c r="F3068" s="1273"/>
      <c r="G3068" s="1284" t="s">
        <v>438</v>
      </c>
      <c r="H3068" s="1284"/>
      <c r="I3068" s="1284"/>
      <c r="J3068" s="1284"/>
      <c r="K3068" s="250">
        <v>1.08</v>
      </c>
      <c r="L3068" s="365"/>
      <c r="M3068" s="54"/>
      <c r="N3068" s="54"/>
      <c r="O3068" s="336"/>
      <c r="P3068" s="334"/>
      <c r="Q3068" s="335"/>
      <c r="R3068" s="336"/>
      <c r="S3068" s="337"/>
    </row>
    <row r="3069" spans="1:19" ht="30" customHeight="1" x14ac:dyDescent="0.25">
      <c r="A3069" s="365"/>
      <c r="B3069" s="365"/>
      <c r="C3069" s="366"/>
      <c r="D3069" s="366"/>
      <c r="E3069" s="366"/>
      <c r="F3069" s="366"/>
      <c r="G3069" s="366"/>
      <c r="H3069" s="366"/>
      <c r="I3069" s="366"/>
      <c r="J3069" s="365" t="s">
        <v>72</v>
      </c>
      <c r="K3069" s="246">
        <f>+K3066*K3067/K3068</f>
        <v>127.8085277777778</v>
      </c>
      <c r="L3069" s="365" t="s">
        <v>205</v>
      </c>
      <c r="M3069" s="54"/>
      <c r="N3069" s="54"/>
      <c r="O3069" s="554"/>
      <c r="P3069" s="334"/>
      <c r="Q3069" s="335"/>
      <c r="R3069" s="336"/>
      <c r="S3069" s="337"/>
    </row>
    <row r="3070" spans="1:19" ht="30" customHeight="1" x14ac:dyDescent="0.25">
      <c r="A3070" s="365"/>
      <c r="B3070" s="365"/>
      <c r="C3070" s="366"/>
      <c r="D3070" s="366"/>
      <c r="E3070" s="366"/>
      <c r="F3070" s="366"/>
      <c r="G3070" s="580" t="s">
        <v>306</v>
      </c>
      <c r="H3070" s="366"/>
      <c r="I3070" s="366"/>
      <c r="J3070" s="521">
        <f>VLOOKUP(B3062,'Mil Cost Premiums for PUCs'!$A$4:$R$277,18,FALSE)</f>
        <v>1.0209999999999999</v>
      </c>
      <c r="K3070" s="246">
        <f>+K3069*J3070</f>
        <v>130.49250686111111</v>
      </c>
      <c r="L3070" s="365" t="s">
        <v>205</v>
      </c>
      <c r="M3070" s="54"/>
      <c r="N3070" s="54"/>
      <c r="O3070" s="554"/>
      <c r="P3070" s="334"/>
      <c r="Q3070" s="335"/>
      <c r="R3070" s="336"/>
      <c r="S3070" s="337"/>
    </row>
    <row r="3071" spans="1:19" ht="30" customHeight="1" thickBot="1" x14ac:dyDescent="0.3">
      <c r="A3071" s="835"/>
      <c r="B3071" s="835"/>
      <c r="C3071" s="840"/>
      <c r="D3071" s="840"/>
      <c r="E3071" s="850"/>
      <c r="F3071" s="1278" t="s">
        <v>1148</v>
      </c>
      <c r="G3071" s="1278"/>
      <c r="H3071" s="1278"/>
      <c r="I3071" s="1278"/>
      <c r="J3071" s="845">
        <v>1.0833999999999999</v>
      </c>
      <c r="K3071" s="544">
        <f>K3070*J3071</f>
        <v>141.37558193332777</v>
      </c>
      <c r="L3071" s="365" t="s">
        <v>205</v>
      </c>
      <c r="N3071" s="54"/>
      <c r="O3071" s="554"/>
      <c r="P3071" s="334"/>
      <c r="Q3071" s="335"/>
      <c r="R3071" s="336"/>
      <c r="S3071" s="337"/>
    </row>
    <row r="3072" spans="1:19" ht="30" customHeight="1" thickBot="1" x14ac:dyDescent="0.3">
      <c r="A3072" s="1180"/>
      <c r="B3072" s="1181"/>
      <c r="C3072" s="1181"/>
      <c r="D3072" s="1181"/>
      <c r="E3072" s="1181"/>
      <c r="F3072" s="1181"/>
      <c r="G3072" s="1181"/>
      <c r="H3072" s="1181"/>
      <c r="I3072" s="1181"/>
      <c r="J3072" s="1181"/>
      <c r="K3072" s="1181"/>
      <c r="L3072" s="1182"/>
      <c r="M3072" s="54"/>
      <c r="N3072" s="54"/>
      <c r="O3072" s="554"/>
      <c r="P3072" s="334"/>
      <c r="Q3072" s="335"/>
      <c r="R3072" s="336"/>
      <c r="S3072" s="337"/>
    </row>
    <row r="3073" spans="1:19" ht="30" customHeight="1" x14ac:dyDescent="0.25">
      <c r="A3073" s="327" t="s">
        <v>5</v>
      </c>
      <c r="B3073" s="328">
        <v>7147</v>
      </c>
      <c r="C3073" s="1251" t="s">
        <v>1800</v>
      </c>
      <c r="D3073" s="1252"/>
      <c r="E3073" s="331" t="s">
        <v>8</v>
      </c>
      <c r="F3073" s="332" t="s">
        <v>205</v>
      </c>
      <c r="G3073" s="342" t="s">
        <v>74</v>
      </c>
      <c r="H3073" s="576">
        <v>544</v>
      </c>
      <c r="I3073" s="331" t="s">
        <v>10</v>
      </c>
      <c r="J3073" s="1220" t="s">
        <v>294</v>
      </c>
      <c r="K3073" s="1220"/>
      <c r="L3073" s="1221"/>
      <c r="M3073" s="54"/>
      <c r="N3073" s="54"/>
      <c r="O3073" s="336"/>
      <c r="P3073" s="334"/>
      <c r="Q3073" s="335"/>
      <c r="R3073" s="336"/>
      <c r="S3073" s="337"/>
    </row>
    <row r="3074" spans="1:19" ht="30" customHeight="1" x14ac:dyDescent="0.25">
      <c r="A3074" s="359" t="s">
        <v>295</v>
      </c>
      <c r="B3074" s="1222" t="s">
        <v>326</v>
      </c>
      <c r="C3074" s="1235"/>
      <c r="D3074" s="1223"/>
      <c r="E3074" s="577" t="s">
        <v>116</v>
      </c>
      <c r="F3074" s="577" t="s">
        <v>117</v>
      </c>
      <c r="G3074" s="1194" t="s">
        <v>118</v>
      </c>
      <c r="H3074" s="1195"/>
      <c r="I3074" s="356" t="s">
        <v>296</v>
      </c>
      <c r="J3074" s="356"/>
      <c r="K3074" s="1236" t="s">
        <v>285</v>
      </c>
      <c r="L3074" s="1237"/>
      <c r="M3074" s="54"/>
      <c r="N3074" s="54"/>
      <c r="O3074" s="336"/>
      <c r="P3074" s="334"/>
      <c r="Q3074" s="335"/>
      <c r="R3074" s="336"/>
      <c r="S3074" s="337"/>
    </row>
    <row r="3075" spans="1:19" ht="30" customHeight="1" x14ac:dyDescent="0.25">
      <c r="A3075" s="895" t="s">
        <v>1790</v>
      </c>
      <c r="B3075" s="1214" t="s">
        <v>1801</v>
      </c>
      <c r="C3075" s="1215"/>
      <c r="D3075" s="1216"/>
      <c r="E3075" s="247">
        <f>+(8.58+17.25)/2</f>
        <v>12.914999999999999</v>
      </c>
      <c r="F3075" s="396" t="s">
        <v>205</v>
      </c>
      <c r="G3075" s="689"/>
      <c r="H3075" s="690"/>
      <c r="I3075" s="365">
        <v>1.22</v>
      </c>
      <c r="J3075" s="365"/>
      <c r="K3075" s="247">
        <f>+E3075*I3075</f>
        <v>15.756299999999998</v>
      </c>
      <c r="L3075" s="365" t="s">
        <v>205</v>
      </c>
      <c r="M3075" s="54"/>
      <c r="N3075" s="54"/>
      <c r="O3075" s="336"/>
      <c r="P3075" s="334"/>
      <c r="Q3075" s="335"/>
      <c r="R3075" s="336"/>
      <c r="S3075" s="337"/>
    </row>
    <row r="3076" spans="1:19" ht="30" customHeight="1" x14ac:dyDescent="0.25">
      <c r="A3076" s="895" t="s">
        <v>1790</v>
      </c>
      <c r="B3076" s="1209" t="s">
        <v>1802</v>
      </c>
      <c r="C3076" s="1210"/>
      <c r="D3076" s="1211"/>
      <c r="E3076" s="247">
        <f>(6+10.25)/2</f>
        <v>8.125</v>
      </c>
      <c r="F3076" s="396" t="s">
        <v>205</v>
      </c>
      <c r="G3076" s="689"/>
      <c r="H3076" s="690"/>
      <c r="I3076" s="365">
        <v>1.22</v>
      </c>
      <c r="J3076" s="365"/>
      <c r="K3076" s="247">
        <f>+E3076*I3076</f>
        <v>9.9124999999999996</v>
      </c>
      <c r="L3076" s="365"/>
      <c r="M3076" s="54"/>
      <c r="N3076" s="54"/>
      <c r="O3076" s="336"/>
      <c r="P3076" s="334"/>
      <c r="Q3076" s="335"/>
      <c r="R3076" s="336"/>
      <c r="S3076" s="337"/>
    </row>
    <row r="3077" spans="1:19" ht="30" customHeight="1" x14ac:dyDescent="0.25">
      <c r="A3077" s="895"/>
      <c r="B3077" s="1269"/>
      <c r="C3077" s="1269"/>
      <c r="D3077" s="1269"/>
      <c r="E3077" s="247"/>
      <c r="F3077" s="365"/>
      <c r="G3077" s="365"/>
      <c r="H3077" s="365"/>
      <c r="I3077" s="365"/>
      <c r="J3077" s="365" t="s">
        <v>343</v>
      </c>
      <c r="K3077" s="247">
        <f>SUM(K3075:K3076)</f>
        <v>25.668799999999997</v>
      </c>
      <c r="L3077" s="365" t="s">
        <v>205</v>
      </c>
      <c r="M3077" s="54"/>
      <c r="N3077" s="54"/>
      <c r="O3077" s="336"/>
      <c r="P3077" s="334"/>
      <c r="Q3077" s="335"/>
      <c r="R3077" s="336"/>
      <c r="S3077" s="337"/>
    </row>
    <row r="3078" spans="1:19" ht="30" customHeight="1" x14ac:dyDescent="0.25">
      <c r="A3078" s="365"/>
      <c r="B3078" s="578"/>
      <c r="C3078" s="578"/>
      <c r="D3078" s="578"/>
      <c r="E3078" s="247"/>
      <c r="F3078" s="1272" t="s">
        <v>303</v>
      </c>
      <c r="G3078" s="1283" t="s">
        <v>304</v>
      </c>
      <c r="H3078" s="1283"/>
      <c r="I3078" s="1283"/>
      <c r="J3078" s="1283"/>
      <c r="K3078" s="250">
        <v>1.06</v>
      </c>
      <c r="L3078" s="365"/>
      <c r="M3078" s="54"/>
      <c r="N3078" s="54"/>
      <c r="O3078" s="336"/>
      <c r="P3078" s="334"/>
      <c r="Q3078" s="335"/>
      <c r="R3078" s="336"/>
      <c r="S3078" s="337"/>
    </row>
    <row r="3079" spans="1:19" ht="30" customHeight="1" x14ac:dyDescent="0.25">
      <c r="A3079" s="365"/>
      <c r="B3079" s="578"/>
      <c r="C3079" s="578"/>
      <c r="D3079" s="578"/>
      <c r="E3079" s="247"/>
      <c r="F3079" s="1273"/>
      <c r="G3079" s="1284" t="s">
        <v>305</v>
      </c>
      <c r="H3079" s="1284"/>
      <c r="I3079" s="1284"/>
      <c r="J3079" s="1284"/>
      <c r="K3079" s="250">
        <v>1.06</v>
      </c>
      <c r="L3079" s="365"/>
      <c r="M3079" s="54"/>
      <c r="N3079" s="54"/>
      <c r="P3079" s="334"/>
      <c r="Q3079" s="335"/>
      <c r="R3079" s="336"/>
      <c r="S3079" s="337"/>
    </row>
    <row r="3080" spans="1:19" ht="30" customHeight="1" x14ac:dyDescent="0.25">
      <c r="A3080" s="365"/>
      <c r="B3080" s="365"/>
      <c r="C3080" s="366"/>
      <c r="D3080" s="366"/>
      <c r="E3080" s="366"/>
      <c r="F3080" s="366"/>
      <c r="G3080" s="366"/>
      <c r="H3080" s="366"/>
      <c r="I3080" s="366"/>
      <c r="J3080" s="365" t="s">
        <v>72</v>
      </c>
      <c r="K3080" s="246">
        <f>+K3077*K3078/K3079</f>
        <v>25.668799999999997</v>
      </c>
      <c r="L3080" s="365" t="s">
        <v>205</v>
      </c>
      <c r="M3080" s="54"/>
      <c r="N3080" s="54"/>
      <c r="P3080" s="334"/>
      <c r="Q3080" s="335"/>
      <c r="R3080" s="336"/>
      <c r="S3080" s="337"/>
    </row>
    <row r="3081" spans="1:19" ht="30" customHeight="1" thickBot="1" x14ac:dyDescent="0.3">
      <c r="A3081" s="365"/>
      <c r="B3081" s="365"/>
      <c r="C3081" s="366"/>
      <c r="D3081" s="366"/>
      <c r="E3081" s="366"/>
      <c r="F3081" s="366"/>
      <c r="G3081" s="580" t="s">
        <v>306</v>
      </c>
      <c r="H3081" s="366"/>
      <c r="I3081" s="366"/>
      <c r="J3081" s="521">
        <f>VLOOKUP(B3073,'Mil Cost Premiums for PUCs'!$A$4:$R$277,18,FALSE)</f>
        <v>1.0905505199999999</v>
      </c>
      <c r="K3081" s="246">
        <f>+K3080*J3081</f>
        <v>27.993123187775993</v>
      </c>
      <c r="L3081" s="365" t="s">
        <v>205</v>
      </c>
      <c r="M3081" s="54"/>
      <c r="N3081" s="54"/>
      <c r="O3081" s="336"/>
      <c r="P3081" s="334"/>
      <c r="Q3081" s="335"/>
      <c r="R3081" s="336"/>
      <c r="S3081" s="337"/>
    </row>
    <row r="3082" spans="1:19" ht="30" customHeight="1" thickBot="1" x14ac:dyDescent="0.3">
      <c r="A3082" s="1180"/>
      <c r="B3082" s="1181"/>
      <c r="C3082" s="1181"/>
      <c r="D3082" s="1181"/>
      <c r="E3082" s="1181"/>
      <c r="F3082" s="1181"/>
      <c r="G3082" s="1181"/>
      <c r="H3082" s="1181"/>
      <c r="I3082" s="1181"/>
      <c r="J3082" s="1181"/>
      <c r="K3082" s="1181"/>
      <c r="L3082" s="1182"/>
      <c r="M3082" s="54"/>
      <c r="N3082" s="54"/>
      <c r="O3082" s="336"/>
      <c r="P3082" s="334"/>
      <c r="Q3082" s="335"/>
      <c r="R3082" s="336"/>
      <c r="S3082" s="337"/>
    </row>
    <row r="3083" spans="1:19" ht="30" customHeight="1" x14ac:dyDescent="0.25">
      <c r="A3083" s="327" t="s">
        <v>5</v>
      </c>
      <c r="B3083" s="328">
        <v>7210</v>
      </c>
      <c r="C3083" s="1218" t="s">
        <v>1803</v>
      </c>
      <c r="D3083" s="1219"/>
      <c r="E3083" s="331" t="s">
        <v>8</v>
      </c>
      <c r="F3083" s="332" t="s">
        <v>205</v>
      </c>
      <c r="G3083" s="342" t="s">
        <v>74</v>
      </c>
      <c r="H3083" s="159">
        <v>31188</v>
      </c>
      <c r="I3083" s="331" t="s">
        <v>10</v>
      </c>
      <c r="J3083" s="1220" t="s">
        <v>281</v>
      </c>
      <c r="K3083" s="1220"/>
      <c r="L3083" s="1221"/>
      <c r="M3083" s="54"/>
      <c r="N3083" s="54"/>
      <c r="O3083" s="336"/>
      <c r="P3083" s="334"/>
      <c r="Q3083" s="335"/>
      <c r="R3083" s="336"/>
      <c r="S3083" s="337"/>
    </row>
    <row r="3084" spans="1:19" ht="30" customHeight="1" x14ac:dyDescent="0.25">
      <c r="A3084" s="356" t="s">
        <v>282</v>
      </c>
      <c r="B3084" s="1163" t="s">
        <v>13</v>
      </c>
      <c r="C3084" s="1163"/>
      <c r="D3084" s="1163"/>
      <c r="E3084" s="357" t="s">
        <v>283</v>
      </c>
      <c r="F3084" s="546" t="s">
        <v>116</v>
      </c>
      <c r="G3084" s="356"/>
      <c r="H3084" s="356"/>
      <c r="I3084" s="1276" t="s">
        <v>284</v>
      </c>
      <c r="J3084" s="1277"/>
      <c r="K3084" s="1236" t="s">
        <v>285</v>
      </c>
      <c r="L3084" s="1237"/>
      <c r="M3084" s="54"/>
      <c r="N3084" s="54"/>
      <c r="O3084" s="336"/>
      <c r="P3084" s="334"/>
      <c r="Q3084" s="335"/>
      <c r="R3084" s="336"/>
      <c r="S3084" s="337"/>
    </row>
    <row r="3085" spans="1:19" ht="30" customHeight="1" x14ac:dyDescent="0.25">
      <c r="A3085" s="367" t="s">
        <v>286</v>
      </c>
      <c r="B3085" s="1164" t="s">
        <v>1804</v>
      </c>
      <c r="C3085" s="1164"/>
      <c r="D3085" s="1164"/>
      <c r="E3085" s="547">
        <v>62000</v>
      </c>
      <c r="F3085" s="240">
        <v>483</v>
      </c>
      <c r="G3085" s="548"/>
      <c r="H3085" s="549"/>
      <c r="I3085" s="1302" t="s">
        <v>288</v>
      </c>
      <c r="J3085" s="1303"/>
      <c r="K3085" s="240">
        <f>+F3085</f>
        <v>483</v>
      </c>
      <c r="L3085" s="367" t="s">
        <v>205</v>
      </c>
      <c r="M3085" s="54"/>
      <c r="N3085" s="54"/>
      <c r="O3085" s="336"/>
      <c r="P3085" s="334"/>
      <c r="Q3085" s="335"/>
      <c r="R3085" s="336"/>
      <c r="S3085" s="337"/>
    </row>
    <row r="3086" spans="1:19" ht="30" customHeight="1" thickBot="1" x14ac:dyDescent="0.3">
      <c r="A3086" s="365"/>
      <c r="B3086" s="1281"/>
      <c r="C3086" s="1281"/>
      <c r="D3086" s="1281"/>
      <c r="E3086" s="550"/>
      <c r="F3086" s="551"/>
      <c r="G3086" s="551"/>
      <c r="H3086" s="552"/>
      <c r="I3086" s="366"/>
      <c r="J3086" s="359" t="s">
        <v>72</v>
      </c>
      <c r="K3086" s="246">
        <f>+K3085</f>
        <v>483</v>
      </c>
      <c r="L3086" s="365" t="s">
        <v>205</v>
      </c>
      <c r="M3086" s="54"/>
      <c r="N3086" s="54"/>
      <c r="O3086" s="336"/>
      <c r="P3086" s="334"/>
      <c r="Q3086" s="335"/>
      <c r="R3086" s="336"/>
      <c r="S3086" s="337"/>
    </row>
    <row r="3087" spans="1:19" ht="30" customHeight="1" thickBot="1" x14ac:dyDescent="0.3">
      <c r="A3087" s="1180"/>
      <c r="B3087" s="1181"/>
      <c r="C3087" s="1181"/>
      <c r="D3087" s="1181"/>
      <c r="E3087" s="1181"/>
      <c r="F3087" s="1181"/>
      <c r="G3087" s="1181"/>
      <c r="H3087" s="1181"/>
      <c r="I3087" s="1181"/>
      <c r="J3087" s="1181"/>
      <c r="K3087" s="1181"/>
      <c r="L3087" s="1182"/>
      <c r="M3087" s="54"/>
      <c r="N3087" s="54"/>
      <c r="O3087" s="336"/>
      <c r="P3087" s="334"/>
      <c r="Q3087" s="335"/>
      <c r="R3087" s="336"/>
      <c r="S3087" s="337"/>
    </row>
    <row r="3088" spans="1:19" ht="30" customHeight="1" x14ac:dyDescent="0.25">
      <c r="A3088" s="327" t="s">
        <v>5</v>
      </c>
      <c r="B3088" s="328">
        <v>7212</v>
      </c>
      <c r="C3088" s="1218" t="s">
        <v>1805</v>
      </c>
      <c r="D3088" s="1219"/>
      <c r="E3088" s="331" t="s">
        <v>8</v>
      </c>
      <c r="F3088" s="332" t="s">
        <v>205</v>
      </c>
      <c r="G3088" s="342" t="s">
        <v>74</v>
      </c>
      <c r="H3088" s="159">
        <v>23869</v>
      </c>
      <c r="I3088" s="331" t="s">
        <v>10</v>
      </c>
      <c r="J3088" s="1220" t="s">
        <v>281</v>
      </c>
      <c r="K3088" s="1220"/>
      <c r="L3088" s="1221"/>
      <c r="M3088" s="54"/>
      <c r="N3088" s="54"/>
      <c r="O3088" s="336"/>
      <c r="P3088" s="334"/>
      <c r="Q3088" s="335"/>
      <c r="R3088" s="336"/>
      <c r="S3088" s="337"/>
    </row>
    <row r="3089" spans="1:19" ht="30" customHeight="1" x14ac:dyDescent="0.25">
      <c r="A3089" s="356" t="s">
        <v>282</v>
      </c>
      <c r="B3089" s="1163" t="s">
        <v>13</v>
      </c>
      <c r="C3089" s="1163"/>
      <c r="D3089" s="1163"/>
      <c r="E3089" s="357" t="s">
        <v>283</v>
      </c>
      <c r="F3089" s="546" t="s">
        <v>116</v>
      </c>
      <c r="G3089" s="356"/>
      <c r="H3089" s="356"/>
      <c r="I3089" s="1276" t="s">
        <v>284</v>
      </c>
      <c r="J3089" s="1277"/>
      <c r="K3089" s="1236" t="s">
        <v>285</v>
      </c>
      <c r="L3089" s="1237"/>
      <c r="M3089" s="54"/>
      <c r="N3089" s="54"/>
      <c r="O3089" s="336"/>
      <c r="P3089" s="334"/>
      <c r="Q3089" s="335"/>
      <c r="R3089" s="336"/>
      <c r="S3089" s="337"/>
    </row>
    <row r="3090" spans="1:19" ht="30" customHeight="1" x14ac:dyDescent="0.25">
      <c r="A3090" s="367" t="s">
        <v>286</v>
      </c>
      <c r="B3090" s="1164" t="s">
        <v>1804</v>
      </c>
      <c r="C3090" s="1164"/>
      <c r="D3090" s="1164"/>
      <c r="E3090" s="547">
        <v>62000</v>
      </c>
      <c r="F3090" s="240">
        <v>483</v>
      </c>
      <c r="G3090" s="548"/>
      <c r="H3090" s="549"/>
      <c r="I3090" s="1302" t="s">
        <v>288</v>
      </c>
      <c r="J3090" s="1303"/>
      <c r="K3090" s="240">
        <f>+F3090</f>
        <v>483</v>
      </c>
      <c r="L3090" s="367" t="s">
        <v>205</v>
      </c>
      <c r="M3090" s="54"/>
      <c r="N3090" s="54"/>
      <c r="O3090" s="336"/>
      <c r="P3090" s="334"/>
      <c r="Q3090" s="335"/>
      <c r="R3090" s="336"/>
      <c r="S3090" s="337"/>
    </row>
    <row r="3091" spans="1:19" ht="30" customHeight="1" thickBot="1" x14ac:dyDescent="0.3">
      <c r="A3091" s="369"/>
      <c r="B3091" s="1407"/>
      <c r="C3091" s="1407"/>
      <c r="D3091" s="1407"/>
      <c r="E3091" s="913"/>
      <c r="F3091" s="914"/>
      <c r="G3091" s="914"/>
      <c r="H3091" s="915"/>
      <c r="I3091" s="371"/>
      <c r="J3091" s="358" t="s">
        <v>72</v>
      </c>
      <c r="K3091" s="137">
        <f>+K3090</f>
        <v>483</v>
      </c>
      <c r="L3091" s="369" t="s">
        <v>205</v>
      </c>
      <c r="M3091" s="54"/>
      <c r="N3091" s="54"/>
      <c r="O3091" s="336"/>
      <c r="P3091" s="334"/>
      <c r="Q3091" s="335"/>
      <c r="R3091" s="336"/>
      <c r="S3091" s="337"/>
    </row>
    <row r="3092" spans="1:19" ht="30" customHeight="1" thickBot="1" x14ac:dyDescent="0.3">
      <c r="A3092" s="1180"/>
      <c r="B3092" s="1181"/>
      <c r="C3092" s="1181"/>
      <c r="D3092" s="1181"/>
      <c r="E3092" s="1181"/>
      <c r="F3092" s="1181"/>
      <c r="G3092" s="1181"/>
      <c r="H3092" s="1181"/>
      <c r="I3092" s="1181"/>
      <c r="J3092" s="1181"/>
      <c r="K3092" s="1181"/>
      <c r="L3092" s="1182"/>
      <c r="M3092" s="54"/>
      <c r="N3092" s="54"/>
      <c r="O3092" s="336"/>
      <c r="P3092" s="334"/>
      <c r="Q3092" s="335"/>
      <c r="R3092" s="336"/>
      <c r="S3092" s="337"/>
    </row>
    <row r="3093" spans="1:19" ht="30" customHeight="1" x14ac:dyDescent="0.25">
      <c r="A3093" s="349" t="s">
        <v>5</v>
      </c>
      <c r="B3093" s="350">
        <v>7213</v>
      </c>
      <c r="C3093" s="1165" t="s">
        <v>1806</v>
      </c>
      <c r="D3093" s="1166"/>
      <c r="E3093" s="351" t="s">
        <v>8</v>
      </c>
      <c r="F3093" s="352" t="s">
        <v>205</v>
      </c>
      <c r="G3093" s="353" t="s">
        <v>74</v>
      </c>
      <c r="H3093" s="916">
        <v>37271</v>
      </c>
      <c r="I3093" s="351" t="s">
        <v>10</v>
      </c>
      <c r="J3093" s="1220" t="s">
        <v>281</v>
      </c>
      <c r="K3093" s="1220"/>
      <c r="L3093" s="1221"/>
      <c r="M3093" s="54"/>
      <c r="N3093" s="54"/>
      <c r="O3093" s="336"/>
      <c r="P3093" s="334"/>
      <c r="Q3093" s="335"/>
      <c r="R3093" s="336"/>
      <c r="S3093" s="337"/>
    </row>
    <row r="3094" spans="1:19" ht="30" customHeight="1" x14ac:dyDescent="0.25">
      <c r="A3094" s="356" t="s">
        <v>282</v>
      </c>
      <c r="B3094" s="1322" t="s">
        <v>13</v>
      </c>
      <c r="C3094" s="1323"/>
      <c r="D3094" s="1324"/>
      <c r="E3094" s="357" t="s">
        <v>283</v>
      </c>
      <c r="F3094" s="546" t="s">
        <v>116</v>
      </c>
      <c r="G3094" s="356"/>
      <c r="H3094" s="356"/>
      <c r="I3094" s="1276" t="s">
        <v>284</v>
      </c>
      <c r="J3094" s="1277"/>
      <c r="K3094" s="1236" t="s">
        <v>285</v>
      </c>
      <c r="L3094" s="1237"/>
      <c r="M3094" s="54"/>
      <c r="N3094" s="54"/>
      <c r="O3094" s="336"/>
      <c r="P3094" s="334"/>
      <c r="Q3094" s="335"/>
      <c r="R3094" s="336"/>
      <c r="S3094" s="337"/>
    </row>
    <row r="3095" spans="1:19" ht="30" customHeight="1" x14ac:dyDescent="0.25">
      <c r="A3095" s="367" t="s">
        <v>286</v>
      </c>
      <c r="B3095" s="1268" t="s">
        <v>1807</v>
      </c>
      <c r="C3095" s="1167"/>
      <c r="D3095" s="1168"/>
      <c r="E3095" s="547">
        <v>94000</v>
      </c>
      <c r="F3095" s="240">
        <v>318</v>
      </c>
      <c r="G3095" s="548"/>
      <c r="H3095" s="549"/>
      <c r="I3095" s="1302" t="s">
        <v>288</v>
      </c>
      <c r="J3095" s="1303"/>
      <c r="K3095" s="240">
        <f>+F3095</f>
        <v>318</v>
      </c>
      <c r="L3095" s="367" t="s">
        <v>205</v>
      </c>
      <c r="M3095" s="54"/>
      <c r="N3095" s="54"/>
      <c r="O3095" s="336"/>
      <c r="P3095" s="334"/>
      <c r="Q3095" s="335"/>
      <c r="R3095" s="336"/>
      <c r="S3095" s="337"/>
    </row>
    <row r="3096" spans="1:19" ht="30" customHeight="1" thickBot="1" x14ac:dyDescent="0.3">
      <c r="A3096" s="365"/>
      <c r="B3096" s="1403"/>
      <c r="C3096" s="1404"/>
      <c r="D3096" s="1405"/>
      <c r="E3096" s="917"/>
      <c r="F3096" s="918"/>
      <c r="G3096" s="918"/>
      <c r="H3096" s="919"/>
      <c r="I3096" s="366"/>
      <c r="J3096" s="359" t="s">
        <v>72</v>
      </c>
      <c r="K3096" s="246">
        <f>+K3095</f>
        <v>318</v>
      </c>
      <c r="L3096" s="365" t="s">
        <v>205</v>
      </c>
      <c r="M3096" s="54"/>
      <c r="N3096" s="54"/>
      <c r="O3096" s="336"/>
      <c r="P3096" s="334"/>
      <c r="Q3096" s="335"/>
      <c r="R3096" s="336"/>
      <c r="S3096" s="337"/>
    </row>
    <row r="3097" spans="1:19" ht="30" customHeight="1" thickBot="1" x14ac:dyDescent="0.3">
      <c r="A3097" s="807"/>
      <c r="B3097" s="808"/>
      <c r="C3097" s="808"/>
      <c r="D3097" s="808"/>
      <c r="E3097" s="808"/>
      <c r="F3097" s="808"/>
      <c r="G3097" s="808"/>
      <c r="H3097" s="808"/>
      <c r="I3097" s="808"/>
      <c r="J3097" s="808"/>
      <c r="K3097" s="808"/>
      <c r="L3097" s="809"/>
      <c r="M3097" s="54"/>
      <c r="N3097" s="54"/>
      <c r="O3097" s="336"/>
      <c r="P3097" s="334"/>
      <c r="Q3097" s="335"/>
      <c r="R3097" s="336"/>
      <c r="S3097" s="337"/>
    </row>
    <row r="3098" spans="1:19" ht="30" customHeight="1" x14ac:dyDescent="0.25">
      <c r="A3098" s="327" t="s">
        <v>5</v>
      </c>
      <c r="B3098" s="328">
        <v>7214</v>
      </c>
      <c r="C3098" s="1218" t="s">
        <v>1808</v>
      </c>
      <c r="D3098" s="1219"/>
      <c r="E3098" s="331" t="s">
        <v>8</v>
      </c>
      <c r="F3098" s="332" t="s">
        <v>205</v>
      </c>
      <c r="G3098" s="342" t="s">
        <v>74</v>
      </c>
      <c r="H3098" s="159">
        <v>6941</v>
      </c>
      <c r="I3098" s="331" t="s">
        <v>10</v>
      </c>
      <c r="J3098" s="1220" t="s">
        <v>281</v>
      </c>
      <c r="K3098" s="1220"/>
      <c r="L3098" s="1221"/>
      <c r="M3098" s="54"/>
      <c r="N3098" s="54"/>
      <c r="O3098" s="336"/>
      <c r="P3098" s="334"/>
      <c r="Q3098" s="335"/>
      <c r="R3098" s="336"/>
      <c r="S3098" s="337"/>
    </row>
    <row r="3099" spans="1:19" ht="30" customHeight="1" x14ac:dyDescent="0.25">
      <c r="A3099" s="356" t="s">
        <v>282</v>
      </c>
      <c r="B3099" s="1163" t="s">
        <v>13</v>
      </c>
      <c r="C3099" s="1163"/>
      <c r="D3099" s="1163"/>
      <c r="E3099" s="357" t="s">
        <v>283</v>
      </c>
      <c r="F3099" s="546" t="s">
        <v>116</v>
      </c>
      <c r="G3099" s="356"/>
      <c r="H3099" s="356"/>
      <c r="I3099" s="1276" t="s">
        <v>284</v>
      </c>
      <c r="J3099" s="1277"/>
      <c r="K3099" s="1236" t="s">
        <v>285</v>
      </c>
      <c r="L3099" s="1237"/>
      <c r="M3099" s="54"/>
      <c r="N3099" s="54"/>
      <c r="O3099" s="336"/>
      <c r="P3099" s="334"/>
      <c r="Q3099" s="335"/>
      <c r="R3099" s="336"/>
      <c r="S3099" s="337"/>
    </row>
    <row r="3100" spans="1:19" ht="30" customHeight="1" x14ac:dyDescent="0.25">
      <c r="A3100" s="367" t="s">
        <v>286</v>
      </c>
      <c r="B3100" s="1164" t="s">
        <v>1809</v>
      </c>
      <c r="C3100" s="1164"/>
      <c r="D3100" s="1164"/>
      <c r="E3100" s="547">
        <v>94000</v>
      </c>
      <c r="F3100" s="240">
        <v>318</v>
      </c>
      <c r="G3100" s="548"/>
      <c r="H3100" s="549"/>
      <c r="I3100" s="1302" t="s">
        <v>288</v>
      </c>
      <c r="J3100" s="1303"/>
      <c r="K3100" s="240">
        <f>+F3100</f>
        <v>318</v>
      </c>
      <c r="L3100" s="367" t="s">
        <v>205</v>
      </c>
      <c r="M3100" s="54"/>
      <c r="N3100" s="54"/>
      <c r="O3100" s="336"/>
      <c r="P3100" s="334"/>
      <c r="Q3100" s="335"/>
      <c r="R3100" s="336"/>
      <c r="S3100" s="337"/>
    </row>
    <row r="3101" spans="1:19" ht="30" customHeight="1" thickBot="1" x14ac:dyDescent="0.3">
      <c r="A3101" s="365"/>
      <c r="B3101" s="1281"/>
      <c r="C3101" s="1281"/>
      <c r="D3101" s="1281"/>
      <c r="E3101" s="550"/>
      <c r="F3101" s="551"/>
      <c r="G3101" s="551"/>
      <c r="H3101" s="552"/>
      <c r="I3101" s="366"/>
      <c r="J3101" s="359" t="s">
        <v>72</v>
      </c>
      <c r="K3101" s="246">
        <f>+K3100</f>
        <v>318</v>
      </c>
      <c r="L3101" s="365" t="s">
        <v>205</v>
      </c>
      <c r="M3101" s="54"/>
      <c r="N3101" s="54"/>
      <c r="O3101" s="336"/>
      <c r="P3101" s="334"/>
      <c r="Q3101" s="335"/>
      <c r="R3101" s="336"/>
      <c r="S3101" s="337"/>
    </row>
    <row r="3102" spans="1:19" ht="30" customHeight="1" thickBot="1" x14ac:dyDescent="0.3">
      <c r="A3102" s="807"/>
      <c r="B3102" s="808"/>
      <c r="C3102" s="808"/>
      <c r="D3102" s="808"/>
      <c r="E3102" s="808"/>
      <c r="F3102" s="808"/>
      <c r="G3102" s="808"/>
      <c r="H3102" s="808"/>
      <c r="I3102" s="808"/>
      <c r="J3102" s="808"/>
      <c r="K3102" s="808"/>
      <c r="L3102" s="809"/>
      <c r="M3102" s="54"/>
      <c r="N3102" s="54"/>
      <c r="O3102" s="336"/>
      <c r="P3102" s="334"/>
      <c r="Q3102" s="335"/>
      <c r="R3102" s="336"/>
      <c r="S3102" s="337"/>
    </row>
    <row r="3103" spans="1:19" ht="30" customHeight="1" x14ac:dyDescent="0.25">
      <c r="A3103" s="327" t="s">
        <v>5</v>
      </c>
      <c r="B3103" s="328">
        <v>7215</v>
      </c>
      <c r="C3103" s="1294" t="s">
        <v>1810</v>
      </c>
      <c r="D3103" s="1295"/>
      <c r="E3103" s="331" t="s">
        <v>8</v>
      </c>
      <c r="F3103" s="332" t="s">
        <v>205</v>
      </c>
      <c r="G3103" s="342" t="s">
        <v>74</v>
      </c>
      <c r="H3103" s="653">
        <v>63678</v>
      </c>
      <c r="I3103" s="331" t="s">
        <v>10</v>
      </c>
      <c r="J3103" s="1220" t="s">
        <v>3388</v>
      </c>
      <c r="K3103" s="1220"/>
      <c r="L3103" s="1221"/>
      <c r="M3103" s="54"/>
      <c r="O3103" s="336"/>
      <c r="P3103" s="334"/>
      <c r="Q3103" s="335"/>
      <c r="R3103" s="336"/>
      <c r="S3103" s="337"/>
    </row>
    <row r="3104" spans="1:19" ht="30" customHeight="1" x14ac:dyDescent="0.25">
      <c r="A3104" s="359" t="s">
        <v>295</v>
      </c>
      <c r="B3104" s="1222" t="s">
        <v>326</v>
      </c>
      <c r="C3104" s="1235"/>
      <c r="D3104" s="1223"/>
      <c r="E3104" s="577" t="s">
        <v>116</v>
      </c>
      <c r="F3104" s="577" t="s">
        <v>117</v>
      </c>
      <c r="G3104" s="1194" t="s">
        <v>118</v>
      </c>
      <c r="H3104" s="1195"/>
      <c r="I3104" s="356" t="s">
        <v>296</v>
      </c>
      <c r="J3104" s="356"/>
      <c r="K3104" s="581" t="s">
        <v>285</v>
      </c>
      <c r="L3104" s="382"/>
      <c r="M3104" s="54"/>
      <c r="N3104" s="54"/>
      <c r="O3104" s="336"/>
      <c r="P3104" s="334"/>
      <c r="Q3104" s="335"/>
      <c r="R3104" s="336"/>
      <c r="S3104" s="337"/>
    </row>
    <row r="3105" spans="1:26" ht="30" customHeight="1" x14ac:dyDescent="0.25">
      <c r="A3105" s="365" t="s">
        <v>1811</v>
      </c>
      <c r="B3105" s="1209" t="s">
        <v>1812</v>
      </c>
      <c r="C3105" s="1210"/>
      <c r="D3105" s="1211"/>
      <c r="E3105" s="247">
        <v>220</v>
      </c>
      <c r="F3105" s="396" t="s">
        <v>205</v>
      </c>
      <c r="G3105" s="689"/>
      <c r="H3105" s="690"/>
      <c r="I3105" s="365">
        <v>1.03</v>
      </c>
      <c r="J3105" s="706"/>
      <c r="K3105" s="247">
        <f>+E3105*I3105</f>
        <v>226.6</v>
      </c>
      <c r="L3105" s="365" t="s">
        <v>205</v>
      </c>
      <c r="M3105" s="54"/>
      <c r="N3105" s="54"/>
      <c r="O3105" s="336"/>
      <c r="P3105" s="334"/>
      <c r="Q3105" s="335"/>
      <c r="R3105" s="336"/>
      <c r="S3105" s="337"/>
    </row>
    <row r="3106" spans="1:26" ht="30" customHeight="1" x14ac:dyDescent="0.25">
      <c r="A3106" s="365" t="s">
        <v>456</v>
      </c>
      <c r="B3106" s="1214" t="s">
        <v>1813</v>
      </c>
      <c r="C3106" s="1215"/>
      <c r="D3106" s="1215"/>
      <c r="E3106" s="247">
        <v>2.88</v>
      </c>
      <c r="F3106" s="661" t="s">
        <v>205</v>
      </c>
      <c r="G3106" s="689"/>
      <c r="H3106" s="690"/>
      <c r="I3106" s="365">
        <v>1.03</v>
      </c>
      <c r="J3106" s="706"/>
      <c r="K3106" s="247">
        <f>+E3106*I3106</f>
        <v>2.9664000000000001</v>
      </c>
      <c r="L3106" s="365" t="s">
        <v>205</v>
      </c>
      <c r="M3106" s="54"/>
      <c r="N3106" s="54"/>
      <c r="O3106" s="336"/>
      <c r="P3106" s="334"/>
      <c r="Q3106" s="335"/>
      <c r="R3106" s="336"/>
      <c r="S3106" s="337"/>
    </row>
    <row r="3107" spans="1:26" ht="30" customHeight="1" x14ac:dyDescent="0.25">
      <c r="A3107" s="365" t="s">
        <v>426</v>
      </c>
      <c r="B3107" s="1214" t="s">
        <v>1814</v>
      </c>
      <c r="C3107" s="1215"/>
      <c r="D3107" s="1216"/>
      <c r="E3107" s="247">
        <f>(20.3+31.5)/2</f>
        <v>25.9</v>
      </c>
      <c r="F3107" s="689" t="s">
        <v>205</v>
      </c>
      <c r="G3107" s="689">
        <v>162</v>
      </c>
      <c r="H3107" s="690" t="s">
        <v>205</v>
      </c>
      <c r="I3107" s="365">
        <v>1.03</v>
      </c>
      <c r="J3107" s="706"/>
      <c r="K3107" s="247">
        <f t="shared" ref="K3107:K3112" si="57">+E3107*G3107*I3107/$H$3103</f>
        <v>6.7867615188919247E-2</v>
      </c>
      <c r="L3107" s="365" t="s">
        <v>205</v>
      </c>
      <c r="M3107" s="54"/>
      <c r="N3107" s="54"/>
      <c r="O3107" s="336"/>
      <c r="P3107" s="334"/>
      <c r="Q3107" s="335"/>
      <c r="R3107" s="336"/>
      <c r="S3107" s="337"/>
    </row>
    <row r="3108" spans="1:26" ht="30" customHeight="1" x14ac:dyDescent="0.25">
      <c r="A3108" s="365" t="s">
        <v>426</v>
      </c>
      <c r="B3108" s="1214" t="s">
        <v>1815</v>
      </c>
      <c r="C3108" s="1215"/>
      <c r="D3108" s="1216"/>
      <c r="E3108" s="247">
        <f>(1710+2420)/2</f>
        <v>2065</v>
      </c>
      <c r="F3108" s="689" t="s">
        <v>76</v>
      </c>
      <c r="G3108" s="689">
        <v>2</v>
      </c>
      <c r="H3108" s="690" t="s">
        <v>76</v>
      </c>
      <c r="I3108" s="365">
        <v>1.03</v>
      </c>
      <c r="J3108" s="706"/>
      <c r="K3108" s="247">
        <f t="shared" si="57"/>
        <v>6.6803291560664599E-2</v>
      </c>
      <c r="L3108" s="365" t="s">
        <v>205</v>
      </c>
      <c r="M3108" s="54"/>
      <c r="N3108" s="54"/>
      <c r="O3108" s="336"/>
      <c r="P3108" s="334"/>
      <c r="Q3108" s="335"/>
      <c r="R3108" s="336"/>
      <c r="S3108" s="337"/>
    </row>
    <row r="3109" spans="1:26" ht="30" customHeight="1" x14ac:dyDescent="0.25">
      <c r="A3109" s="365" t="s">
        <v>430</v>
      </c>
      <c r="B3109" s="1214" t="s">
        <v>1816</v>
      </c>
      <c r="C3109" s="1215"/>
      <c r="D3109" s="1216"/>
      <c r="E3109" s="247">
        <f>(34.5+82)*10/2</f>
        <v>582.5</v>
      </c>
      <c r="F3109" s="689" t="s">
        <v>76</v>
      </c>
      <c r="G3109" s="689">
        <v>2</v>
      </c>
      <c r="H3109" s="690" t="s">
        <v>76</v>
      </c>
      <c r="I3109" s="365">
        <v>1.03</v>
      </c>
      <c r="J3109" s="706"/>
      <c r="K3109" s="247">
        <f t="shared" si="57"/>
        <v>1.8844027764691101E-2</v>
      </c>
      <c r="L3109" s="365" t="s">
        <v>205</v>
      </c>
      <c r="M3109" s="54"/>
      <c r="N3109" s="54"/>
      <c r="O3109" s="336"/>
      <c r="P3109" s="334"/>
      <c r="Q3109" s="335"/>
      <c r="R3109" s="336"/>
      <c r="S3109" s="337"/>
    </row>
    <row r="3110" spans="1:26" ht="30" customHeight="1" x14ac:dyDescent="0.25">
      <c r="A3110" s="365" t="s">
        <v>430</v>
      </c>
      <c r="B3110" s="1214" t="s">
        <v>1817</v>
      </c>
      <c r="C3110" s="1215"/>
      <c r="D3110" s="1216"/>
      <c r="E3110" s="247">
        <f>(6450+12300)/2</f>
        <v>9375</v>
      </c>
      <c r="F3110" s="689" t="s">
        <v>76</v>
      </c>
      <c r="G3110" s="689">
        <v>2</v>
      </c>
      <c r="H3110" s="690" t="s">
        <v>76</v>
      </c>
      <c r="I3110" s="365">
        <v>1.03</v>
      </c>
      <c r="J3110" s="706"/>
      <c r="K3110" s="247">
        <f t="shared" si="57"/>
        <v>0.30328370865919158</v>
      </c>
      <c r="L3110" s="365" t="s">
        <v>205</v>
      </c>
      <c r="M3110" s="54"/>
      <c r="N3110" s="54"/>
      <c r="O3110" s="336"/>
      <c r="P3110" s="334"/>
      <c r="Q3110" s="335"/>
      <c r="R3110" s="336"/>
      <c r="S3110" s="337"/>
    </row>
    <row r="3111" spans="1:26" ht="30" customHeight="1" x14ac:dyDescent="0.25">
      <c r="A3111" s="365" t="s">
        <v>430</v>
      </c>
      <c r="B3111" s="1214" t="s">
        <v>1147</v>
      </c>
      <c r="C3111" s="1215"/>
      <c r="D3111" s="1216"/>
      <c r="E3111" s="247">
        <f>(660+1010)/2</f>
        <v>835</v>
      </c>
      <c r="F3111" s="689" t="s">
        <v>76</v>
      </c>
      <c r="G3111" s="689">
        <v>2</v>
      </c>
      <c r="H3111" s="690" t="s">
        <v>76</v>
      </c>
      <c r="I3111" s="365">
        <v>1.03</v>
      </c>
      <c r="J3111" s="706"/>
      <c r="K3111" s="247">
        <f t="shared" si="57"/>
        <v>2.7012468984578663E-2</v>
      </c>
      <c r="L3111" s="365" t="s">
        <v>205</v>
      </c>
      <c r="M3111" s="54"/>
      <c r="N3111" s="54"/>
      <c r="O3111" s="336"/>
      <c r="P3111" s="334"/>
      <c r="Q3111" s="335"/>
      <c r="R3111" s="336"/>
      <c r="S3111" s="337"/>
    </row>
    <row r="3112" spans="1:26" ht="30" customHeight="1" x14ac:dyDescent="0.25">
      <c r="A3112" s="365" t="s">
        <v>430</v>
      </c>
      <c r="B3112" s="1214" t="s">
        <v>435</v>
      </c>
      <c r="C3112" s="1215"/>
      <c r="D3112" s="1216"/>
      <c r="E3112" s="247">
        <f>(1160+3475)/2</f>
        <v>2317.5</v>
      </c>
      <c r="F3112" s="689" t="s">
        <v>76</v>
      </c>
      <c r="G3112" s="689">
        <v>2</v>
      </c>
      <c r="H3112" s="690" t="s">
        <v>76</v>
      </c>
      <c r="I3112" s="365">
        <v>1.03</v>
      </c>
      <c r="J3112" s="706"/>
      <c r="K3112" s="247">
        <f t="shared" si="57"/>
        <v>7.497173278055215E-2</v>
      </c>
      <c r="L3112" s="365" t="s">
        <v>205</v>
      </c>
      <c r="M3112" s="54"/>
      <c r="N3112" s="54"/>
      <c r="O3112" s="336"/>
      <c r="P3112" s="334"/>
      <c r="Q3112" s="335"/>
      <c r="R3112" s="336"/>
      <c r="S3112" s="337"/>
    </row>
    <row r="3113" spans="1:26" ht="30" customHeight="1" x14ac:dyDescent="0.25">
      <c r="A3113" s="895"/>
      <c r="B3113" s="1269"/>
      <c r="C3113" s="1269"/>
      <c r="D3113" s="1269"/>
      <c r="E3113" s="247"/>
      <c r="F3113" s="365"/>
      <c r="G3113" s="365"/>
      <c r="H3113" s="365"/>
      <c r="I3113" s="365"/>
      <c r="J3113" s="365" t="s">
        <v>343</v>
      </c>
      <c r="K3113" s="247">
        <f>SUM(K3105:K3112)</f>
        <v>230.12518284493856</v>
      </c>
      <c r="L3113" s="365" t="s">
        <v>205</v>
      </c>
      <c r="M3113" s="54"/>
      <c r="N3113" s="54"/>
      <c r="O3113" s="336"/>
      <c r="P3113" s="334"/>
      <c r="Q3113" s="335"/>
      <c r="R3113" s="336"/>
      <c r="S3113" s="337"/>
      <c r="U3113" s="10"/>
    </row>
    <row r="3114" spans="1:26" ht="30" customHeight="1" x14ac:dyDescent="0.25">
      <c r="A3114" s="365"/>
      <c r="B3114" s="578"/>
      <c r="C3114" s="578"/>
      <c r="D3114" s="578"/>
      <c r="E3114" s="247"/>
      <c r="F3114" s="1272" t="s">
        <v>303</v>
      </c>
      <c r="G3114" s="1283" t="s">
        <v>304</v>
      </c>
      <c r="H3114" s="1283"/>
      <c r="I3114" s="1283"/>
      <c r="J3114" s="1283"/>
      <c r="K3114" s="250">
        <v>1.1000000000000001</v>
      </c>
      <c r="L3114" s="365"/>
      <c r="M3114" s="54"/>
      <c r="N3114" s="54"/>
      <c r="P3114" s="334"/>
      <c r="Q3114" s="335"/>
      <c r="R3114" s="336"/>
      <c r="S3114" s="337"/>
      <c r="U3114" s="10"/>
    </row>
    <row r="3115" spans="1:26" ht="30" customHeight="1" x14ac:dyDescent="0.25">
      <c r="A3115" s="365"/>
      <c r="B3115" s="578"/>
      <c r="C3115" s="578"/>
      <c r="D3115" s="578"/>
      <c r="E3115" s="247"/>
      <c r="F3115" s="1273"/>
      <c r="G3115" s="1284" t="s">
        <v>438</v>
      </c>
      <c r="H3115" s="1284"/>
      <c r="I3115" s="1284"/>
      <c r="J3115" s="1284"/>
      <c r="K3115" s="250">
        <v>1.08</v>
      </c>
      <c r="L3115" s="365"/>
      <c r="M3115" s="54"/>
      <c r="N3115" s="54"/>
      <c r="O3115" s="344"/>
      <c r="T3115" s="10"/>
      <c r="U3115" s="345"/>
      <c r="V3115" s="345"/>
      <c r="W3115" s="345"/>
      <c r="X3115" s="345"/>
      <c r="Y3115" s="345"/>
    </row>
    <row r="3116" spans="1:26" ht="30" customHeight="1" x14ac:dyDescent="0.25">
      <c r="A3116" s="365"/>
      <c r="B3116" s="365"/>
      <c r="C3116" s="366"/>
      <c r="D3116" s="366"/>
      <c r="E3116" s="366"/>
      <c r="F3116" s="366"/>
      <c r="G3116" s="366"/>
      <c r="H3116" s="366"/>
      <c r="I3116" s="366"/>
      <c r="J3116" s="366" t="s">
        <v>72</v>
      </c>
      <c r="K3116" s="246">
        <f>+K3113*K3114/K3115</f>
        <v>234.38676030503001</v>
      </c>
      <c r="L3116" s="365" t="s">
        <v>205</v>
      </c>
      <c r="M3116" s="54"/>
      <c r="N3116" s="54"/>
      <c r="O3116" s="336"/>
      <c r="T3116" s="10"/>
      <c r="Z3116" s="345"/>
    </row>
    <row r="3117" spans="1:26" ht="30" customHeight="1" x14ac:dyDescent="0.25">
      <c r="A3117" s="365"/>
      <c r="B3117" s="365"/>
      <c r="C3117" s="366"/>
      <c r="D3117" s="366"/>
      <c r="E3117" s="366"/>
      <c r="F3117" s="366"/>
      <c r="H3117" s="366"/>
      <c r="I3117" s="553" t="s">
        <v>414</v>
      </c>
      <c r="J3117" s="521">
        <f>VLOOKUP(B3103,'Mil Cost Premiums for PUCs'!$A$4:$R$277,18,FALSE)</f>
        <v>1.3319480854780448</v>
      </c>
      <c r="K3117" s="246">
        <f>+K3116*J3117</f>
        <v>312.1909966496861</v>
      </c>
      <c r="L3117" s="365" t="s">
        <v>205</v>
      </c>
      <c r="M3117" s="54"/>
      <c r="N3117" s="54"/>
      <c r="O3117" s="345"/>
      <c r="P3117" s="344"/>
      <c r="Q3117" s="345"/>
      <c r="R3117" s="345"/>
      <c r="S3117" s="345"/>
      <c r="T3117" s="345"/>
    </row>
    <row r="3118" spans="1:26" ht="30" customHeight="1" x14ac:dyDescent="0.25">
      <c r="A3118" s="835"/>
      <c r="B3118" s="835"/>
      <c r="C3118" s="840"/>
      <c r="D3118" s="840"/>
      <c r="E3118" s="850"/>
      <c r="F3118" s="1278" t="s">
        <v>1148</v>
      </c>
      <c r="G3118" s="1278"/>
      <c r="H3118" s="1278"/>
      <c r="I3118" s="1278"/>
      <c r="J3118" s="845">
        <v>1.0833999999999999</v>
      </c>
      <c r="K3118" s="544">
        <f>K3117*J3118</f>
        <v>338.2277257702699</v>
      </c>
      <c r="L3118" s="365" t="s">
        <v>205</v>
      </c>
      <c r="N3118" s="54"/>
      <c r="O3118" s="336"/>
      <c r="U3118" s="10"/>
    </row>
    <row r="3119" spans="1:26" s="345" customFormat="1" ht="75" customHeight="1" x14ac:dyDescent="0.25">
      <c r="A3119" s="1230" t="s">
        <v>307</v>
      </c>
      <c r="B3119" s="1231"/>
      <c r="C3119" s="1231"/>
      <c r="D3119" s="1231"/>
      <c r="E3119" s="1231"/>
      <c r="F3119" s="1231"/>
      <c r="G3119" s="1231"/>
      <c r="H3119" s="1231"/>
      <c r="I3119" s="1231"/>
      <c r="J3119" s="1231"/>
      <c r="K3119" s="1231"/>
      <c r="L3119" s="1232"/>
      <c r="M3119" s="54"/>
      <c r="N3119" s="54"/>
      <c r="O3119" s="469"/>
      <c r="P3119" s="340"/>
      <c r="Q3119" s="334"/>
      <c r="R3119" s="334"/>
      <c r="S3119" s="334"/>
      <c r="T3119" s="334"/>
      <c r="U3119" s="10"/>
      <c r="V3119" s="334"/>
      <c r="W3119" s="334"/>
      <c r="X3119" s="334"/>
      <c r="Y3119" s="334"/>
      <c r="Z3119" s="334"/>
    </row>
    <row r="3120" spans="1:26" ht="30" customHeight="1" x14ac:dyDescent="0.25">
      <c r="A3120" s="1268" t="s">
        <v>308</v>
      </c>
      <c r="B3120" s="1167"/>
      <c r="C3120" s="1168"/>
      <c r="D3120" s="1230" t="s">
        <v>1818</v>
      </c>
      <c r="E3120" s="1231"/>
      <c r="F3120" s="1231"/>
      <c r="G3120" s="1231"/>
      <c r="H3120" s="1231"/>
      <c r="I3120" s="1231"/>
      <c r="J3120" s="1231"/>
      <c r="K3120" s="1231"/>
      <c r="L3120" s="1232"/>
      <c r="M3120" s="54"/>
      <c r="N3120" s="54"/>
      <c r="O3120" s="336"/>
      <c r="T3120" s="10"/>
      <c r="U3120" s="345"/>
      <c r="V3120" s="345"/>
      <c r="W3120" s="345"/>
      <c r="X3120" s="345"/>
      <c r="Y3120" s="345"/>
    </row>
    <row r="3121" spans="1:26" ht="30" customHeight="1" x14ac:dyDescent="0.25">
      <c r="A3121" s="1268" t="s">
        <v>310</v>
      </c>
      <c r="B3121" s="1167"/>
      <c r="C3121" s="1168"/>
      <c r="D3121" s="1230" t="s">
        <v>1819</v>
      </c>
      <c r="E3121" s="1231"/>
      <c r="F3121" s="1231"/>
      <c r="G3121" s="1231"/>
      <c r="H3121" s="1231"/>
      <c r="I3121" s="1231"/>
      <c r="J3121" s="1231"/>
      <c r="K3121" s="1231"/>
      <c r="L3121" s="1232"/>
      <c r="M3121" s="54"/>
      <c r="N3121" s="54"/>
      <c r="O3121" s="336"/>
      <c r="T3121" s="10"/>
      <c r="Z3121" s="345"/>
    </row>
    <row r="3122" spans="1:26" ht="30" customHeight="1" x14ac:dyDescent="0.25">
      <c r="A3122" s="1268" t="s">
        <v>312</v>
      </c>
      <c r="B3122" s="1167"/>
      <c r="C3122" s="1168"/>
      <c r="D3122" s="1230" t="s">
        <v>1820</v>
      </c>
      <c r="E3122" s="1231"/>
      <c r="F3122" s="1231"/>
      <c r="G3122" s="1231"/>
      <c r="H3122" s="1231"/>
      <c r="I3122" s="1231"/>
      <c r="J3122" s="1231"/>
      <c r="K3122" s="1231"/>
      <c r="L3122" s="1232"/>
      <c r="M3122" s="54"/>
      <c r="N3122" s="54"/>
      <c r="O3122" s="336"/>
      <c r="P3122" s="344"/>
      <c r="Q3122" s="345"/>
      <c r="R3122" s="345"/>
      <c r="S3122" s="345"/>
      <c r="T3122" s="345"/>
    </row>
    <row r="3123" spans="1:26" ht="30" customHeight="1" x14ac:dyDescent="0.25">
      <c r="A3123" s="1268" t="s">
        <v>314</v>
      </c>
      <c r="B3123" s="1167"/>
      <c r="C3123" s="1168"/>
      <c r="D3123" s="1230" t="s">
        <v>1821</v>
      </c>
      <c r="E3123" s="1231"/>
      <c r="F3123" s="1231"/>
      <c r="G3123" s="1231"/>
      <c r="H3123" s="1231"/>
      <c r="I3123" s="1231"/>
      <c r="J3123" s="1231"/>
      <c r="K3123" s="1231"/>
      <c r="L3123" s="1232"/>
      <c r="M3123" s="54"/>
      <c r="N3123" s="54"/>
      <c r="O3123" s="336"/>
    </row>
    <row r="3124" spans="1:26" s="345" customFormat="1" ht="75" customHeight="1" x14ac:dyDescent="0.25">
      <c r="A3124" s="1268" t="s">
        <v>316</v>
      </c>
      <c r="B3124" s="1167"/>
      <c r="C3124" s="1168"/>
      <c r="D3124" s="1230" t="s">
        <v>1822</v>
      </c>
      <c r="E3124" s="1231"/>
      <c r="F3124" s="1231"/>
      <c r="G3124" s="1231"/>
      <c r="H3124" s="1231"/>
      <c r="I3124" s="1231"/>
      <c r="J3124" s="1231"/>
      <c r="K3124" s="1231"/>
      <c r="L3124" s="1232"/>
      <c r="M3124" s="54"/>
      <c r="N3124" s="54"/>
      <c r="O3124" s="336"/>
      <c r="P3124" s="340"/>
      <c r="Q3124" s="334"/>
      <c r="R3124" s="334"/>
      <c r="S3124" s="334"/>
      <c r="T3124" s="334"/>
      <c r="U3124" s="334"/>
      <c r="V3124" s="334"/>
      <c r="W3124" s="334"/>
      <c r="X3124" s="334"/>
      <c r="Y3124" s="334"/>
      <c r="Z3124" s="334"/>
    </row>
    <row r="3125" spans="1:26" ht="30" customHeight="1" x14ac:dyDescent="0.25">
      <c r="A3125" s="1268" t="s">
        <v>318</v>
      </c>
      <c r="B3125" s="1167"/>
      <c r="C3125" s="1168"/>
      <c r="D3125" s="1230" t="s">
        <v>319</v>
      </c>
      <c r="E3125" s="1231"/>
      <c r="F3125" s="1231"/>
      <c r="G3125" s="1231"/>
      <c r="H3125" s="1231"/>
      <c r="I3125" s="1231"/>
      <c r="J3125" s="1231"/>
      <c r="K3125" s="1231"/>
      <c r="L3125" s="1232"/>
      <c r="M3125" s="54"/>
      <c r="N3125" s="54"/>
      <c r="O3125" s="336"/>
      <c r="P3125" s="334"/>
      <c r="Q3125" s="335"/>
      <c r="R3125" s="336"/>
      <c r="S3125" s="337"/>
    </row>
    <row r="3126" spans="1:26" ht="30" customHeight="1" x14ac:dyDescent="0.25">
      <c r="A3126" s="1268" t="s">
        <v>320</v>
      </c>
      <c r="B3126" s="1167"/>
      <c r="C3126" s="1168"/>
      <c r="D3126" s="1230" t="s">
        <v>1823</v>
      </c>
      <c r="E3126" s="1231"/>
      <c r="F3126" s="1231"/>
      <c r="G3126" s="1231"/>
      <c r="H3126" s="1231"/>
      <c r="I3126" s="1231"/>
      <c r="J3126" s="1231"/>
      <c r="K3126" s="1231"/>
      <c r="L3126" s="1232"/>
      <c r="M3126" s="54"/>
      <c r="N3126" s="54"/>
      <c r="P3126" s="334"/>
      <c r="Q3126" s="335"/>
      <c r="R3126" s="336"/>
      <c r="S3126" s="337"/>
    </row>
    <row r="3127" spans="1:26" ht="75" customHeight="1" x14ac:dyDescent="0.25">
      <c r="A3127" s="1268" t="s">
        <v>322</v>
      </c>
      <c r="B3127" s="1167"/>
      <c r="C3127" s="1168"/>
      <c r="D3127" s="1230" t="s">
        <v>422</v>
      </c>
      <c r="E3127" s="1231"/>
      <c r="F3127" s="1231"/>
      <c r="G3127" s="1231"/>
      <c r="H3127" s="1231"/>
      <c r="I3127" s="1231"/>
      <c r="J3127" s="1231"/>
      <c r="K3127" s="1231"/>
      <c r="L3127" s="1232"/>
      <c r="M3127" s="54"/>
      <c r="N3127" s="54"/>
      <c r="O3127" s="867"/>
      <c r="P3127" s="334"/>
      <c r="Q3127" s="335"/>
      <c r="R3127" s="336"/>
      <c r="S3127" s="337"/>
    </row>
    <row r="3128" spans="1:26" ht="90" customHeight="1" thickBot="1" x14ac:dyDescent="0.3">
      <c r="A3128" s="1319" t="s">
        <v>350</v>
      </c>
      <c r="B3128" s="1320"/>
      <c r="C3128" s="1321"/>
      <c r="D3128" s="1352" t="s">
        <v>3425</v>
      </c>
      <c r="E3128" s="1353"/>
      <c r="F3128" s="1353"/>
      <c r="G3128" s="1353"/>
      <c r="H3128" s="1353"/>
      <c r="I3128" s="1353"/>
      <c r="J3128" s="1353"/>
      <c r="K3128" s="1353"/>
      <c r="L3128" s="1354"/>
      <c r="M3128" s="54"/>
      <c r="N3128" s="54"/>
      <c r="O3128" s="543"/>
      <c r="P3128" s="334"/>
      <c r="Q3128" s="335"/>
      <c r="R3128" s="336"/>
      <c r="S3128" s="337"/>
    </row>
    <row r="3129" spans="1:26" ht="30" customHeight="1" thickBot="1" x14ac:dyDescent="0.3">
      <c r="A3129" s="1305"/>
      <c r="B3129" s="1306"/>
      <c r="C3129" s="1306"/>
      <c r="D3129" s="1306"/>
      <c r="E3129" s="1306"/>
      <c r="F3129" s="1306"/>
      <c r="G3129" s="1306"/>
      <c r="H3129" s="1306"/>
      <c r="I3129" s="1306"/>
      <c r="J3129" s="1306"/>
      <c r="K3129" s="1306"/>
      <c r="L3129" s="1307"/>
      <c r="M3129" s="54"/>
      <c r="N3129" s="54"/>
      <c r="P3129" s="334"/>
      <c r="Q3129" s="335"/>
      <c r="R3129" s="336"/>
      <c r="S3129" s="337"/>
    </row>
    <row r="3130" spans="1:26" ht="30" customHeight="1" x14ac:dyDescent="0.25">
      <c r="A3130" s="349" t="s">
        <v>5</v>
      </c>
      <c r="B3130" s="350">
        <v>7218</v>
      </c>
      <c r="C3130" s="1165" t="s">
        <v>1824</v>
      </c>
      <c r="D3130" s="1166"/>
      <c r="E3130" s="351" t="s">
        <v>8</v>
      </c>
      <c r="F3130" s="352" t="s">
        <v>205</v>
      </c>
      <c r="G3130" s="353" t="s">
        <v>74</v>
      </c>
      <c r="H3130" s="920">
        <v>61224</v>
      </c>
      <c r="I3130" s="351" t="s">
        <v>10</v>
      </c>
      <c r="J3130" s="1185" t="s">
        <v>1825</v>
      </c>
      <c r="K3130" s="1185"/>
      <c r="L3130" s="1532"/>
      <c r="M3130" s="54"/>
      <c r="N3130" s="54"/>
      <c r="P3130" s="334"/>
      <c r="Q3130" s="335"/>
      <c r="R3130" s="336"/>
      <c r="S3130" s="337"/>
    </row>
    <row r="3131" spans="1:26" ht="30" customHeight="1" x14ac:dyDescent="0.25">
      <c r="A3131" s="356" t="s">
        <v>282</v>
      </c>
      <c r="B3131" s="1163" t="s">
        <v>13</v>
      </c>
      <c r="C3131" s="1163"/>
      <c r="D3131" s="1163"/>
      <c r="E3131" s="357" t="s">
        <v>283</v>
      </c>
      <c r="F3131" s="546" t="s">
        <v>116</v>
      </c>
      <c r="G3131" s="356"/>
      <c r="H3131" s="356"/>
      <c r="I3131" s="1276" t="s">
        <v>284</v>
      </c>
      <c r="J3131" s="1277"/>
      <c r="K3131" s="1236" t="s">
        <v>285</v>
      </c>
      <c r="L3131" s="1237"/>
      <c r="M3131" s="54"/>
      <c r="N3131" s="54"/>
      <c r="P3131" s="334"/>
      <c r="Q3131" s="335"/>
      <c r="R3131" s="336"/>
      <c r="S3131" s="337"/>
    </row>
    <row r="3132" spans="1:26" ht="30" customHeight="1" x14ac:dyDescent="0.25">
      <c r="A3132" s="367" t="s">
        <v>286</v>
      </c>
      <c r="B3132" s="1164" t="s">
        <v>1826</v>
      </c>
      <c r="C3132" s="1164"/>
      <c r="D3132" s="1164"/>
      <c r="E3132" s="547">
        <v>94000</v>
      </c>
      <c r="F3132" s="240">
        <v>318</v>
      </c>
      <c r="G3132" s="548"/>
      <c r="H3132" s="549"/>
      <c r="I3132" s="1302" t="s">
        <v>288</v>
      </c>
      <c r="J3132" s="1303"/>
      <c r="K3132" s="240">
        <f>+F3132</f>
        <v>318</v>
      </c>
      <c r="L3132" s="367" t="s">
        <v>205</v>
      </c>
      <c r="M3132" s="54"/>
      <c r="N3132" s="54"/>
      <c r="P3132" s="334"/>
      <c r="Q3132" s="335"/>
      <c r="R3132" s="336"/>
      <c r="S3132" s="337"/>
    </row>
    <row r="3133" spans="1:26" ht="30" customHeight="1" thickBot="1" x14ac:dyDescent="0.3">
      <c r="A3133" s="365"/>
      <c r="B3133" s="1281"/>
      <c r="C3133" s="1281"/>
      <c r="D3133" s="1281"/>
      <c r="E3133" s="550"/>
      <c r="F3133" s="551"/>
      <c r="G3133" s="551"/>
      <c r="H3133" s="552"/>
      <c r="I3133" s="366"/>
      <c r="J3133" s="359" t="s">
        <v>72</v>
      </c>
      <c r="K3133" s="246">
        <f>+K3132</f>
        <v>318</v>
      </c>
      <c r="L3133" s="365" t="s">
        <v>205</v>
      </c>
      <c r="M3133" s="54"/>
      <c r="N3133" s="54"/>
      <c r="O3133" s="543"/>
      <c r="P3133" s="334"/>
      <c r="Q3133" s="335"/>
      <c r="R3133" s="336"/>
      <c r="S3133" s="337"/>
    </row>
    <row r="3134" spans="1:26" ht="30" customHeight="1" thickBot="1" x14ac:dyDescent="0.3">
      <c r="A3134" s="807"/>
      <c r="B3134" s="808"/>
      <c r="C3134" s="808"/>
      <c r="D3134" s="808"/>
      <c r="E3134" s="808"/>
      <c r="F3134" s="808"/>
      <c r="G3134" s="808"/>
      <c r="H3134" s="808"/>
      <c r="I3134" s="808"/>
      <c r="J3134" s="808"/>
      <c r="K3134" s="808"/>
      <c r="L3134" s="809"/>
      <c r="M3134" s="54"/>
      <c r="N3134" s="54"/>
      <c r="P3134" s="334"/>
      <c r="Q3134" s="335"/>
      <c r="R3134" s="336"/>
      <c r="S3134" s="337"/>
    </row>
    <row r="3135" spans="1:26" ht="30" customHeight="1" x14ac:dyDescent="0.25">
      <c r="A3135" s="327" t="s">
        <v>5</v>
      </c>
      <c r="B3135" s="328">
        <v>7220</v>
      </c>
      <c r="C3135" s="1218" t="s">
        <v>1827</v>
      </c>
      <c r="D3135" s="1219"/>
      <c r="E3135" s="331" t="s">
        <v>8</v>
      </c>
      <c r="F3135" s="332" t="s">
        <v>205</v>
      </c>
      <c r="G3135" s="342" t="s">
        <v>74</v>
      </c>
      <c r="H3135" s="248">
        <v>10846</v>
      </c>
      <c r="I3135" s="331" t="s">
        <v>10</v>
      </c>
      <c r="J3135" s="1220" t="s">
        <v>281</v>
      </c>
      <c r="K3135" s="1220"/>
      <c r="L3135" s="1221"/>
      <c r="M3135" s="54"/>
      <c r="N3135" s="54"/>
      <c r="P3135" s="334"/>
      <c r="Q3135" s="335"/>
      <c r="R3135" s="336"/>
      <c r="S3135" s="337"/>
    </row>
    <row r="3136" spans="1:26" ht="30" customHeight="1" x14ac:dyDescent="0.25">
      <c r="A3136" s="356" t="s">
        <v>282</v>
      </c>
      <c r="B3136" s="1163" t="s">
        <v>13</v>
      </c>
      <c r="C3136" s="1163"/>
      <c r="D3136" s="1163"/>
      <c r="E3136" s="357" t="s">
        <v>283</v>
      </c>
      <c r="F3136" s="546" t="s">
        <v>116</v>
      </c>
      <c r="G3136" s="356"/>
      <c r="H3136" s="356"/>
      <c r="I3136" s="1276" t="s">
        <v>284</v>
      </c>
      <c r="J3136" s="1277"/>
      <c r="K3136" s="1236" t="s">
        <v>285</v>
      </c>
      <c r="L3136" s="1237"/>
      <c r="M3136" s="54"/>
      <c r="O3136" s="336"/>
      <c r="P3136" s="334"/>
      <c r="Q3136" s="335"/>
      <c r="R3136" s="336"/>
      <c r="S3136" s="337"/>
    </row>
    <row r="3137" spans="1:26" ht="30" customHeight="1" x14ac:dyDescent="0.25">
      <c r="A3137" s="367" t="s">
        <v>286</v>
      </c>
      <c r="B3137" s="1268" t="s">
        <v>1828</v>
      </c>
      <c r="C3137" s="1167"/>
      <c r="D3137" s="1168"/>
      <c r="E3137" s="547">
        <v>28000</v>
      </c>
      <c r="F3137" s="240">
        <v>670</v>
      </c>
      <c r="G3137" s="548"/>
      <c r="H3137" s="549"/>
      <c r="I3137" s="1302" t="s">
        <v>288</v>
      </c>
      <c r="J3137" s="1303"/>
      <c r="K3137" s="240">
        <f>+F3137</f>
        <v>670</v>
      </c>
      <c r="L3137" s="367" t="s">
        <v>205</v>
      </c>
      <c r="M3137" s="54"/>
      <c r="N3137" s="54"/>
      <c r="O3137" s="336"/>
      <c r="P3137" s="334"/>
      <c r="Q3137" s="335"/>
      <c r="R3137" s="336"/>
      <c r="S3137" s="337"/>
    </row>
    <row r="3138" spans="1:26" ht="30" customHeight="1" thickBot="1" x14ac:dyDescent="0.3">
      <c r="A3138" s="365"/>
      <c r="B3138" s="1403"/>
      <c r="C3138" s="1404"/>
      <c r="D3138" s="1405"/>
      <c r="E3138" s="917"/>
      <c r="F3138" s="918"/>
      <c r="G3138" s="918"/>
      <c r="H3138" s="919"/>
      <c r="I3138" s="366"/>
      <c r="J3138" s="359" t="s">
        <v>72</v>
      </c>
      <c r="K3138" s="246">
        <f>+K3137</f>
        <v>670</v>
      </c>
      <c r="L3138" s="365" t="s">
        <v>205</v>
      </c>
      <c r="M3138" s="54"/>
      <c r="N3138" s="54"/>
      <c r="O3138" s="655"/>
      <c r="P3138" s="334"/>
      <c r="Q3138" s="335"/>
      <c r="R3138" s="336"/>
      <c r="S3138" s="337"/>
    </row>
    <row r="3139" spans="1:26" ht="30" customHeight="1" thickBot="1" x14ac:dyDescent="0.3">
      <c r="A3139" s="807"/>
      <c r="B3139" s="808"/>
      <c r="C3139" s="808"/>
      <c r="D3139" s="808"/>
      <c r="E3139" s="808"/>
      <c r="F3139" s="808"/>
      <c r="G3139" s="808"/>
      <c r="H3139" s="808"/>
      <c r="I3139" s="808"/>
      <c r="J3139" s="808"/>
      <c r="K3139" s="808"/>
      <c r="L3139" s="809"/>
      <c r="M3139" s="54"/>
      <c r="N3139" s="54"/>
      <c r="O3139" s="336"/>
      <c r="P3139" s="334"/>
      <c r="Q3139" s="335"/>
      <c r="R3139" s="336"/>
      <c r="S3139" s="337"/>
    </row>
    <row r="3140" spans="1:26" ht="30" customHeight="1" x14ac:dyDescent="0.25">
      <c r="A3140" s="327" t="s">
        <v>5</v>
      </c>
      <c r="B3140" s="328">
        <v>7231</v>
      </c>
      <c r="C3140" s="1294" t="s">
        <v>1829</v>
      </c>
      <c r="D3140" s="1295"/>
      <c r="E3140" s="331" t="s">
        <v>8</v>
      </c>
      <c r="F3140" s="332" t="s">
        <v>205</v>
      </c>
      <c r="G3140" s="342" t="s">
        <v>74</v>
      </c>
      <c r="H3140" s="156">
        <v>3329</v>
      </c>
      <c r="I3140" s="331" t="s">
        <v>10</v>
      </c>
      <c r="J3140" s="1220" t="s">
        <v>3388</v>
      </c>
      <c r="K3140" s="1220"/>
      <c r="L3140" s="1221"/>
      <c r="M3140" s="54"/>
      <c r="N3140" s="54"/>
      <c r="O3140" s="336"/>
      <c r="P3140" s="334"/>
      <c r="Q3140" s="335"/>
      <c r="R3140" s="336"/>
      <c r="S3140" s="337"/>
    </row>
    <row r="3141" spans="1:26" ht="30" customHeight="1" x14ac:dyDescent="0.25">
      <c r="A3141" s="359" t="s">
        <v>295</v>
      </c>
      <c r="B3141" s="1222" t="s">
        <v>326</v>
      </c>
      <c r="C3141" s="1235"/>
      <c r="D3141" s="1223"/>
      <c r="E3141" s="577" t="s">
        <v>116</v>
      </c>
      <c r="F3141" s="577" t="s">
        <v>117</v>
      </c>
      <c r="G3141" s="1194" t="s">
        <v>118</v>
      </c>
      <c r="H3141" s="1195"/>
      <c r="I3141" s="356" t="s">
        <v>296</v>
      </c>
      <c r="J3141" s="356"/>
      <c r="K3141" s="581" t="s">
        <v>285</v>
      </c>
      <c r="L3141" s="921"/>
      <c r="M3141" s="54"/>
      <c r="N3141" s="54"/>
      <c r="O3141" s="336"/>
      <c r="P3141" s="334"/>
      <c r="Q3141" s="335"/>
      <c r="R3141" s="336"/>
      <c r="S3141" s="337"/>
    </row>
    <row r="3142" spans="1:26" ht="30" customHeight="1" x14ac:dyDescent="0.25">
      <c r="A3142" s="365" t="s">
        <v>1830</v>
      </c>
      <c r="B3142" s="1214" t="s">
        <v>1831</v>
      </c>
      <c r="C3142" s="1215"/>
      <c r="D3142" s="1216"/>
      <c r="E3142" s="247">
        <v>89.5</v>
      </c>
      <c r="F3142" s="396" t="s">
        <v>205</v>
      </c>
      <c r="G3142" s="689"/>
      <c r="H3142" s="690"/>
      <c r="I3142" s="365">
        <v>1.04</v>
      </c>
      <c r="J3142" s="365"/>
      <c r="K3142" s="247">
        <f>+E3142*I3142</f>
        <v>93.08</v>
      </c>
      <c r="L3142" s="365" t="s">
        <v>205</v>
      </c>
      <c r="M3142" s="54"/>
      <c r="N3142" s="54"/>
      <c r="O3142" s="336"/>
      <c r="P3142" s="334"/>
      <c r="Q3142" s="335"/>
      <c r="R3142" s="336"/>
      <c r="S3142" s="337"/>
    </row>
    <row r="3143" spans="1:26" ht="30" customHeight="1" x14ac:dyDescent="0.25">
      <c r="A3143" s="922" t="s">
        <v>1832</v>
      </c>
      <c r="B3143" s="1209" t="s">
        <v>1833</v>
      </c>
      <c r="C3143" s="1210"/>
      <c r="D3143" s="1211"/>
      <c r="E3143" s="247">
        <f>118-4.56</f>
        <v>113.44</v>
      </c>
      <c r="F3143" s="396" t="s">
        <v>205</v>
      </c>
      <c r="G3143" s="689"/>
      <c r="H3143" s="690"/>
      <c r="I3143" s="706">
        <v>1.05</v>
      </c>
      <c r="J3143" s="365"/>
      <c r="K3143" s="247">
        <f>+E3143*I3143</f>
        <v>119.11200000000001</v>
      </c>
      <c r="L3143" s="365" t="s">
        <v>205</v>
      </c>
      <c r="M3143" s="54"/>
      <c r="N3143" s="54"/>
      <c r="O3143" s="336"/>
      <c r="P3143" s="334"/>
      <c r="Q3143" s="335"/>
      <c r="R3143" s="336"/>
      <c r="S3143" s="337"/>
    </row>
    <row r="3144" spans="1:26" ht="30" customHeight="1" x14ac:dyDescent="0.25">
      <c r="A3144" s="922"/>
      <c r="B3144" s="738"/>
      <c r="C3144" s="591"/>
      <c r="D3144" s="589"/>
      <c r="E3144" s="247"/>
      <c r="F3144" s="396"/>
      <c r="G3144" s="1316" t="s">
        <v>1834</v>
      </c>
      <c r="H3144" s="1317"/>
      <c r="I3144" s="1317"/>
      <c r="J3144" s="1318"/>
      <c r="K3144" s="247">
        <f>AVERAGE(K3142:K3143)</f>
        <v>106.096</v>
      </c>
      <c r="L3144" s="365" t="s">
        <v>205</v>
      </c>
      <c r="M3144" s="54"/>
      <c r="N3144" s="54"/>
      <c r="O3144" s="336"/>
      <c r="P3144" s="334"/>
      <c r="Q3144" s="335"/>
      <c r="R3144" s="336"/>
      <c r="S3144" s="337"/>
      <c r="U3144" s="345"/>
    </row>
    <row r="3145" spans="1:26" ht="30" customHeight="1" x14ac:dyDescent="0.25">
      <c r="A3145" s="365" t="s">
        <v>1694</v>
      </c>
      <c r="B3145" s="1269" t="s">
        <v>1835</v>
      </c>
      <c r="C3145" s="1269"/>
      <c r="D3145" s="1269"/>
      <c r="E3145" s="247">
        <v>4.4400000000000004</v>
      </c>
      <c r="F3145" s="365" t="s">
        <v>205</v>
      </c>
      <c r="G3145" s="365"/>
      <c r="H3145" s="365"/>
      <c r="I3145" s="365">
        <v>1.04</v>
      </c>
      <c r="J3145" s="365"/>
      <c r="K3145" s="247">
        <f>+E3145*I3145</f>
        <v>4.6176000000000004</v>
      </c>
      <c r="L3145" s="365" t="s">
        <v>205</v>
      </c>
      <c r="M3145" s="54"/>
      <c r="N3145" s="54"/>
      <c r="O3145" s="336"/>
      <c r="P3145" s="334"/>
      <c r="Q3145" s="335"/>
      <c r="R3145" s="336"/>
      <c r="S3145" s="337"/>
      <c r="U3145" s="345"/>
    </row>
    <row r="3146" spans="1:26" ht="30" customHeight="1" x14ac:dyDescent="0.25">
      <c r="A3146" s="895"/>
      <c r="B3146" s="1269"/>
      <c r="C3146" s="1269"/>
      <c r="D3146" s="1269"/>
      <c r="E3146" s="247"/>
      <c r="F3146" s="365"/>
      <c r="G3146" s="365"/>
      <c r="H3146" s="365"/>
      <c r="I3146" s="365"/>
      <c r="J3146" s="365" t="s">
        <v>343</v>
      </c>
      <c r="K3146" s="247">
        <f>SUM(K3144:K3145)</f>
        <v>110.7136</v>
      </c>
      <c r="L3146" s="365" t="s">
        <v>205</v>
      </c>
      <c r="M3146" s="54"/>
      <c r="N3146" s="54"/>
      <c r="O3146" s="336"/>
      <c r="P3146" s="344"/>
      <c r="Q3146" s="345"/>
      <c r="R3146" s="345"/>
      <c r="S3146" s="345"/>
      <c r="T3146" s="345"/>
      <c r="U3146" s="345"/>
      <c r="V3146" s="345"/>
      <c r="W3146" s="345"/>
      <c r="X3146" s="345"/>
      <c r="Y3146" s="345"/>
    </row>
    <row r="3147" spans="1:26" ht="30" customHeight="1" x14ac:dyDescent="0.25">
      <c r="A3147" s="365"/>
      <c r="B3147" s="578"/>
      <c r="C3147" s="578"/>
      <c r="D3147" s="578"/>
      <c r="E3147" s="247"/>
      <c r="F3147" s="1272" t="s">
        <v>303</v>
      </c>
      <c r="G3147" s="1283" t="s">
        <v>304</v>
      </c>
      <c r="H3147" s="1283"/>
      <c r="I3147" s="1283"/>
      <c r="J3147" s="1283"/>
      <c r="K3147" s="250">
        <v>1.07</v>
      </c>
      <c r="L3147" s="365"/>
      <c r="M3147" s="54"/>
      <c r="N3147" s="54"/>
      <c r="O3147" s="336"/>
      <c r="P3147" s="344"/>
      <c r="Q3147" s="345"/>
      <c r="R3147" s="345"/>
      <c r="S3147" s="345"/>
      <c r="T3147" s="345"/>
      <c r="Z3147" s="345"/>
    </row>
    <row r="3148" spans="1:26" ht="30" customHeight="1" x14ac:dyDescent="0.25">
      <c r="A3148" s="365"/>
      <c r="B3148" s="578"/>
      <c r="C3148" s="578"/>
      <c r="D3148" s="578"/>
      <c r="E3148" s="247"/>
      <c r="F3148" s="1273"/>
      <c r="G3148" s="1284" t="s">
        <v>438</v>
      </c>
      <c r="H3148" s="1284"/>
      <c r="I3148" s="1284"/>
      <c r="J3148" s="1284"/>
      <c r="K3148" s="250">
        <v>1.08</v>
      </c>
      <c r="L3148" s="365"/>
      <c r="M3148" s="54"/>
      <c r="N3148" s="111"/>
      <c r="O3148" s="336"/>
      <c r="P3148" s="344"/>
      <c r="Q3148" s="345"/>
      <c r="R3148" s="345"/>
      <c r="S3148" s="345"/>
      <c r="T3148" s="345"/>
      <c r="V3148" s="345"/>
      <c r="W3148" s="345"/>
      <c r="X3148" s="345"/>
      <c r="Y3148" s="345"/>
    </row>
    <row r="3149" spans="1:26" ht="30" customHeight="1" x14ac:dyDescent="0.25">
      <c r="A3149" s="365"/>
      <c r="B3149" s="365"/>
      <c r="C3149" s="366"/>
      <c r="D3149" s="366"/>
      <c r="E3149" s="366"/>
      <c r="F3149" s="366"/>
      <c r="G3149" s="366"/>
      <c r="H3149" s="366"/>
      <c r="I3149" s="366"/>
      <c r="J3149" s="365" t="s">
        <v>72</v>
      </c>
      <c r="K3149" s="246">
        <f>+K3146*K3147/K3148</f>
        <v>109.68847407407408</v>
      </c>
      <c r="L3149" s="365" t="s">
        <v>205</v>
      </c>
      <c r="M3149" s="54"/>
      <c r="N3149" s="54"/>
      <c r="O3149" s="336"/>
      <c r="V3149" s="345"/>
      <c r="W3149" s="345"/>
      <c r="X3149" s="345"/>
      <c r="Y3149" s="345"/>
      <c r="Z3149" s="345"/>
    </row>
    <row r="3150" spans="1:26" s="345" customFormat="1" ht="30" customHeight="1" x14ac:dyDescent="0.25">
      <c r="A3150" s="365"/>
      <c r="B3150" s="365"/>
      <c r="C3150" s="366"/>
      <c r="D3150" s="366"/>
      <c r="E3150" s="366"/>
      <c r="F3150" s="366"/>
      <c r="G3150" s="334"/>
      <c r="H3150" s="366"/>
      <c r="I3150" s="553" t="s">
        <v>414</v>
      </c>
      <c r="J3150" s="521">
        <f>VLOOKUP(B3140,'Mil Cost Premiums for PUCs'!$A$4:$R$277,18,FALSE)</f>
        <v>1.1690733213045894</v>
      </c>
      <c r="K3150" s="246">
        <f>+K3149*J3150</f>
        <v>128.23386869461012</v>
      </c>
      <c r="L3150" s="365" t="s">
        <v>205</v>
      </c>
      <c r="M3150" s="54"/>
      <c r="N3150" s="54"/>
      <c r="O3150" s="336"/>
      <c r="P3150" s="340"/>
      <c r="Q3150" s="334"/>
      <c r="R3150" s="334"/>
      <c r="S3150" s="334"/>
      <c r="T3150" s="334"/>
      <c r="U3150" s="10"/>
      <c r="V3150" s="334"/>
      <c r="W3150" s="334"/>
      <c r="X3150" s="334"/>
      <c r="Y3150" s="334"/>
    </row>
    <row r="3151" spans="1:26" ht="30" customHeight="1" x14ac:dyDescent="0.25">
      <c r="A3151" s="835"/>
      <c r="B3151" s="835"/>
      <c r="C3151" s="840"/>
      <c r="D3151" s="840"/>
      <c r="E3151" s="850"/>
      <c r="F3151" s="1278" t="s">
        <v>1148</v>
      </c>
      <c r="G3151" s="1278"/>
      <c r="H3151" s="1278"/>
      <c r="I3151" s="1278"/>
      <c r="J3151" s="845">
        <v>1.0833999999999999</v>
      </c>
      <c r="K3151" s="544">
        <f>K3150*J3151</f>
        <v>138.9285733437406</v>
      </c>
      <c r="L3151" s="365" t="s">
        <v>205</v>
      </c>
      <c r="N3151" s="54"/>
      <c r="O3151" s="336"/>
      <c r="U3151" s="10"/>
    </row>
    <row r="3152" spans="1:26" s="345" customFormat="1" ht="75" customHeight="1" x14ac:dyDescent="0.25">
      <c r="A3152" s="1230" t="s">
        <v>307</v>
      </c>
      <c r="B3152" s="1231"/>
      <c r="C3152" s="1231"/>
      <c r="D3152" s="1231"/>
      <c r="E3152" s="1231"/>
      <c r="F3152" s="1231"/>
      <c r="G3152" s="1231"/>
      <c r="H3152" s="1231"/>
      <c r="I3152" s="1231"/>
      <c r="J3152" s="1231"/>
      <c r="K3152" s="1231"/>
      <c r="L3152" s="1232"/>
      <c r="M3152" s="54"/>
      <c r="N3152" s="54"/>
      <c r="O3152" s="336"/>
      <c r="P3152" s="340"/>
      <c r="Q3152" s="334"/>
      <c r="R3152" s="334"/>
      <c r="S3152" s="334"/>
      <c r="T3152" s="10"/>
      <c r="V3152" s="334"/>
      <c r="W3152" s="334"/>
      <c r="X3152" s="334"/>
      <c r="Y3152" s="334"/>
      <c r="Z3152" s="334"/>
    </row>
    <row r="3153" spans="1:26" s="345" customFormat="1" ht="30" customHeight="1" x14ac:dyDescent="0.25">
      <c r="A3153" s="1268" t="s">
        <v>308</v>
      </c>
      <c r="B3153" s="1167"/>
      <c r="C3153" s="1168"/>
      <c r="D3153" s="1230" t="s">
        <v>1836</v>
      </c>
      <c r="E3153" s="1231"/>
      <c r="F3153" s="1231"/>
      <c r="G3153" s="1231"/>
      <c r="H3153" s="1231"/>
      <c r="I3153" s="1231"/>
      <c r="J3153" s="1231"/>
      <c r="K3153" s="1231"/>
      <c r="L3153" s="1232"/>
      <c r="M3153" s="54"/>
      <c r="N3153" s="54"/>
      <c r="O3153" s="336"/>
      <c r="P3153" s="340"/>
      <c r="Q3153" s="334"/>
      <c r="R3153" s="334"/>
      <c r="S3153" s="334"/>
      <c r="T3153" s="10"/>
      <c r="U3153" s="334"/>
      <c r="V3153" s="334"/>
      <c r="W3153" s="334"/>
      <c r="X3153" s="334"/>
      <c r="Y3153" s="334"/>
      <c r="Z3153" s="334"/>
    </row>
    <row r="3154" spans="1:26" ht="30" customHeight="1" x14ac:dyDescent="0.25">
      <c r="A3154" s="1268" t="s">
        <v>310</v>
      </c>
      <c r="B3154" s="1167"/>
      <c r="C3154" s="1168"/>
      <c r="D3154" s="1230" t="s">
        <v>1837</v>
      </c>
      <c r="E3154" s="1231"/>
      <c r="F3154" s="1231"/>
      <c r="G3154" s="1231"/>
      <c r="H3154" s="1231"/>
      <c r="I3154" s="1231"/>
      <c r="J3154" s="1231"/>
      <c r="K3154" s="1231"/>
      <c r="L3154" s="1232"/>
      <c r="M3154" s="54"/>
      <c r="N3154" s="54"/>
      <c r="O3154" s="336"/>
      <c r="P3154" s="344"/>
      <c r="Q3154" s="345"/>
      <c r="R3154" s="345"/>
      <c r="S3154" s="345"/>
      <c r="T3154" s="345"/>
      <c r="V3154" s="345"/>
      <c r="W3154" s="345"/>
      <c r="X3154" s="345"/>
      <c r="Y3154" s="345"/>
    </row>
    <row r="3155" spans="1:26" ht="30" customHeight="1" x14ac:dyDescent="0.25">
      <c r="A3155" s="1268" t="s">
        <v>312</v>
      </c>
      <c r="B3155" s="1167"/>
      <c r="C3155" s="1168"/>
      <c r="D3155" s="1230" t="s">
        <v>1838</v>
      </c>
      <c r="E3155" s="1231"/>
      <c r="F3155" s="1231"/>
      <c r="G3155" s="1231"/>
      <c r="H3155" s="1231"/>
      <c r="I3155" s="1231"/>
      <c r="J3155" s="1231"/>
      <c r="K3155" s="1231"/>
      <c r="L3155" s="1232"/>
      <c r="M3155" s="54"/>
      <c r="N3155" s="54"/>
      <c r="O3155" s="336"/>
      <c r="U3155" s="60"/>
      <c r="Z3155" s="345"/>
    </row>
    <row r="3156" spans="1:26" ht="30" customHeight="1" x14ac:dyDescent="0.25">
      <c r="A3156" s="1268" t="s">
        <v>314</v>
      </c>
      <c r="B3156" s="1167"/>
      <c r="C3156" s="1168"/>
      <c r="D3156" s="1230" t="s">
        <v>1839</v>
      </c>
      <c r="E3156" s="1231"/>
      <c r="F3156" s="1231"/>
      <c r="G3156" s="1231"/>
      <c r="H3156" s="1231"/>
      <c r="I3156" s="1231"/>
      <c r="J3156" s="1231"/>
      <c r="K3156" s="1231"/>
      <c r="L3156" s="1232"/>
      <c r="M3156" s="54"/>
      <c r="N3156" s="54"/>
      <c r="O3156" s="336"/>
      <c r="U3156" s="10"/>
    </row>
    <row r="3157" spans="1:26" ht="30" customHeight="1" x14ac:dyDescent="0.25">
      <c r="A3157" s="1268" t="s">
        <v>316</v>
      </c>
      <c r="B3157" s="1167"/>
      <c r="C3157" s="1168"/>
      <c r="D3157" s="1230" t="s">
        <v>1840</v>
      </c>
      <c r="E3157" s="1231"/>
      <c r="F3157" s="1231"/>
      <c r="G3157" s="1231"/>
      <c r="H3157" s="1231"/>
      <c r="I3157" s="1231"/>
      <c r="J3157" s="1231"/>
      <c r="K3157" s="1231"/>
      <c r="L3157" s="1232"/>
      <c r="M3157" s="54"/>
      <c r="N3157" s="54"/>
      <c r="O3157" s="543"/>
      <c r="T3157" s="60"/>
    </row>
    <row r="3158" spans="1:26" s="345" customFormat="1" ht="30" customHeight="1" x14ac:dyDescent="0.25">
      <c r="A3158" s="1268" t="s">
        <v>318</v>
      </c>
      <c r="B3158" s="1167"/>
      <c r="C3158" s="1168"/>
      <c r="D3158" s="1230" t="s">
        <v>1841</v>
      </c>
      <c r="E3158" s="1231"/>
      <c r="F3158" s="1231"/>
      <c r="G3158" s="1231"/>
      <c r="H3158" s="1231"/>
      <c r="I3158" s="1231"/>
      <c r="J3158" s="1231"/>
      <c r="K3158" s="1231"/>
      <c r="L3158" s="1232"/>
      <c r="M3158" s="54"/>
      <c r="N3158" s="54"/>
      <c r="O3158" s="867"/>
      <c r="P3158" s="340"/>
      <c r="Q3158" s="334"/>
      <c r="R3158" s="334"/>
      <c r="S3158" s="334"/>
      <c r="T3158" s="10"/>
      <c r="U3158" s="334"/>
      <c r="V3158" s="334"/>
      <c r="W3158" s="334"/>
      <c r="X3158" s="334"/>
      <c r="Y3158" s="334"/>
      <c r="Z3158" s="334"/>
    </row>
    <row r="3159" spans="1:26" ht="30" customHeight="1" x14ac:dyDescent="0.25">
      <c r="A3159" s="1268" t="s">
        <v>320</v>
      </c>
      <c r="B3159" s="1167"/>
      <c r="C3159" s="1168"/>
      <c r="D3159" s="1230" t="s">
        <v>1842</v>
      </c>
      <c r="E3159" s="1231"/>
      <c r="F3159" s="1231"/>
      <c r="G3159" s="1231"/>
      <c r="H3159" s="1231"/>
      <c r="I3159" s="1231"/>
      <c r="J3159" s="1231"/>
      <c r="K3159" s="1231"/>
      <c r="L3159" s="1232"/>
      <c r="M3159" s="54"/>
      <c r="N3159" s="54"/>
      <c r="O3159" s="543"/>
      <c r="P3159" s="334"/>
      <c r="Q3159" s="335"/>
      <c r="R3159" s="336"/>
      <c r="S3159" s="337"/>
      <c r="T3159" s="345"/>
    </row>
    <row r="3160" spans="1:26" ht="75" customHeight="1" x14ac:dyDescent="0.25">
      <c r="A3160" s="1268" t="s">
        <v>322</v>
      </c>
      <c r="B3160" s="1167"/>
      <c r="C3160" s="1168"/>
      <c r="D3160" s="1230" t="s">
        <v>422</v>
      </c>
      <c r="E3160" s="1231"/>
      <c r="F3160" s="1231"/>
      <c r="G3160" s="1231"/>
      <c r="H3160" s="1231"/>
      <c r="I3160" s="1231"/>
      <c r="J3160" s="1231"/>
      <c r="K3160" s="1231"/>
      <c r="L3160" s="1232"/>
      <c r="M3160" s="54"/>
      <c r="N3160" s="54"/>
      <c r="O3160" s="543"/>
      <c r="P3160" s="334"/>
      <c r="Q3160" s="335"/>
      <c r="R3160" s="336"/>
      <c r="S3160" s="337"/>
    </row>
    <row r="3161" spans="1:26" ht="30" customHeight="1" thickBot="1" x14ac:dyDescent="0.3">
      <c r="A3161" s="1268" t="s">
        <v>350</v>
      </c>
      <c r="B3161" s="1167"/>
      <c r="C3161" s="1168"/>
      <c r="D3161" s="1291" t="s">
        <v>1843</v>
      </c>
      <c r="E3161" s="1292"/>
      <c r="F3161" s="1292"/>
      <c r="G3161" s="1292"/>
      <c r="H3161" s="1292"/>
      <c r="I3161" s="1292"/>
      <c r="J3161" s="1292"/>
      <c r="K3161" s="1292"/>
      <c r="L3161" s="1293"/>
      <c r="M3161" s="54"/>
      <c r="N3161" s="73"/>
      <c r="O3161" s="343"/>
      <c r="P3161" s="334"/>
      <c r="Q3161" s="335"/>
      <c r="R3161" s="336"/>
      <c r="S3161" s="337"/>
    </row>
    <row r="3162" spans="1:26" ht="30" customHeight="1" thickBot="1" x14ac:dyDescent="0.3">
      <c r="A3162" s="1308"/>
      <c r="B3162" s="1309"/>
      <c r="C3162" s="1309"/>
      <c r="D3162" s="1309"/>
      <c r="E3162" s="1309"/>
      <c r="F3162" s="1309"/>
      <c r="G3162" s="1309"/>
      <c r="H3162" s="1309"/>
      <c r="I3162" s="1309"/>
      <c r="J3162" s="1309"/>
      <c r="K3162" s="1309"/>
      <c r="L3162" s="1310"/>
      <c r="M3162" s="54"/>
      <c r="O3162" s="336"/>
      <c r="P3162" s="334"/>
      <c r="Q3162" s="335"/>
      <c r="R3162" s="336"/>
      <c r="S3162" s="337"/>
    </row>
    <row r="3163" spans="1:26" ht="30" customHeight="1" x14ac:dyDescent="0.25">
      <c r="A3163" s="327" t="s">
        <v>5</v>
      </c>
      <c r="B3163" s="328">
        <v>7232</v>
      </c>
      <c r="C3163" s="1218" t="s">
        <v>1844</v>
      </c>
      <c r="D3163" s="1219"/>
      <c r="E3163" s="331" t="s">
        <v>8</v>
      </c>
      <c r="F3163" s="332" t="s">
        <v>205</v>
      </c>
      <c r="G3163" s="342" t="s">
        <v>74</v>
      </c>
      <c r="H3163" s="653">
        <v>3741</v>
      </c>
      <c r="I3163" s="331" t="s">
        <v>10</v>
      </c>
      <c r="J3163" s="1220" t="s">
        <v>1845</v>
      </c>
      <c r="K3163" s="1220"/>
      <c r="L3163" s="1221"/>
      <c r="M3163" s="54"/>
      <c r="N3163" s="73"/>
      <c r="O3163" s="73"/>
      <c r="P3163" s="334"/>
      <c r="Q3163" s="335"/>
      <c r="R3163" s="336"/>
      <c r="S3163" s="337"/>
    </row>
    <row r="3164" spans="1:26" ht="30" customHeight="1" x14ac:dyDescent="0.25">
      <c r="A3164" s="356" t="s">
        <v>282</v>
      </c>
      <c r="B3164" s="1163" t="s">
        <v>13</v>
      </c>
      <c r="C3164" s="1163"/>
      <c r="D3164" s="1163"/>
      <c r="E3164" s="357" t="s">
        <v>283</v>
      </c>
      <c r="F3164" s="546" t="s">
        <v>116</v>
      </c>
      <c r="G3164" s="356"/>
      <c r="H3164" s="356"/>
      <c r="I3164" s="1276" t="s">
        <v>284</v>
      </c>
      <c r="J3164" s="1277"/>
      <c r="K3164" s="1236" t="s">
        <v>285</v>
      </c>
      <c r="L3164" s="1237"/>
      <c r="M3164" s="54"/>
      <c r="N3164" s="73"/>
      <c r="O3164" s="73"/>
      <c r="P3164" s="334"/>
      <c r="Q3164" s="335"/>
      <c r="R3164" s="336"/>
      <c r="S3164" s="337"/>
    </row>
    <row r="3165" spans="1:26" ht="30" customHeight="1" x14ac:dyDescent="0.25">
      <c r="A3165" s="367" t="s">
        <v>286</v>
      </c>
      <c r="B3165" s="1268" t="s">
        <v>1846</v>
      </c>
      <c r="C3165" s="1167"/>
      <c r="D3165" s="1168"/>
      <c r="E3165" s="547">
        <v>170000</v>
      </c>
      <c r="F3165" s="240">
        <v>62</v>
      </c>
      <c r="G3165" s="548"/>
      <c r="H3165" s="549"/>
      <c r="I3165" s="1302" t="s">
        <v>1847</v>
      </c>
      <c r="J3165" s="1303"/>
      <c r="K3165" s="240">
        <f>+F3165</f>
        <v>62</v>
      </c>
      <c r="L3165" s="367" t="s">
        <v>205</v>
      </c>
      <c r="M3165" s="54"/>
      <c r="N3165" s="73"/>
      <c r="O3165" s="73"/>
      <c r="P3165" s="334"/>
      <c r="Q3165" s="335"/>
      <c r="R3165" s="336"/>
      <c r="S3165" s="337"/>
    </row>
    <row r="3166" spans="1:26" ht="30" customHeight="1" thickBot="1" x14ac:dyDescent="0.3">
      <c r="A3166" s="365"/>
      <c r="B3166" s="1403"/>
      <c r="C3166" s="1404"/>
      <c r="D3166" s="1405"/>
      <c r="E3166" s="917"/>
      <c r="F3166" s="918"/>
      <c r="G3166" s="918"/>
      <c r="H3166" s="919"/>
      <c r="I3166" s="366"/>
      <c r="J3166" s="359" t="s">
        <v>72</v>
      </c>
      <c r="K3166" s="246">
        <f>+K3165</f>
        <v>62</v>
      </c>
      <c r="L3166" s="365" t="s">
        <v>205</v>
      </c>
      <c r="M3166" s="54"/>
      <c r="N3166" s="73"/>
      <c r="O3166" s="73"/>
      <c r="P3166" s="334"/>
      <c r="Q3166" s="335"/>
      <c r="R3166" s="336"/>
      <c r="S3166" s="337"/>
    </row>
    <row r="3167" spans="1:26" ht="30" customHeight="1" thickBot="1" x14ac:dyDescent="0.3">
      <c r="A3167" s="1180"/>
      <c r="B3167" s="1181"/>
      <c r="C3167" s="1181"/>
      <c r="D3167" s="1181"/>
      <c r="E3167" s="1181"/>
      <c r="F3167" s="1181"/>
      <c r="G3167" s="1181"/>
      <c r="H3167" s="1181"/>
      <c r="I3167" s="1181"/>
      <c r="J3167" s="1181"/>
      <c r="K3167" s="1181"/>
      <c r="L3167" s="1182"/>
      <c r="M3167" s="54"/>
      <c r="N3167" s="54"/>
      <c r="O3167" s="73"/>
      <c r="P3167" s="334"/>
      <c r="Q3167" s="335"/>
      <c r="R3167" s="336"/>
      <c r="S3167" s="337"/>
    </row>
    <row r="3168" spans="1:26" ht="30" customHeight="1" x14ac:dyDescent="0.25">
      <c r="A3168" s="327" t="s">
        <v>5</v>
      </c>
      <c r="B3168" s="328">
        <v>7233</v>
      </c>
      <c r="C3168" s="1251" t="s">
        <v>1848</v>
      </c>
      <c r="D3168" s="1252"/>
      <c r="E3168" s="331" t="s">
        <v>8</v>
      </c>
      <c r="F3168" s="332" t="s">
        <v>205</v>
      </c>
      <c r="G3168" s="342" t="s">
        <v>74</v>
      </c>
      <c r="H3168" s="653">
        <v>3680</v>
      </c>
      <c r="I3168" s="331" t="s">
        <v>10</v>
      </c>
      <c r="J3168" s="1220" t="s">
        <v>3388</v>
      </c>
      <c r="K3168" s="1220"/>
      <c r="L3168" s="1221"/>
      <c r="M3168" s="54"/>
      <c r="N3168" s="54"/>
      <c r="P3168" s="334"/>
      <c r="Q3168" s="335"/>
      <c r="R3168" s="336"/>
      <c r="S3168" s="337"/>
    </row>
    <row r="3169" spans="1:19" ht="30" customHeight="1" x14ac:dyDescent="0.25">
      <c r="A3169" s="359" t="s">
        <v>295</v>
      </c>
      <c r="B3169" s="1222" t="s">
        <v>326</v>
      </c>
      <c r="C3169" s="1235"/>
      <c r="D3169" s="1223"/>
      <c r="E3169" s="577" t="s">
        <v>116</v>
      </c>
      <c r="F3169" s="577" t="s">
        <v>117</v>
      </c>
      <c r="G3169" s="1194" t="s">
        <v>118</v>
      </c>
      <c r="H3169" s="1195"/>
      <c r="I3169" s="356" t="s">
        <v>296</v>
      </c>
      <c r="J3169" s="356"/>
      <c r="K3169" s="581" t="s">
        <v>285</v>
      </c>
      <c r="L3169" s="921"/>
      <c r="M3169" s="54"/>
      <c r="N3169" s="54"/>
      <c r="P3169" s="334"/>
      <c r="Q3169" s="335"/>
      <c r="R3169" s="336"/>
      <c r="S3169" s="337"/>
    </row>
    <row r="3170" spans="1:19" ht="30" customHeight="1" x14ac:dyDescent="0.25">
      <c r="A3170" s="365" t="s">
        <v>1849</v>
      </c>
      <c r="B3170" s="1214" t="s">
        <v>1850</v>
      </c>
      <c r="C3170" s="1215"/>
      <c r="D3170" s="1216"/>
      <c r="E3170" s="247">
        <v>124</v>
      </c>
      <c r="F3170" s="365" t="s">
        <v>205</v>
      </c>
      <c r="G3170" s="365"/>
      <c r="H3170" s="365"/>
      <c r="I3170" s="365">
        <v>1.04</v>
      </c>
      <c r="J3170" s="365"/>
      <c r="K3170" s="247">
        <f>+E3170*I3170</f>
        <v>128.96</v>
      </c>
      <c r="L3170" s="365" t="s">
        <v>205</v>
      </c>
      <c r="M3170" s="54"/>
      <c r="N3170" s="54"/>
      <c r="P3170" s="334"/>
      <c r="Q3170" s="335"/>
      <c r="R3170" s="336"/>
      <c r="S3170" s="337"/>
    </row>
    <row r="3171" spans="1:19" ht="30" customHeight="1" x14ac:dyDescent="0.25">
      <c r="A3171" s="365" t="s">
        <v>1694</v>
      </c>
      <c r="B3171" s="1214" t="s">
        <v>1718</v>
      </c>
      <c r="C3171" s="1215"/>
      <c r="D3171" s="1215"/>
      <c r="E3171" s="247">
        <v>4.09</v>
      </c>
      <c r="F3171" s="365" t="s">
        <v>205</v>
      </c>
      <c r="G3171" s="366"/>
      <c r="H3171" s="662"/>
      <c r="I3171" s="365">
        <v>1.04</v>
      </c>
      <c r="J3171" s="365"/>
      <c r="K3171" s="247">
        <f>+E3171*I3171</f>
        <v>4.2535999999999996</v>
      </c>
      <c r="L3171" s="365" t="s">
        <v>205</v>
      </c>
      <c r="M3171" s="54"/>
      <c r="N3171" s="54"/>
      <c r="P3171" s="334"/>
      <c r="Q3171" s="335"/>
      <c r="R3171" s="336"/>
      <c r="S3171" s="337"/>
    </row>
    <row r="3172" spans="1:19" ht="30" customHeight="1" x14ac:dyDescent="0.25">
      <c r="A3172" s="365"/>
      <c r="B3172" s="1281"/>
      <c r="C3172" s="1281"/>
      <c r="D3172" s="1281"/>
      <c r="E3172" s="247"/>
      <c r="F3172" s="365"/>
      <c r="G3172" s="366"/>
      <c r="H3172" s="662"/>
      <c r="I3172" s="365"/>
      <c r="J3172" s="365" t="s">
        <v>343</v>
      </c>
      <c r="K3172" s="247">
        <f>SUM(K3170:K3171)</f>
        <v>133.21360000000001</v>
      </c>
      <c r="L3172" s="365" t="s">
        <v>205</v>
      </c>
      <c r="M3172" s="54"/>
      <c r="N3172" s="54"/>
      <c r="P3172" s="334"/>
      <c r="Q3172" s="335"/>
      <c r="R3172" s="336"/>
      <c r="S3172" s="337"/>
    </row>
    <row r="3173" spans="1:19" ht="30" customHeight="1" x14ac:dyDescent="0.25">
      <c r="A3173" s="365"/>
      <c r="B3173" s="578"/>
      <c r="C3173" s="578"/>
      <c r="D3173" s="578"/>
      <c r="E3173" s="247"/>
      <c r="F3173" s="1272" t="s">
        <v>303</v>
      </c>
      <c r="G3173" s="1283" t="s">
        <v>304</v>
      </c>
      <c r="H3173" s="1283"/>
      <c r="I3173" s="1283"/>
      <c r="J3173" s="1283"/>
      <c r="K3173" s="250">
        <v>1.07</v>
      </c>
      <c r="L3173" s="365"/>
      <c r="M3173" s="54"/>
      <c r="O3173" s="336"/>
      <c r="P3173" s="334"/>
      <c r="Q3173" s="335"/>
      <c r="R3173" s="336"/>
      <c r="S3173" s="337"/>
    </row>
    <row r="3174" spans="1:19" ht="30" customHeight="1" x14ac:dyDescent="0.25">
      <c r="A3174" s="365"/>
      <c r="B3174" s="578"/>
      <c r="C3174" s="578"/>
      <c r="D3174" s="578"/>
      <c r="E3174" s="247"/>
      <c r="F3174" s="1273"/>
      <c r="G3174" s="1284" t="s">
        <v>438</v>
      </c>
      <c r="H3174" s="1284"/>
      <c r="I3174" s="1284"/>
      <c r="J3174" s="1284"/>
      <c r="K3174" s="250">
        <v>1.08</v>
      </c>
      <c r="L3174" s="365"/>
      <c r="M3174" s="54"/>
      <c r="N3174" s="54"/>
      <c r="P3174" s="334"/>
      <c r="Q3174" s="335"/>
      <c r="R3174" s="336"/>
      <c r="S3174" s="337"/>
    </row>
    <row r="3175" spans="1:19" ht="30" customHeight="1" x14ac:dyDescent="0.25">
      <c r="A3175" s="365"/>
      <c r="B3175" s="365"/>
      <c r="C3175" s="366"/>
      <c r="D3175" s="366"/>
      <c r="E3175" s="366"/>
      <c r="F3175" s="366"/>
      <c r="G3175" s="366"/>
      <c r="H3175" s="366"/>
      <c r="I3175" s="366"/>
      <c r="J3175" s="365" t="s">
        <v>72</v>
      </c>
      <c r="K3175" s="246">
        <f>+K3172*K3173/K3174</f>
        <v>131.98014074074075</v>
      </c>
      <c r="L3175" s="365" t="s">
        <v>205</v>
      </c>
      <c r="M3175" s="54"/>
      <c r="N3175" s="54"/>
      <c r="O3175" s="336"/>
      <c r="P3175" s="334"/>
      <c r="Q3175" s="335"/>
      <c r="R3175" s="336"/>
      <c r="S3175" s="337"/>
    </row>
    <row r="3176" spans="1:19" ht="30" customHeight="1" x14ac:dyDescent="0.25">
      <c r="A3176" s="365"/>
      <c r="B3176" s="365"/>
      <c r="C3176" s="366"/>
      <c r="D3176" s="366"/>
      <c r="E3176" s="366"/>
      <c r="F3176" s="366"/>
      <c r="G3176" s="580" t="s">
        <v>306</v>
      </c>
      <c r="H3176" s="366"/>
      <c r="I3176" s="366"/>
      <c r="J3176" s="521">
        <f>VLOOKUP(B3168,'Mil Cost Premiums for PUCs'!$A$4:$R$277,18,FALSE)</f>
        <v>1.0569712645049996</v>
      </c>
      <c r="K3176" s="246">
        <f>+K3175*J3176</f>
        <v>139.49921624828855</v>
      </c>
      <c r="L3176" s="365" t="s">
        <v>205</v>
      </c>
      <c r="M3176" s="210"/>
      <c r="N3176" s="54"/>
      <c r="O3176" s="336"/>
      <c r="P3176" s="334"/>
      <c r="Q3176" s="335"/>
      <c r="R3176" s="336"/>
      <c r="S3176" s="337"/>
    </row>
    <row r="3177" spans="1:19" ht="30" customHeight="1" thickBot="1" x14ac:dyDescent="0.3">
      <c r="A3177" s="835"/>
      <c r="B3177" s="835"/>
      <c r="C3177" s="840"/>
      <c r="D3177" s="840"/>
      <c r="E3177" s="850"/>
      <c r="F3177" s="1278" t="s">
        <v>1148</v>
      </c>
      <c r="G3177" s="1278"/>
      <c r="H3177" s="1278"/>
      <c r="I3177" s="1278"/>
      <c r="J3177" s="845">
        <v>1.0833999999999999</v>
      </c>
      <c r="K3177" s="544">
        <f>K3176*J3177</f>
        <v>151.1334508833958</v>
      </c>
      <c r="L3177" s="365" t="s">
        <v>205</v>
      </c>
      <c r="N3177" s="54"/>
      <c r="O3177" s="336"/>
      <c r="P3177" s="334"/>
      <c r="Q3177" s="335"/>
      <c r="R3177" s="336"/>
      <c r="S3177" s="337"/>
    </row>
    <row r="3178" spans="1:19" ht="30" customHeight="1" thickBot="1" x14ac:dyDescent="0.3">
      <c r="A3178" s="807"/>
      <c r="B3178" s="808"/>
      <c r="C3178" s="808"/>
      <c r="D3178" s="808"/>
      <c r="E3178" s="808"/>
      <c r="F3178" s="808"/>
      <c r="G3178" s="808"/>
      <c r="H3178" s="808"/>
      <c r="I3178" s="808"/>
      <c r="J3178" s="808"/>
      <c r="K3178" s="808"/>
      <c r="L3178" s="809"/>
      <c r="M3178" s="210"/>
      <c r="N3178" s="54"/>
      <c r="O3178" s="336"/>
      <c r="P3178" s="334"/>
      <c r="Q3178" s="335"/>
      <c r="R3178" s="336"/>
      <c r="S3178" s="337"/>
    </row>
    <row r="3179" spans="1:19" ht="30" customHeight="1" x14ac:dyDescent="0.25">
      <c r="A3179" s="327" t="s">
        <v>5</v>
      </c>
      <c r="B3179" s="328">
        <v>7234</v>
      </c>
      <c r="C3179" s="1251" t="s">
        <v>1851</v>
      </c>
      <c r="D3179" s="1252"/>
      <c r="E3179" s="331" t="s">
        <v>8</v>
      </c>
      <c r="F3179" s="332" t="s">
        <v>205</v>
      </c>
      <c r="G3179" s="342" t="s">
        <v>74</v>
      </c>
      <c r="H3179" s="576">
        <v>662</v>
      </c>
      <c r="I3179" s="331" t="s">
        <v>10</v>
      </c>
      <c r="J3179" s="1220" t="s">
        <v>3388</v>
      </c>
      <c r="K3179" s="1220"/>
      <c r="L3179" s="1221"/>
      <c r="M3179" s="210"/>
      <c r="N3179" s="54"/>
      <c r="O3179" s="336"/>
      <c r="P3179" s="334"/>
      <c r="Q3179" s="335"/>
      <c r="R3179" s="336"/>
      <c r="S3179" s="337"/>
    </row>
    <row r="3180" spans="1:19" ht="30" customHeight="1" x14ac:dyDescent="0.25">
      <c r="A3180" s="359" t="s">
        <v>295</v>
      </c>
      <c r="B3180" s="1222" t="s">
        <v>326</v>
      </c>
      <c r="C3180" s="1235"/>
      <c r="D3180" s="1223"/>
      <c r="E3180" s="577" t="s">
        <v>116</v>
      </c>
      <c r="F3180" s="577" t="s">
        <v>117</v>
      </c>
      <c r="G3180" s="1194" t="s">
        <v>118</v>
      </c>
      <c r="H3180" s="1195"/>
      <c r="I3180" s="356" t="s">
        <v>296</v>
      </c>
      <c r="J3180" s="356"/>
      <c r="K3180" s="581" t="s">
        <v>285</v>
      </c>
      <c r="L3180" s="382"/>
      <c r="M3180" s="210"/>
      <c r="N3180" s="54"/>
      <c r="O3180" s="336"/>
      <c r="P3180" s="334"/>
      <c r="Q3180" s="335"/>
      <c r="R3180" s="336"/>
      <c r="S3180" s="337"/>
    </row>
    <row r="3181" spans="1:19" ht="30" customHeight="1" x14ac:dyDescent="0.25">
      <c r="A3181" s="365" t="s">
        <v>647</v>
      </c>
      <c r="B3181" s="1214" t="s">
        <v>1852</v>
      </c>
      <c r="C3181" s="1215"/>
      <c r="D3181" s="1216"/>
      <c r="E3181" s="247">
        <v>143</v>
      </c>
      <c r="F3181" s="396" t="s">
        <v>205</v>
      </c>
      <c r="G3181" s="689"/>
      <c r="H3181" s="690"/>
      <c r="I3181" s="365">
        <v>1.04</v>
      </c>
      <c r="J3181" s="365"/>
      <c r="K3181" s="247">
        <f>+E3181*I3181</f>
        <v>148.72</v>
      </c>
      <c r="L3181" s="365" t="s">
        <v>205</v>
      </c>
      <c r="M3181" s="210"/>
      <c r="N3181" s="54"/>
      <c r="O3181" s="336"/>
      <c r="P3181" s="334"/>
      <c r="Q3181" s="335"/>
      <c r="R3181" s="336"/>
      <c r="S3181" s="337"/>
    </row>
    <row r="3182" spans="1:19" ht="30" customHeight="1" x14ac:dyDescent="0.25">
      <c r="A3182" s="365" t="s">
        <v>649</v>
      </c>
      <c r="B3182" s="1269" t="s">
        <v>1799</v>
      </c>
      <c r="C3182" s="1269"/>
      <c r="D3182" s="1269"/>
      <c r="E3182" s="247">
        <v>4.84</v>
      </c>
      <c r="F3182" s="365" t="s">
        <v>205</v>
      </c>
      <c r="G3182" s="365"/>
      <c r="H3182" s="365"/>
      <c r="I3182" s="365">
        <v>1.04</v>
      </c>
      <c r="J3182" s="365"/>
      <c r="K3182" s="247">
        <f>+E3182*I3182</f>
        <v>5.0335999999999999</v>
      </c>
      <c r="L3182" s="365" t="s">
        <v>205</v>
      </c>
      <c r="M3182" s="54"/>
      <c r="N3182" s="54"/>
      <c r="O3182" s="336"/>
      <c r="P3182" s="334"/>
      <c r="Q3182" s="335"/>
      <c r="R3182" s="336"/>
      <c r="S3182" s="337"/>
    </row>
    <row r="3183" spans="1:19" ht="30" customHeight="1" x14ac:dyDescent="0.25">
      <c r="A3183" s="895"/>
      <c r="B3183" s="1269"/>
      <c r="C3183" s="1269"/>
      <c r="D3183" s="1269"/>
      <c r="E3183" s="247"/>
      <c r="F3183" s="365"/>
      <c r="G3183" s="365"/>
      <c r="H3183" s="365"/>
      <c r="I3183" s="365"/>
      <c r="J3183" s="365" t="s">
        <v>343</v>
      </c>
      <c r="K3183" s="247">
        <f>SUM(K3181:K3182)</f>
        <v>153.75360000000001</v>
      </c>
      <c r="L3183" s="365" t="s">
        <v>205</v>
      </c>
      <c r="M3183" s="54"/>
      <c r="O3183" s="336"/>
      <c r="P3183" s="334"/>
      <c r="Q3183" s="335"/>
      <c r="R3183" s="336"/>
      <c r="S3183" s="337"/>
    </row>
    <row r="3184" spans="1:19" ht="30" customHeight="1" x14ac:dyDescent="0.25">
      <c r="A3184" s="365"/>
      <c r="B3184" s="578"/>
      <c r="C3184" s="578"/>
      <c r="D3184" s="578"/>
      <c r="E3184" s="247"/>
      <c r="F3184" s="1272" t="s">
        <v>303</v>
      </c>
      <c r="G3184" s="1283" t="s">
        <v>304</v>
      </c>
      <c r="H3184" s="1283"/>
      <c r="I3184" s="1283"/>
      <c r="J3184" s="1283"/>
      <c r="K3184" s="250">
        <v>1.07</v>
      </c>
      <c r="L3184" s="365"/>
      <c r="M3184" s="54"/>
      <c r="N3184" s="54"/>
      <c r="O3184" s="839"/>
      <c r="P3184" s="334"/>
      <c r="Q3184" s="335"/>
      <c r="R3184" s="336"/>
      <c r="S3184" s="337"/>
    </row>
    <row r="3185" spans="1:19" ht="30" customHeight="1" x14ac:dyDescent="0.25">
      <c r="A3185" s="365"/>
      <c r="B3185" s="578"/>
      <c r="C3185" s="578"/>
      <c r="D3185" s="578"/>
      <c r="E3185" s="247"/>
      <c r="F3185" s="1273"/>
      <c r="G3185" s="1284" t="s">
        <v>438</v>
      </c>
      <c r="H3185" s="1284"/>
      <c r="I3185" s="1284"/>
      <c r="J3185" s="1284"/>
      <c r="K3185" s="250">
        <v>1.08</v>
      </c>
      <c r="L3185" s="365"/>
      <c r="M3185" s="54"/>
      <c r="N3185" s="54"/>
      <c r="O3185" s="839"/>
      <c r="P3185" s="334"/>
      <c r="Q3185" s="335"/>
      <c r="R3185" s="336"/>
      <c r="S3185" s="337"/>
    </row>
    <row r="3186" spans="1:19" ht="30" customHeight="1" x14ac:dyDescent="0.25">
      <c r="A3186" s="365"/>
      <c r="B3186" s="365"/>
      <c r="C3186" s="366"/>
      <c r="D3186" s="366"/>
      <c r="E3186" s="366"/>
      <c r="F3186" s="366"/>
      <c r="G3186" s="366"/>
      <c r="H3186" s="366"/>
      <c r="I3186" s="366"/>
      <c r="J3186" s="366" t="s">
        <v>72</v>
      </c>
      <c r="K3186" s="246">
        <f>+K3183*K3184/K3185</f>
        <v>152.32995555555556</v>
      </c>
      <c r="L3186" s="365" t="s">
        <v>205</v>
      </c>
      <c r="M3186" s="54"/>
      <c r="N3186" s="54"/>
      <c r="O3186" s="336"/>
      <c r="P3186" s="334"/>
      <c r="Q3186" s="335"/>
      <c r="R3186" s="336"/>
      <c r="S3186" s="337"/>
    </row>
    <row r="3187" spans="1:19" ht="30" customHeight="1" x14ac:dyDescent="0.25">
      <c r="A3187" s="365"/>
      <c r="B3187" s="365"/>
      <c r="C3187" s="366"/>
      <c r="D3187" s="366"/>
      <c r="E3187" s="366"/>
      <c r="F3187" s="366"/>
      <c r="G3187" s="580" t="s">
        <v>306</v>
      </c>
      <c r="H3187" s="366"/>
      <c r="I3187" s="366"/>
      <c r="J3187" s="521">
        <f>VLOOKUP(B3179,'Mil Cost Premiums for PUCs'!$A$4:$R$277,18,FALSE)</f>
        <v>1.1675459237447372</v>
      </c>
      <c r="K3187" s="246">
        <f>+K3186*J3187</f>
        <v>177.85221867310588</v>
      </c>
      <c r="L3187" s="365" t="s">
        <v>205</v>
      </c>
      <c r="M3187" s="54"/>
      <c r="N3187" s="54"/>
      <c r="O3187" s="336"/>
      <c r="P3187" s="334"/>
      <c r="Q3187" s="335"/>
      <c r="R3187" s="336"/>
      <c r="S3187" s="337"/>
    </row>
    <row r="3188" spans="1:19" ht="30" customHeight="1" thickBot="1" x14ac:dyDescent="0.3">
      <c r="A3188" s="835"/>
      <c r="B3188" s="835"/>
      <c r="C3188" s="840"/>
      <c r="D3188" s="840"/>
      <c r="E3188" s="850"/>
      <c r="F3188" s="1278" t="s">
        <v>1148</v>
      </c>
      <c r="G3188" s="1278"/>
      <c r="H3188" s="1278"/>
      <c r="I3188" s="1278"/>
      <c r="J3188" s="845">
        <v>1.0833999999999999</v>
      </c>
      <c r="K3188" s="544">
        <f>K3187*J3188</f>
        <v>192.68509371044289</v>
      </c>
      <c r="L3188" s="365" t="s">
        <v>205</v>
      </c>
      <c r="N3188" s="111"/>
      <c r="O3188" s="336"/>
      <c r="P3188" s="334"/>
      <c r="Q3188" s="335"/>
      <c r="R3188" s="336"/>
      <c r="S3188" s="337"/>
    </row>
    <row r="3189" spans="1:19" ht="30" customHeight="1" thickBot="1" x14ac:dyDescent="0.3">
      <c r="A3189" s="1180"/>
      <c r="B3189" s="1181"/>
      <c r="C3189" s="1181"/>
      <c r="D3189" s="1181"/>
      <c r="E3189" s="1181"/>
      <c r="F3189" s="1181"/>
      <c r="G3189" s="1181"/>
      <c r="H3189" s="1181"/>
      <c r="I3189" s="1181"/>
      <c r="J3189" s="1181"/>
      <c r="K3189" s="1181"/>
      <c r="L3189" s="1182"/>
      <c r="M3189" s="54"/>
      <c r="N3189" s="54"/>
      <c r="O3189" s="336"/>
      <c r="P3189" s="334"/>
      <c r="Q3189" s="335"/>
      <c r="R3189" s="336"/>
      <c r="S3189" s="337"/>
    </row>
    <row r="3190" spans="1:19" ht="30" customHeight="1" x14ac:dyDescent="0.25">
      <c r="A3190" s="327" t="s">
        <v>5</v>
      </c>
      <c r="B3190" s="328">
        <v>7235</v>
      </c>
      <c r="C3190" s="1251" t="s">
        <v>1853</v>
      </c>
      <c r="D3190" s="1252"/>
      <c r="E3190" s="331" t="s">
        <v>8</v>
      </c>
      <c r="F3190" s="332" t="s">
        <v>76</v>
      </c>
      <c r="G3190" s="338" t="s">
        <v>7</v>
      </c>
      <c r="H3190" s="576">
        <v>1</v>
      </c>
      <c r="I3190" s="331" t="s">
        <v>10</v>
      </c>
      <c r="J3190" s="1220" t="s">
        <v>3388</v>
      </c>
      <c r="K3190" s="1220"/>
      <c r="L3190" s="1221"/>
      <c r="M3190" s="54"/>
      <c r="N3190" s="54"/>
      <c r="O3190" s="336"/>
      <c r="P3190" s="334"/>
      <c r="Q3190" s="335"/>
      <c r="R3190" s="336"/>
      <c r="S3190" s="337"/>
    </row>
    <row r="3191" spans="1:19" ht="30" customHeight="1" x14ac:dyDescent="0.25">
      <c r="A3191" s="359" t="s">
        <v>295</v>
      </c>
      <c r="B3191" s="1222" t="s">
        <v>326</v>
      </c>
      <c r="C3191" s="1235"/>
      <c r="D3191" s="1223"/>
      <c r="E3191" s="577" t="s">
        <v>116</v>
      </c>
      <c r="F3191" s="577" t="s">
        <v>117</v>
      </c>
      <c r="G3191" s="1194" t="s">
        <v>118</v>
      </c>
      <c r="H3191" s="1195"/>
      <c r="I3191" s="356" t="s">
        <v>296</v>
      </c>
      <c r="J3191" s="356"/>
      <c r="K3191" s="581" t="s">
        <v>285</v>
      </c>
      <c r="L3191" s="382"/>
      <c r="M3191" s="54"/>
      <c r="N3191" s="54"/>
      <c r="O3191" s="336"/>
      <c r="P3191" s="334"/>
      <c r="Q3191" s="335"/>
      <c r="R3191" s="336"/>
      <c r="S3191" s="337"/>
    </row>
    <row r="3192" spans="1:19" ht="30" customHeight="1" x14ac:dyDescent="0.25">
      <c r="A3192" s="365" t="s">
        <v>1854</v>
      </c>
      <c r="B3192" s="1269" t="s">
        <v>1855</v>
      </c>
      <c r="C3192" s="1269"/>
      <c r="D3192" s="1269"/>
      <c r="E3192" s="247">
        <v>43.25</v>
      </c>
      <c r="F3192" s="365" t="s">
        <v>205</v>
      </c>
      <c r="G3192" s="365">
        <v>800</v>
      </c>
      <c r="H3192" s="365" t="s">
        <v>329</v>
      </c>
      <c r="I3192" s="706">
        <v>1.05</v>
      </c>
      <c r="J3192" s="365"/>
      <c r="K3192" s="247">
        <f>+E3192*I3192*G3192</f>
        <v>36330</v>
      </c>
      <c r="L3192" s="365" t="s">
        <v>76</v>
      </c>
      <c r="M3192" s="54"/>
      <c r="N3192" s="54"/>
      <c r="O3192" s="336"/>
      <c r="P3192" s="334"/>
      <c r="Q3192" s="335"/>
      <c r="R3192" s="336"/>
      <c r="S3192" s="337"/>
    </row>
    <row r="3193" spans="1:19" ht="30" customHeight="1" x14ac:dyDescent="0.25">
      <c r="A3193" s="365"/>
      <c r="B3193" s="1269" t="s">
        <v>1856</v>
      </c>
      <c r="C3193" s="1269"/>
      <c r="D3193" s="1269"/>
      <c r="E3193" s="247"/>
      <c r="F3193" s="365"/>
      <c r="G3193" s="365"/>
      <c r="H3193" s="365"/>
      <c r="I3193" s="365"/>
      <c r="J3193" s="365"/>
      <c r="K3193" s="247"/>
      <c r="L3193" s="365"/>
      <c r="M3193" s="54"/>
      <c r="N3193" s="54"/>
      <c r="O3193" s="867"/>
      <c r="P3193" s="469"/>
      <c r="Q3193" s="344"/>
      <c r="R3193" s="344"/>
      <c r="S3193" s="923"/>
    </row>
    <row r="3194" spans="1:19" ht="30" customHeight="1" x14ac:dyDescent="0.25">
      <c r="A3194" s="365"/>
      <c r="B3194" s="578"/>
      <c r="C3194" s="578"/>
      <c r="D3194" s="578"/>
      <c r="E3194" s="247"/>
      <c r="F3194" s="1272" t="s">
        <v>303</v>
      </c>
      <c r="G3194" s="1283" t="s">
        <v>304</v>
      </c>
      <c r="H3194" s="1283"/>
      <c r="I3194" s="1283"/>
      <c r="J3194" s="1283"/>
      <c r="K3194" s="250">
        <v>1.07</v>
      </c>
      <c r="L3194" s="365"/>
      <c r="M3194" s="54"/>
      <c r="N3194" s="54"/>
      <c r="O3194" s="336"/>
      <c r="P3194" s="334"/>
      <c r="Q3194" s="335"/>
      <c r="R3194" s="336"/>
      <c r="S3194" s="337"/>
    </row>
    <row r="3195" spans="1:19" ht="30" customHeight="1" x14ac:dyDescent="0.25">
      <c r="A3195" s="365"/>
      <c r="B3195" s="578"/>
      <c r="C3195" s="578"/>
      <c r="D3195" s="578"/>
      <c r="E3195" s="247"/>
      <c r="F3195" s="1273"/>
      <c r="G3195" s="1284" t="s">
        <v>438</v>
      </c>
      <c r="H3195" s="1284"/>
      <c r="I3195" s="1284"/>
      <c r="J3195" s="1284"/>
      <c r="K3195" s="250">
        <v>1.08</v>
      </c>
      <c r="L3195" s="365"/>
      <c r="M3195" s="54"/>
      <c r="N3195" s="54"/>
      <c r="O3195" s="336"/>
      <c r="P3195" s="334"/>
      <c r="Q3195" s="335"/>
      <c r="R3195" s="336"/>
      <c r="S3195" s="337"/>
    </row>
    <row r="3196" spans="1:19" ht="30" customHeight="1" x14ac:dyDescent="0.25">
      <c r="A3196" s="365"/>
      <c r="B3196" s="365"/>
      <c r="C3196" s="366"/>
      <c r="D3196" s="366"/>
      <c r="E3196" s="366"/>
      <c r="F3196" s="366"/>
      <c r="G3196" s="366"/>
      <c r="H3196" s="366"/>
      <c r="I3196" s="366"/>
      <c r="J3196" s="366" t="s">
        <v>72</v>
      </c>
      <c r="K3196" s="246">
        <f>+K3192*K3194/K3195</f>
        <v>35993.611111111117</v>
      </c>
      <c r="L3196" s="365" t="s">
        <v>76</v>
      </c>
      <c r="M3196" s="54"/>
      <c r="N3196" s="111"/>
      <c r="O3196" s="336"/>
      <c r="P3196" s="334"/>
      <c r="Q3196" s="335"/>
      <c r="R3196" s="336"/>
      <c r="S3196" s="337"/>
    </row>
    <row r="3197" spans="1:19" ht="30" customHeight="1" x14ac:dyDescent="0.25">
      <c r="A3197" s="365"/>
      <c r="B3197" s="365"/>
      <c r="C3197" s="366"/>
      <c r="D3197" s="366"/>
      <c r="E3197" s="366"/>
      <c r="F3197" s="366"/>
      <c r="G3197" s="580" t="s">
        <v>306</v>
      </c>
      <c r="H3197" s="366"/>
      <c r="I3197" s="366"/>
      <c r="J3197" s="521">
        <f>VLOOKUP(B3190,'Mil Cost Premiums for PUCs'!$A$4:$R$277,18,FALSE)</f>
        <v>1.0209999999999999</v>
      </c>
      <c r="K3197" s="246">
        <f>+K3196*J3197</f>
        <v>36749.476944444446</v>
      </c>
      <c r="L3197" s="365" t="s">
        <v>76</v>
      </c>
      <c r="M3197" s="54"/>
      <c r="N3197" s="54"/>
      <c r="O3197" s="336"/>
      <c r="P3197" s="334"/>
      <c r="Q3197" s="335"/>
      <c r="R3197" s="336"/>
      <c r="S3197" s="337"/>
    </row>
    <row r="3198" spans="1:19" ht="30" customHeight="1" thickBot="1" x14ac:dyDescent="0.3">
      <c r="A3198" s="835"/>
      <c r="B3198" s="835"/>
      <c r="C3198" s="840"/>
      <c r="D3198" s="840"/>
      <c r="E3198" s="850"/>
      <c r="F3198" s="1278" t="s">
        <v>1148</v>
      </c>
      <c r="G3198" s="1278"/>
      <c r="H3198" s="1278"/>
      <c r="I3198" s="1278"/>
      <c r="J3198" s="845">
        <v>1.0833999999999999</v>
      </c>
      <c r="K3198" s="544">
        <f>K3197*J3198</f>
        <v>39814.383321611109</v>
      </c>
      <c r="L3198" s="365" t="s">
        <v>76</v>
      </c>
      <c r="N3198" s="54"/>
      <c r="O3198" s="336"/>
      <c r="P3198" s="334"/>
      <c r="Q3198" s="335"/>
      <c r="R3198" s="336"/>
      <c r="S3198" s="337"/>
    </row>
    <row r="3199" spans="1:19" ht="30" customHeight="1" thickBot="1" x14ac:dyDescent="0.3">
      <c r="A3199" s="1180"/>
      <c r="B3199" s="1181"/>
      <c r="C3199" s="1181"/>
      <c r="D3199" s="1181"/>
      <c r="E3199" s="1181"/>
      <c r="F3199" s="1181"/>
      <c r="G3199" s="1181"/>
      <c r="H3199" s="1181"/>
      <c r="I3199" s="1181"/>
      <c r="J3199" s="1181"/>
      <c r="K3199" s="1181"/>
      <c r="L3199" s="1182"/>
      <c r="M3199" s="54"/>
      <c r="N3199" s="54"/>
      <c r="O3199" s="336"/>
      <c r="P3199" s="334"/>
      <c r="Q3199" s="335"/>
      <c r="R3199" s="336"/>
      <c r="S3199" s="337"/>
    </row>
    <row r="3200" spans="1:19" ht="30" customHeight="1" x14ac:dyDescent="0.25">
      <c r="A3200" s="327" t="s">
        <v>5</v>
      </c>
      <c r="B3200" s="328">
        <v>7236</v>
      </c>
      <c r="C3200" s="1218" t="s">
        <v>1857</v>
      </c>
      <c r="D3200" s="1219"/>
      <c r="E3200" s="331" t="s">
        <v>8</v>
      </c>
      <c r="F3200" s="332" t="s">
        <v>205</v>
      </c>
      <c r="G3200" s="342" t="s">
        <v>74</v>
      </c>
      <c r="H3200" s="248">
        <v>1503</v>
      </c>
      <c r="I3200" s="331" t="s">
        <v>10</v>
      </c>
      <c r="J3200" s="1220" t="s">
        <v>294</v>
      </c>
      <c r="K3200" s="1220"/>
      <c r="L3200" s="1221"/>
      <c r="M3200" s="54"/>
      <c r="N3200" s="54"/>
      <c r="O3200" s="336"/>
      <c r="P3200" s="334"/>
      <c r="Q3200" s="335"/>
      <c r="R3200" s="336"/>
      <c r="S3200" s="337"/>
    </row>
    <row r="3201" spans="1:19" ht="30" customHeight="1" x14ac:dyDescent="0.25">
      <c r="A3201" s="359" t="s">
        <v>295</v>
      </c>
      <c r="B3201" s="1222" t="s">
        <v>326</v>
      </c>
      <c r="C3201" s="1235"/>
      <c r="D3201" s="1223"/>
      <c r="E3201" s="577" t="s">
        <v>116</v>
      </c>
      <c r="F3201" s="577" t="s">
        <v>117</v>
      </c>
      <c r="G3201" s="1194" t="s">
        <v>118</v>
      </c>
      <c r="H3201" s="1195"/>
      <c r="I3201" s="356" t="s">
        <v>296</v>
      </c>
      <c r="J3201" s="356"/>
      <c r="K3201" s="581" t="s">
        <v>285</v>
      </c>
      <c r="L3201" s="382"/>
      <c r="M3201" s="54"/>
      <c r="N3201" s="54"/>
      <c r="O3201" s="336"/>
      <c r="P3201" s="334"/>
      <c r="Q3201" s="335"/>
      <c r="R3201" s="336"/>
      <c r="S3201" s="337"/>
    </row>
    <row r="3202" spans="1:19" ht="30" customHeight="1" x14ac:dyDescent="0.25">
      <c r="A3202" s="895" t="s">
        <v>1790</v>
      </c>
      <c r="B3202" s="1214" t="s">
        <v>1801</v>
      </c>
      <c r="C3202" s="1215"/>
      <c r="D3202" s="1216"/>
      <c r="E3202" s="247">
        <f>+(8.58+17.25)/2</f>
        <v>12.914999999999999</v>
      </c>
      <c r="F3202" s="396" t="s">
        <v>205</v>
      </c>
      <c r="G3202" s="689"/>
      <c r="H3202" s="690"/>
      <c r="I3202" s="365">
        <v>1.22</v>
      </c>
      <c r="J3202" s="365"/>
      <c r="K3202" s="247">
        <f>+E3202*I3202</f>
        <v>15.756299999999998</v>
      </c>
      <c r="L3202" s="365" t="s">
        <v>205</v>
      </c>
      <c r="M3202" s="54"/>
      <c r="N3202" s="54"/>
      <c r="O3202" s="336"/>
      <c r="P3202" s="334"/>
      <c r="Q3202" s="335"/>
      <c r="R3202" s="336"/>
      <c r="S3202" s="337"/>
    </row>
    <row r="3203" spans="1:19" ht="30" customHeight="1" x14ac:dyDescent="0.25">
      <c r="A3203" s="895" t="s">
        <v>1790</v>
      </c>
      <c r="B3203" s="1209" t="s">
        <v>1802</v>
      </c>
      <c r="C3203" s="1210"/>
      <c r="D3203" s="1211"/>
      <c r="E3203" s="247">
        <f>(6+10.25)/2</f>
        <v>8.125</v>
      </c>
      <c r="F3203" s="396" t="s">
        <v>205</v>
      </c>
      <c r="G3203" s="689"/>
      <c r="H3203" s="690"/>
      <c r="I3203" s="365">
        <v>1.22</v>
      </c>
      <c r="J3203" s="365"/>
      <c r="K3203" s="247">
        <f>+E3203*I3203</f>
        <v>9.9124999999999996</v>
      </c>
      <c r="L3203" s="365"/>
      <c r="M3203" s="111"/>
      <c r="N3203" s="54"/>
      <c r="O3203" s="336"/>
      <c r="P3203" s="334"/>
      <c r="Q3203" s="335"/>
      <c r="R3203" s="336"/>
      <c r="S3203" s="337"/>
    </row>
    <row r="3204" spans="1:19" ht="30" customHeight="1" x14ac:dyDescent="0.25">
      <c r="A3204" s="895"/>
      <c r="B3204" s="1269"/>
      <c r="C3204" s="1269"/>
      <c r="D3204" s="1269"/>
      <c r="E3204" s="247"/>
      <c r="F3204" s="365"/>
      <c r="G3204" s="365"/>
      <c r="H3204" s="365"/>
      <c r="I3204" s="365"/>
      <c r="J3204" s="365" t="s">
        <v>343</v>
      </c>
      <c r="K3204" s="247">
        <f>SUM(K3202:K3203)</f>
        <v>25.668799999999997</v>
      </c>
      <c r="L3204" s="365" t="s">
        <v>205</v>
      </c>
      <c r="M3204" s="54"/>
      <c r="N3204" s="54"/>
      <c r="O3204" s="469"/>
      <c r="P3204" s="334"/>
      <c r="Q3204" s="335"/>
      <c r="R3204" s="336"/>
      <c r="S3204" s="337"/>
    </row>
    <row r="3205" spans="1:19" ht="30" customHeight="1" x14ac:dyDescent="0.25">
      <c r="A3205" s="365"/>
      <c r="B3205" s="578"/>
      <c r="C3205" s="578"/>
      <c r="D3205" s="578"/>
      <c r="E3205" s="247"/>
      <c r="F3205" s="1272" t="s">
        <v>303</v>
      </c>
      <c r="G3205" s="1283" t="s">
        <v>304</v>
      </c>
      <c r="H3205" s="1283"/>
      <c r="I3205" s="1283"/>
      <c r="J3205" s="1283"/>
      <c r="K3205" s="250">
        <v>1.06</v>
      </c>
      <c r="L3205" s="365"/>
      <c r="M3205" s="54"/>
      <c r="N3205" s="54"/>
      <c r="O3205" s="336"/>
      <c r="P3205" s="334"/>
      <c r="Q3205" s="335"/>
      <c r="R3205" s="336"/>
      <c r="S3205" s="337"/>
    </row>
    <row r="3206" spans="1:19" ht="30" customHeight="1" x14ac:dyDescent="0.25">
      <c r="A3206" s="365"/>
      <c r="B3206" s="578"/>
      <c r="C3206" s="578"/>
      <c r="D3206" s="578"/>
      <c r="E3206" s="247"/>
      <c r="F3206" s="1273"/>
      <c r="G3206" s="1284" t="s">
        <v>305</v>
      </c>
      <c r="H3206" s="1284"/>
      <c r="I3206" s="1284"/>
      <c r="J3206" s="1284"/>
      <c r="K3206" s="250">
        <v>1.06</v>
      </c>
      <c r="L3206" s="365"/>
      <c r="M3206" s="54"/>
      <c r="N3206" s="54"/>
      <c r="O3206" s="336"/>
      <c r="P3206" s="334"/>
      <c r="Q3206" s="335"/>
      <c r="R3206" s="336"/>
      <c r="S3206" s="337"/>
    </row>
    <row r="3207" spans="1:19" ht="30" customHeight="1" x14ac:dyDescent="0.25">
      <c r="A3207" s="365"/>
      <c r="B3207" s="365"/>
      <c r="C3207" s="366"/>
      <c r="D3207" s="366"/>
      <c r="E3207" s="366"/>
      <c r="F3207" s="366"/>
      <c r="G3207" s="366"/>
      <c r="H3207" s="366"/>
      <c r="I3207" s="366"/>
      <c r="J3207" s="365" t="s">
        <v>72</v>
      </c>
      <c r="K3207" s="246">
        <f>+K3204*K3205/K3206</f>
        <v>25.668799999999997</v>
      </c>
      <c r="L3207" s="365" t="s">
        <v>205</v>
      </c>
      <c r="M3207" s="54"/>
      <c r="N3207" s="54"/>
      <c r="O3207" s="336"/>
      <c r="P3207" s="334"/>
      <c r="Q3207" s="335"/>
      <c r="R3207" s="336"/>
      <c r="S3207" s="337"/>
    </row>
    <row r="3208" spans="1:19" ht="30" customHeight="1" thickBot="1" x14ac:dyDescent="0.3">
      <c r="A3208" s="369"/>
      <c r="B3208" s="369"/>
      <c r="C3208" s="371"/>
      <c r="D3208" s="371"/>
      <c r="E3208" s="371"/>
      <c r="F3208" s="371"/>
      <c r="G3208" s="791" t="s">
        <v>306</v>
      </c>
      <c r="H3208" s="371"/>
      <c r="I3208" s="371"/>
      <c r="J3208" s="521">
        <f>VLOOKUP(B3200,'Mil Cost Premiums for PUCs'!$A$4:$R$277,18,FALSE)</f>
        <v>1.0905505199999999</v>
      </c>
      <c r="K3208" s="246">
        <f>+K3207*J3208</f>
        <v>27.993123187775993</v>
      </c>
      <c r="L3208" s="369" t="s">
        <v>205</v>
      </c>
      <c r="M3208" s="54"/>
      <c r="N3208" s="54"/>
      <c r="O3208" s="336"/>
      <c r="P3208" s="334"/>
      <c r="Q3208" s="335"/>
      <c r="R3208" s="336"/>
      <c r="S3208" s="337"/>
    </row>
    <row r="3209" spans="1:19" ht="30" customHeight="1" thickBot="1" x14ac:dyDescent="0.3">
      <c r="A3209" s="1180"/>
      <c r="B3209" s="1181"/>
      <c r="C3209" s="1181"/>
      <c r="D3209" s="1181"/>
      <c r="E3209" s="1181"/>
      <c r="F3209" s="1181"/>
      <c r="G3209" s="1181"/>
      <c r="H3209" s="1181"/>
      <c r="I3209" s="1181"/>
      <c r="J3209" s="1181"/>
      <c r="K3209" s="1181"/>
      <c r="L3209" s="1182"/>
      <c r="M3209" s="54"/>
      <c r="N3209" s="54"/>
      <c r="O3209" s="336"/>
      <c r="P3209" s="334"/>
      <c r="Q3209" s="335"/>
      <c r="R3209" s="336"/>
      <c r="S3209" s="337"/>
    </row>
    <row r="3210" spans="1:19" ht="30" customHeight="1" x14ac:dyDescent="0.25">
      <c r="A3210" s="349" t="s">
        <v>5</v>
      </c>
      <c r="B3210" s="350">
        <v>7240</v>
      </c>
      <c r="C3210" s="1165" t="s">
        <v>1858</v>
      </c>
      <c r="D3210" s="1166"/>
      <c r="E3210" s="351" t="s">
        <v>8</v>
      </c>
      <c r="F3210" s="352" t="s">
        <v>205</v>
      </c>
      <c r="G3210" s="353" t="s">
        <v>74</v>
      </c>
      <c r="H3210" s="920">
        <v>14985</v>
      </c>
      <c r="I3210" s="351" t="s">
        <v>10</v>
      </c>
      <c r="J3210" s="1185" t="s">
        <v>1859</v>
      </c>
      <c r="K3210" s="1185"/>
      <c r="L3210" s="1532"/>
      <c r="M3210" s="54"/>
      <c r="N3210" s="54"/>
      <c r="O3210" s="336"/>
      <c r="P3210" s="334"/>
      <c r="Q3210" s="335"/>
      <c r="R3210" s="336"/>
      <c r="S3210" s="337"/>
    </row>
    <row r="3211" spans="1:19" ht="30" customHeight="1" x14ac:dyDescent="0.25">
      <c r="A3211" s="356" t="s">
        <v>282</v>
      </c>
      <c r="B3211" s="1163" t="s">
        <v>13</v>
      </c>
      <c r="C3211" s="1163"/>
      <c r="D3211" s="1163"/>
      <c r="E3211" s="357" t="s">
        <v>283</v>
      </c>
      <c r="F3211" s="546" t="s">
        <v>116</v>
      </c>
      <c r="G3211" s="356"/>
      <c r="H3211" s="356"/>
      <c r="I3211" s="1276" t="s">
        <v>120</v>
      </c>
      <c r="J3211" s="1277"/>
      <c r="K3211" s="1236" t="s">
        <v>285</v>
      </c>
      <c r="L3211" s="1237"/>
      <c r="M3211" s="111"/>
      <c r="N3211" s="54"/>
      <c r="O3211" s="336"/>
      <c r="P3211" s="334"/>
      <c r="Q3211" s="335"/>
      <c r="R3211" s="336"/>
      <c r="S3211" s="337"/>
    </row>
    <row r="3212" spans="1:19" ht="30" customHeight="1" x14ac:dyDescent="0.25">
      <c r="A3212" s="367" t="s">
        <v>286</v>
      </c>
      <c r="B3212" s="1164" t="s">
        <v>3484</v>
      </c>
      <c r="C3212" s="1164"/>
      <c r="D3212" s="1164"/>
      <c r="E3212" s="547">
        <v>97000</v>
      </c>
      <c r="F3212" s="240">
        <v>258</v>
      </c>
      <c r="G3212" s="548"/>
      <c r="H3212" s="549"/>
      <c r="I3212" s="1302">
        <f>+'2022 MILCON Inflation Table'!F13</f>
        <v>1.2561273320332946</v>
      </c>
      <c r="J3212" s="1303"/>
      <c r="K3212" s="240">
        <f>+F3212*I3212</f>
        <v>324.08085166459</v>
      </c>
      <c r="L3212" s="367" t="s">
        <v>205</v>
      </c>
      <c r="M3212" s="54"/>
      <c r="N3212" s="54"/>
      <c r="O3212" s="336"/>
      <c r="P3212" s="334"/>
      <c r="Q3212" s="335"/>
      <c r="R3212" s="336"/>
      <c r="S3212" s="337"/>
    </row>
    <row r="3213" spans="1:19" ht="30" customHeight="1" thickBot="1" x14ac:dyDescent="0.3">
      <c r="A3213" s="369"/>
      <c r="B3213" s="1172"/>
      <c r="C3213" s="1173"/>
      <c r="D3213" s="1174"/>
      <c r="E3213" s="913"/>
      <c r="F3213" s="914"/>
      <c r="G3213" s="914"/>
      <c r="H3213" s="915"/>
      <c r="I3213" s="371"/>
      <c r="J3213" s="358" t="s">
        <v>72</v>
      </c>
      <c r="K3213" s="137">
        <f>+K3212</f>
        <v>324.08085166459</v>
      </c>
      <c r="L3213" s="369" t="s">
        <v>205</v>
      </c>
      <c r="M3213" s="54"/>
      <c r="N3213" s="54"/>
      <c r="O3213" s="336"/>
      <c r="P3213" s="334"/>
      <c r="Q3213" s="335"/>
      <c r="R3213" s="336"/>
      <c r="S3213" s="337"/>
    </row>
    <row r="3214" spans="1:19" ht="30" customHeight="1" thickBot="1" x14ac:dyDescent="0.3">
      <c r="A3214" s="1636"/>
      <c r="B3214" s="1637"/>
      <c r="C3214" s="1637"/>
      <c r="D3214" s="1637"/>
      <c r="E3214" s="1637"/>
      <c r="F3214" s="1637"/>
      <c r="G3214" s="1637"/>
      <c r="H3214" s="1637"/>
      <c r="I3214" s="1637"/>
      <c r="J3214" s="1637"/>
      <c r="K3214" s="1637"/>
      <c r="L3214" s="1638"/>
      <c r="M3214" s="54"/>
      <c r="O3214" s="336"/>
      <c r="P3214" s="334"/>
      <c r="Q3214" s="335"/>
      <c r="R3214" s="336"/>
      <c r="S3214" s="337"/>
    </row>
    <row r="3215" spans="1:19" ht="30" customHeight="1" x14ac:dyDescent="0.25">
      <c r="A3215" s="349" t="s">
        <v>5</v>
      </c>
      <c r="B3215" s="350">
        <v>7241</v>
      </c>
      <c r="C3215" s="1165" t="s">
        <v>1860</v>
      </c>
      <c r="D3215" s="1166"/>
      <c r="E3215" s="351" t="s">
        <v>8</v>
      </c>
      <c r="F3215" s="352" t="s">
        <v>205</v>
      </c>
      <c r="G3215" s="353" t="s">
        <v>74</v>
      </c>
      <c r="H3215" s="77">
        <v>11459</v>
      </c>
      <c r="I3215" s="924" t="s">
        <v>10</v>
      </c>
      <c r="J3215" s="1579" t="s">
        <v>1859</v>
      </c>
      <c r="K3215" s="1579"/>
      <c r="L3215" s="1579"/>
      <c r="M3215" s="54"/>
      <c r="N3215" s="54"/>
      <c r="O3215" s="336"/>
      <c r="P3215" s="334"/>
      <c r="Q3215" s="335"/>
      <c r="R3215" s="336"/>
      <c r="S3215" s="337"/>
    </row>
    <row r="3216" spans="1:19" ht="30" customHeight="1" x14ac:dyDescent="0.25">
      <c r="A3216" s="356" t="s">
        <v>282</v>
      </c>
      <c r="B3216" s="1163" t="s">
        <v>13</v>
      </c>
      <c r="C3216" s="1163"/>
      <c r="D3216" s="1163"/>
      <c r="E3216" s="357" t="s">
        <v>283</v>
      </c>
      <c r="F3216" s="546" t="s">
        <v>116</v>
      </c>
      <c r="G3216" s="356"/>
      <c r="H3216" s="828"/>
      <c r="I3216" s="1578" t="s">
        <v>120</v>
      </c>
      <c r="J3216" s="1578"/>
      <c r="K3216" s="1635" t="s">
        <v>285</v>
      </c>
      <c r="L3216" s="1635"/>
      <c r="M3216" s="54"/>
      <c r="N3216" s="54"/>
      <c r="O3216" s="336"/>
      <c r="P3216" s="334"/>
      <c r="Q3216" s="335"/>
      <c r="R3216" s="336"/>
      <c r="S3216" s="337"/>
    </row>
    <row r="3217" spans="1:19" ht="30" customHeight="1" x14ac:dyDescent="0.25">
      <c r="A3217" s="367" t="s">
        <v>286</v>
      </c>
      <c r="B3217" s="1164" t="s">
        <v>3484</v>
      </c>
      <c r="C3217" s="1164"/>
      <c r="D3217" s="1164"/>
      <c r="E3217" s="547">
        <v>97000</v>
      </c>
      <c r="F3217" s="240">
        <v>258</v>
      </c>
      <c r="G3217" s="548"/>
      <c r="H3217" s="925"/>
      <c r="I3217" s="1577">
        <f>+'2022 MILCON Inflation Table'!F13</f>
        <v>1.2561273320332946</v>
      </c>
      <c r="J3217" s="1577"/>
      <c r="K3217" s="926">
        <f>+F3217*I3217</f>
        <v>324.08085166459</v>
      </c>
      <c r="L3217" s="603" t="s">
        <v>205</v>
      </c>
      <c r="M3217" s="54"/>
      <c r="N3217" s="54"/>
      <c r="O3217" s="336"/>
      <c r="P3217" s="334"/>
      <c r="Q3217" s="335"/>
      <c r="R3217" s="336"/>
      <c r="S3217" s="337"/>
    </row>
    <row r="3218" spans="1:19" ht="30" customHeight="1" thickBot="1" x14ac:dyDescent="0.3">
      <c r="A3218" s="365"/>
      <c r="B3218" s="1281"/>
      <c r="C3218" s="1281"/>
      <c r="D3218" s="1281"/>
      <c r="E3218" s="550"/>
      <c r="F3218" s="551"/>
      <c r="G3218" s="551"/>
      <c r="H3218" s="552"/>
      <c r="I3218" s="380"/>
      <c r="J3218" s="577" t="s">
        <v>72</v>
      </c>
      <c r="K3218" s="224">
        <f>+K3217</f>
        <v>324.08085166459</v>
      </c>
      <c r="L3218" s="396" t="s">
        <v>205</v>
      </c>
      <c r="M3218" s="54"/>
      <c r="N3218" s="54"/>
      <c r="O3218" s="336"/>
      <c r="P3218" s="334"/>
      <c r="Q3218" s="335"/>
      <c r="R3218" s="336"/>
      <c r="S3218" s="337"/>
    </row>
    <row r="3219" spans="1:19" ht="30" customHeight="1" thickBot="1" x14ac:dyDescent="0.3">
      <c r="A3219" s="1308"/>
      <c r="B3219" s="1309"/>
      <c r="C3219" s="1309"/>
      <c r="D3219" s="1309"/>
      <c r="E3219" s="1309"/>
      <c r="F3219" s="1309"/>
      <c r="G3219" s="1309"/>
      <c r="H3219" s="1309"/>
      <c r="I3219" s="1309"/>
      <c r="J3219" s="1309"/>
      <c r="K3219" s="1309"/>
      <c r="L3219" s="1310"/>
      <c r="M3219" s="54"/>
      <c r="N3219" s="54"/>
      <c r="O3219" s="336"/>
      <c r="P3219" s="334"/>
      <c r="Q3219" s="335"/>
      <c r="R3219" s="336"/>
      <c r="S3219" s="337"/>
    </row>
    <row r="3220" spans="1:19" ht="30" customHeight="1" x14ac:dyDescent="0.25">
      <c r="A3220" s="349" t="s">
        <v>5</v>
      </c>
      <c r="B3220" s="350">
        <v>7242</v>
      </c>
      <c r="C3220" s="1165" t="s">
        <v>1861</v>
      </c>
      <c r="D3220" s="1166"/>
      <c r="E3220" s="351" t="s">
        <v>8</v>
      </c>
      <c r="F3220" s="352" t="s">
        <v>205</v>
      </c>
      <c r="G3220" s="353" t="s">
        <v>74</v>
      </c>
      <c r="H3220" s="743">
        <v>64243</v>
      </c>
      <c r="I3220" s="351" t="s">
        <v>10</v>
      </c>
      <c r="J3220" s="1220" t="s">
        <v>3388</v>
      </c>
      <c r="K3220" s="1220"/>
      <c r="L3220" s="1221"/>
      <c r="M3220" s="54"/>
      <c r="N3220" s="54"/>
      <c r="O3220" s="336"/>
      <c r="P3220" s="334"/>
      <c r="Q3220" s="335"/>
      <c r="R3220" s="336"/>
      <c r="S3220" s="337"/>
    </row>
    <row r="3221" spans="1:19" ht="30" customHeight="1" x14ac:dyDescent="0.25">
      <c r="A3221" s="359" t="s">
        <v>295</v>
      </c>
      <c r="B3221" s="1222" t="s">
        <v>326</v>
      </c>
      <c r="C3221" s="1235"/>
      <c r="D3221" s="1223"/>
      <c r="E3221" s="577" t="s">
        <v>116</v>
      </c>
      <c r="F3221" s="577" t="s">
        <v>117</v>
      </c>
      <c r="G3221" s="1194" t="s">
        <v>118</v>
      </c>
      <c r="H3221" s="1195"/>
      <c r="I3221" s="356" t="s">
        <v>296</v>
      </c>
      <c r="J3221" s="356"/>
      <c r="K3221" s="1236" t="s">
        <v>285</v>
      </c>
      <c r="L3221" s="1237"/>
      <c r="M3221" s="54"/>
      <c r="N3221" s="54"/>
      <c r="O3221" s="336"/>
      <c r="P3221" s="334"/>
      <c r="Q3221" s="335"/>
      <c r="R3221" s="336"/>
      <c r="S3221" s="337"/>
    </row>
    <row r="3222" spans="1:19" ht="30" customHeight="1" x14ac:dyDescent="0.25">
      <c r="A3222" s="927" t="s">
        <v>1832</v>
      </c>
      <c r="B3222" s="1269" t="s">
        <v>1862</v>
      </c>
      <c r="C3222" s="1269"/>
      <c r="D3222" s="1269"/>
      <c r="E3222" s="247">
        <v>158</v>
      </c>
      <c r="F3222" s="365" t="s">
        <v>205</v>
      </c>
      <c r="G3222" s="365"/>
      <c r="H3222" s="365"/>
      <c r="I3222" s="706">
        <v>1.05</v>
      </c>
      <c r="J3222" s="706"/>
      <c r="K3222" s="247">
        <f>+E3222*I3222</f>
        <v>165.9</v>
      </c>
      <c r="L3222" s="365" t="s">
        <v>205</v>
      </c>
      <c r="M3222" s="54"/>
      <c r="N3222" s="54"/>
      <c r="O3222" s="336"/>
      <c r="P3222" s="334"/>
      <c r="Q3222" s="335"/>
      <c r="R3222" s="336"/>
      <c r="S3222" s="337"/>
    </row>
    <row r="3223" spans="1:19" ht="30" customHeight="1" x14ac:dyDescent="0.25">
      <c r="A3223" s="895" t="s">
        <v>1714</v>
      </c>
      <c r="B3223" s="1214" t="s">
        <v>1863</v>
      </c>
      <c r="C3223" s="1215"/>
      <c r="D3223" s="1215"/>
      <c r="E3223" s="247">
        <v>3.06</v>
      </c>
      <c r="F3223" s="365" t="s">
        <v>205</v>
      </c>
      <c r="G3223" s="366"/>
      <c r="H3223" s="662"/>
      <c r="I3223" s="706">
        <v>1.05</v>
      </c>
      <c r="J3223" s="706"/>
      <c r="K3223" s="247">
        <f>+E3223*I3223</f>
        <v>3.2130000000000001</v>
      </c>
      <c r="L3223" s="365" t="s">
        <v>205</v>
      </c>
      <c r="M3223" s="54"/>
      <c r="N3223" s="54"/>
      <c r="O3223" s="336"/>
      <c r="P3223" s="334"/>
      <c r="Q3223" s="335"/>
      <c r="R3223" s="336"/>
      <c r="S3223" s="337"/>
    </row>
    <row r="3224" spans="1:19" ht="30" customHeight="1" x14ac:dyDescent="0.25">
      <c r="A3224" s="365"/>
      <c r="B3224" s="1281"/>
      <c r="C3224" s="1281"/>
      <c r="D3224" s="1281"/>
      <c r="E3224" s="247"/>
      <c r="F3224" s="365"/>
      <c r="G3224" s="366"/>
      <c r="H3224" s="662"/>
      <c r="I3224" s="365"/>
      <c r="J3224" s="365" t="s">
        <v>343</v>
      </c>
      <c r="K3224" s="247">
        <f>SUM(K3222:K3223)</f>
        <v>169.113</v>
      </c>
      <c r="L3224" s="365" t="s">
        <v>205</v>
      </c>
      <c r="M3224" s="54"/>
      <c r="N3224" s="54"/>
      <c r="O3224" s="336"/>
      <c r="P3224" s="334"/>
      <c r="Q3224" s="335"/>
      <c r="R3224" s="336"/>
      <c r="S3224" s="337"/>
    </row>
    <row r="3225" spans="1:19" ht="30" customHeight="1" x14ac:dyDescent="0.25">
      <c r="A3225" s="365"/>
      <c r="B3225" s="578"/>
      <c r="C3225" s="578"/>
      <c r="D3225" s="578"/>
      <c r="E3225" s="247"/>
      <c r="F3225" s="1272" t="s">
        <v>303</v>
      </c>
      <c r="G3225" s="1283" t="s">
        <v>304</v>
      </c>
      <c r="H3225" s="1283"/>
      <c r="I3225" s="1283"/>
      <c r="J3225" s="1283"/>
      <c r="K3225" s="250">
        <v>1.07</v>
      </c>
      <c r="L3225" s="365"/>
      <c r="M3225" s="54"/>
      <c r="O3225" s="336"/>
      <c r="P3225" s="334"/>
      <c r="Q3225" s="335"/>
      <c r="R3225" s="336"/>
      <c r="S3225" s="337"/>
    </row>
    <row r="3226" spans="1:19" ht="30" customHeight="1" x14ac:dyDescent="0.25">
      <c r="A3226" s="365"/>
      <c r="B3226" s="578"/>
      <c r="C3226" s="578"/>
      <c r="D3226" s="578"/>
      <c r="E3226" s="247"/>
      <c r="F3226" s="1273"/>
      <c r="G3226" s="1284" t="s">
        <v>438</v>
      </c>
      <c r="H3226" s="1284"/>
      <c r="I3226" s="1284"/>
      <c r="J3226" s="1284"/>
      <c r="K3226" s="250">
        <v>1.08</v>
      </c>
      <c r="L3226" s="365"/>
      <c r="M3226" s="54"/>
      <c r="N3226" s="54"/>
      <c r="O3226" s="336"/>
      <c r="P3226" s="334"/>
      <c r="Q3226" s="335"/>
      <c r="R3226" s="336"/>
      <c r="S3226" s="337"/>
    </row>
    <row r="3227" spans="1:19" ht="30" customHeight="1" x14ac:dyDescent="0.25">
      <c r="A3227" s="365"/>
      <c r="B3227" s="365"/>
      <c r="C3227" s="366"/>
      <c r="D3227" s="366"/>
      <c r="E3227" s="366"/>
      <c r="F3227" s="366"/>
      <c r="G3227" s="366"/>
      <c r="H3227" s="366"/>
      <c r="I3227" s="366"/>
      <c r="J3227" s="366" t="s">
        <v>72</v>
      </c>
      <c r="K3227" s="246">
        <f>+K3224*K3225/K3226</f>
        <v>167.5471388888889</v>
      </c>
      <c r="L3227" s="365" t="s">
        <v>205</v>
      </c>
      <c r="M3227" s="54"/>
      <c r="N3227" s="54"/>
      <c r="O3227" s="336"/>
      <c r="P3227" s="334"/>
      <c r="Q3227" s="335"/>
      <c r="R3227" s="336"/>
      <c r="S3227" s="337"/>
    </row>
    <row r="3228" spans="1:19" ht="30" customHeight="1" x14ac:dyDescent="0.25">
      <c r="A3228" s="365"/>
      <c r="B3228" s="365"/>
      <c r="C3228" s="366"/>
      <c r="D3228" s="366"/>
      <c r="E3228" s="366"/>
      <c r="F3228" s="366"/>
      <c r="G3228" s="580" t="s">
        <v>306</v>
      </c>
      <c r="H3228" s="366"/>
      <c r="I3228" s="366"/>
      <c r="J3228" s="521">
        <f>VLOOKUP(B3220,'Mil Cost Premiums for PUCs'!$A$4:$R$277,18,FALSE)</f>
        <v>1.3319480854780448</v>
      </c>
      <c r="K3228" s="246">
        <f>+K3227*J3228</f>
        <v>223.16409087037962</v>
      </c>
      <c r="L3228" s="365" t="s">
        <v>205</v>
      </c>
      <c r="M3228" s="54"/>
      <c r="N3228" s="54"/>
      <c r="O3228" s="336"/>
      <c r="P3228" s="334"/>
      <c r="Q3228" s="335"/>
      <c r="R3228" s="336"/>
      <c r="S3228" s="337"/>
    </row>
    <row r="3229" spans="1:19" ht="30" customHeight="1" thickBot="1" x14ac:dyDescent="0.3">
      <c r="A3229" s="835"/>
      <c r="B3229" s="835"/>
      <c r="C3229" s="840"/>
      <c r="D3229" s="840"/>
      <c r="E3229" s="850"/>
      <c r="F3229" s="1278" t="s">
        <v>1148</v>
      </c>
      <c r="G3229" s="1278"/>
      <c r="H3229" s="1278"/>
      <c r="I3229" s="1278"/>
      <c r="J3229" s="845">
        <v>1.0833999999999999</v>
      </c>
      <c r="K3229" s="544">
        <f>K3228*J3229</f>
        <v>241.77597604896926</v>
      </c>
      <c r="L3229" s="365" t="s">
        <v>205</v>
      </c>
      <c r="N3229" s="54"/>
      <c r="O3229" s="336"/>
      <c r="P3229" s="334"/>
      <c r="Q3229" s="335"/>
      <c r="R3229" s="336"/>
      <c r="S3229" s="337"/>
    </row>
    <row r="3230" spans="1:19" ht="30" customHeight="1" thickBot="1" x14ac:dyDescent="0.3">
      <c r="A3230" s="807"/>
      <c r="B3230" s="1181"/>
      <c r="C3230" s="1181"/>
      <c r="D3230" s="1181"/>
      <c r="E3230" s="1181"/>
      <c r="F3230" s="1181"/>
      <c r="G3230" s="1181"/>
      <c r="H3230" s="1181"/>
      <c r="I3230" s="1181"/>
      <c r="J3230" s="1181"/>
      <c r="K3230" s="1181"/>
      <c r="L3230" s="1182"/>
      <c r="M3230" s="54"/>
      <c r="N3230" s="54"/>
      <c r="O3230" s="336"/>
      <c r="P3230" s="334"/>
      <c r="Q3230" s="335"/>
      <c r="R3230" s="336"/>
      <c r="S3230" s="337"/>
    </row>
    <row r="3231" spans="1:19" ht="30" customHeight="1" x14ac:dyDescent="0.25">
      <c r="A3231" s="327" t="s">
        <v>5</v>
      </c>
      <c r="B3231" s="328">
        <v>7250</v>
      </c>
      <c r="C3231" s="1218" t="s">
        <v>1864</v>
      </c>
      <c r="D3231" s="1219"/>
      <c r="E3231" s="331" t="s">
        <v>8</v>
      </c>
      <c r="F3231" s="332" t="s">
        <v>205</v>
      </c>
      <c r="G3231" s="342" t="s">
        <v>74</v>
      </c>
      <c r="H3231" s="653">
        <v>2383</v>
      </c>
      <c r="I3231" s="331" t="s">
        <v>10</v>
      </c>
      <c r="J3231" s="1220" t="s">
        <v>3388</v>
      </c>
      <c r="K3231" s="1220"/>
      <c r="L3231" s="1221"/>
      <c r="M3231" s="54"/>
      <c r="N3231" s="54"/>
      <c r="O3231" s="336"/>
      <c r="P3231" s="334"/>
      <c r="Q3231" s="335"/>
      <c r="R3231" s="336"/>
      <c r="S3231" s="337"/>
    </row>
    <row r="3232" spans="1:19" ht="30" customHeight="1" x14ac:dyDescent="0.25">
      <c r="A3232" s="359" t="s">
        <v>295</v>
      </c>
      <c r="B3232" s="1222" t="s">
        <v>326</v>
      </c>
      <c r="C3232" s="1235"/>
      <c r="D3232" s="1223"/>
      <c r="E3232" s="577" t="s">
        <v>116</v>
      </c>
      <c r="F3232" s="577" t="s">
        <v>117</v>
      </c>
      <c r="G3232" s="1194" t="s">
        <v>118</v>
      </c>
      <c r="H3232" s="1195"/>
      <c r="I3232" s="356" t="s">
        <v>296</v>
      </c>
      <c r="J3232" s="356"/>
      <c r="K3232" s="1236" t="s">
        <v>285</v>
      </c>
      <c r="L3232" s="1237"/>
      <c r="M3232" s="54"/>
      <c r="N3232" s="54"/>
      <c r="O3232" s="867"/>
      <c r="P3232" s="334"/>
      <c r="Q3232" s="335"/>
      <c r="R3232" s="336"/>
      <c r="S3232" s="337"/>
    </row>
    <row r="3233" spans="1:19" ht="30" customHeight="1" x14ac:dyDescent="0.25">
      <c r="A3233" s="755" t="s">
        <v>1865</v>
      </c>
      <c r="B3233" s="1214" t="s">
        <v>1866</v>
      </c>
      <c r="C3233" s="1215"/>
      <c r="D3233" s="1216"/>
      <c r="E3233" s="247">
        <v>82</v>
      </c>
      <c r="F3233" s="396" t="s">
        <v>205</v>
      </c>
      <c r="G3233" s="689"/>
      <c r="H3233" s="690"/>
      <c r="I3233" s="365">
        <v>1.02</v>
      </c>
      <c r="J3233" s="365"/>
      <c r="K3233" s="247">
        <f>+E3233*I3233</f>
        <v>83.64</v>
      </c>
      <c r="L3233" s="365" t="s">
        <v>205</v>
      </c>
      <c r="M3233" s="111"/>
      <c r="N3233" s="54"/>
      <c r="O3233" s="867"/>
      <c r="P3233" s="334"/>
      <c r="Q3233" s="335"/>
      <c r="R3233" s="336"/>
      <c r="S3233" s="337"/>
    </row>
    <row r="3234" spans="1:19" ht="30" customHeight="1" x14ac:dyDescent="0.25">
      <c r="A3234" s="927" t="s">
        <v>1867</v>
      </c>
      <c r="B3234" s="1214" t="s">
        <v>1868</v>
      </c>
      <c r="C3234" s="1215"/>
      <c r="D3234" s="1215"/>
      <c r="E3234" s="247">
        <v>4.38</v>
      </c>
      <c r="F3234" s="396" t="s">
        <v>205</v>
      </c>
      <c r="G3234" s="689"/>
      <c r="H3234" s="690"/>
      <c r="I3234" s="365">
        <v>1.02</v>
      </c>
      <c r="J3234" s="365"/>
      <c r="K3234" s="247">
        <f>+E3234*I3234</f>
        <v>4.4676</v>
      </c>
      <c r="L3234" s="365" t="s">
        <v>205</v>
      </c>
      <c r="M3234" s="54"/>
      <c r="N3234" s="54"/>
      <c r="P3234" s="334"/>
      <c r="Q3234" s="335"/>
      <c r="R3234" s="336"/>
      <c r="S3234" s="337"/>
    </row>
    <row r="3235" spans="1:19" ht="30" customHeight="1" x14ac:dyDescent="0.25">
      <c r="A3235" s="895"/>
      <c r="B3235" s="1269"/>
      <c r="C3235" s="1269"/>
      <c r="D3235" s="1269"/>
      <c r="E3235" s="247"/>
      <c r="F3235" s="365"/>
      <c r="G3235" s="365"/>
      <c r="H3235" s="365"/>
      <c r="I3235" s="365"/>
      <c r="J3235" s="365" t="s">
        <v>343</v>
      </c>
      <c r="K3235" s="247">
        <f>SUM(K3233:K3234)</f>
        <v>88.107600000000005</v>
      </c>
      <c r="L3235" s="365" t="s">
        <v>205</v>
      </c>
      <c r="M3235" s="54"/>
      <c r="N3235" s="54"/>
      <c r="P3235" s="334"/>
      <c r="Q3235" s="335"/>
      <c r="R3235" s="336"/>
      <c r="S3235" s="337"/>
    </row>
    <row r="3236" spans="1:19" ht="30" customHeight="1" x14ac:dyDescent="0.25">
      <c r="A3236" s="365"/>
      <c r="B3236" s="578"/>
      <c r="C3236" s="578"/>
      <c r="D3236" s="578"/>
      <c r="E3236" s="247"/>
      <c r="F3236" s="1272" t="s">
        <v>303</v>
      </c>
      <c r="G3236" s="1283" t="s">
        <v>304</v>
      </c>
      <c r="H3236" s="1283"/>
      <c r="I3236" s="1283"/>
      <c r="J3236" s="1283"/>
      <c r="K3236" s="250">
        <v>1.07</v>
      </c>
      <c r="L3236" s="365"/>
      <c r="M3236" s="54"/>
      <c r="N3236" s="54"/>
      <c r="O3236" s="336"/>
      <c r="P3236" s="334"/>
      <c r="Q3236" s="335"/>
      <c r="R3236" s="336"/>
      <c r="S3236" s="337"/>
    </row>
    <row r="3237" spans="1:19" ht="30" customHeight="1" x14ac:dyDescent="0.25">
      <c r="A3237" s="365"/>
      <c r="B3237" s="578"/>
      <c r="C3237" s="578"/>
      <c r="D3237" s="578"/>
      <c r="E3237" s="247"/>
      <c r="F3237" s="1273"/>
      <c r="G3237" s="1284" t="s">
        <v>438</v>
      </c>
      <c r="H3237" s="1284"/>
      <c r="I3237" s="1284"/>
      <c r="J3237" s="1284"/>
      <c r="K3237" s="250">
        <v>1.08</v>
      </c>
      <c r="L3237" s="365"/>
      <c r="M3237" s="54"/>
      <c r="N3237" s="54"/>
      <c r="O3237" s="336"/>
      <c r="P3237" s="334"/>
      <c r="Q3237" s="335"/>
      <c r="R3237" s="336"/>
      <c r="S3237" s="337"/>
    </row>
    <row r="3238" spans="1:19" ht="30" customHeight="1" x14ac:dyDescent="0.25">
      <c r="A3238" s="365"/>
      <c r="B3238" s="365"/>
      <c r="C3238" s="366"/>
      <c r="D3238" s="366"/>
      <c r="E3238" s="366"/>
      <c r="F3238" s="366"/>
      <c r="G3238" s="366"/>
      <c r="H3238" s="366"/>
      <c r="I3238" s="366"/>
      <c r="J3238" s="366" t="s">
        <v>72</v>
      </c>
      <c r="K3238" s="246">
        <f>+K3235*K3236/K3237</f>
        <v>87.291788888888902</v>
      </c>
      <c r="L3238" s="365" t="s">
        <v>205</v>
      </c>
      <c r="M3238" s="54"/>
      <c r="N3238" s="54"/>
      <c r="O3238" s="336"/>
      <c r="P3238" s="334"/>
      <c r="Q3238" s="335"/>
      <c r="R3238" s="336"/>
      <c r="S3238" s="337"/>
    </row>
    <row r="3239" spans="1:19" ht="30" customHeight="1" x14ac:dyDescent="0.25">
      <c r="A3239" s="365"/>
      <c r="B3239" s="365"/>
      <c r="C3239" s="366"/>
      <c r="D3239" s="366"/>
      <c r="E3239" s="366"/>
      <c r="F3239" s="366"/>
      <c r="G3239" s="580" t="s">
        <v>306</v>
      </c>
      <c r="H3239" s="366"/>
      <c r="I3239" s="366"/>
      <c r="J3239" s="521">
        <f>VLOOKUP(B3231,'Mil Cost Premiums for PUCs'!$A$4:$R$277,18,FALSE)</f>
        <v>1.3319480854780448</v>
      </c>
      <c r="K3239" s="246">
        <f>+K3238*J3239</f>
        <v>116.26813108850924</v>
      </c>
      <c r="L3239" s="365" t="s">
        <v>205</v>
      </c>
      <c r="M3239" s="54"/>
      <c r="N3239" s="54"/>
      <c r="O3239" s="336"/>
      <c r="P3239" s="334"/>
      <c r="Q3239" s="335"/>
      <c r="R3239" s="336"/>
      <c r="S3239" s="337"/>
    </row>
    <row r="3240" spans="1:19" ht="30" customHeight="1" thickBot="1" x14ac:dyDescent="0.3">
      <c r="A3240" s="835"/>
      <c r="B3240" s="835"/>
      <c r="C3240" s="840"/>
      <c r="D3240" s="840"/>
      <c r="E3240" s="850"/>
      <c r="F3240" s="1278" t="s">
        <v>1148</v>
      </c>
      <c r="G3240" s="1278"/>
      <c r="H3240" s="1278"/>
      <c r="I3240" s="1278"/>
      <c r="J3240" s="845">
        <v>1.0833999999999999</v>
      </c>
      <c r="K3240" s="544">
        <f>K3239*J3240</f>
        <v>125.96489322129089</v>
      </c>
      <c r="L3240" s="365" t="s">
        <v>205</v>
      </c>
      <c r="N3240" s="54"/>
      <c r="O3240" s="336"/>
      <c r="P3240" s="334"/>
      <c r="Q3240" s="335"/>
      <c r="R3240" s="336"/>
      <c r="S3240" s="337"/>
    </row>
    <row r="3241" spans="1:19" ht="30" customHeight="1" thickBot="1" x14ac:dyDescent="0.3">
      <c r="A3241" s="1180"/>
      <c r="B3241" s="1181"/>
      <c r="C3241" s="1181"/>
      <c r="D3241" s="1181"/>
      <c r="E3241" s="1181"/>
      <c r="F3241" s="1181"/>
      <c r="G3241" s="1181"/>
      <c r="H3241" s="1181"/>
      <c r="I3241" s="1181"/>
      <c r="J3241" s="1181"/>
      <c r="K3241" s="1181"/>
      <c r="L3241" s="1182"/>
      <c r="M3241" s="54"/>
      <c r="N3241" s="54"/>
      <c r="O3241" s="839"/>
      <c r="P3241" s="334"/>
      <c r="Q3241" s="335"/>
      <c r="R3241" s="336"/>
      <c r="S3241" s="337"/>
    </row>
    <row r="3242" spans="1:19" ht="30" customHeight="1" x14ac:dyDescent="0.25">
      <c r="A3242" s="327" t="s">
        <v>5</v>
      </c>
      <c r="B3242" s="328">
        <v>7251</v>
      </c>
      <c r="C3242" s="1218" t="s">
        <v>1869</v>
      </c>
      <c r="D3242" s="1219"/>
      <c r="E3242" s="331" t="s">
        <v>8</v>
      </c>
      <c r="F3242" s="332" t="s">
        <v>205</v>
      </c>
      <c r="G3242" s="342" t="s">
        <v>74</v>
      </c>
      <c r="H3242" s="160">
        <v>1719</v>
      </c>
      <c r="I3242" s="331" t="s">
        <v>10</v>
      </c>
      <c r="J3242" s="1220" t="s">
        <v>382</v>
      </c>
      <c r="K3242" s="1220"/>
      <c r="L3242" s="1221"/>
      <c r="M3242" s="111"/>
      <c r="N3242" s="54"/>
      <c r="O3242" s="839"/>
      <c r="P3242" s="334"/>
      <c r="Q3242" s="335"/>
      <c r="R3242" s="336"/>
      <c r="S3242" s="337"/>
    </row>
    <row r="3243" spans="1:19" ht="30" customHeight="1" x14ac:dyDescent="0.25">
      <c r="A3243" s="356" t="s">
        <v>282</v>
      </c>
      <c r="B3243" s="1163" t="s">
        <v>13</v>
      </c>
      <c r="C3243" s="1163"/>
      <c r="D3243" s="1163"/>
      <c r="E3243" s="546" t="s">
        <v>116</v>
      </c>
      <c r="F3243" s="356" t="s">
        <v>15</v>
      </c>
      <c r="G3243" s="1314" t="s">
        <v>118</v>
      </c>
      <c r="H3243" s="1315"/>
      <c r="I3243" s="1276" t="s">
        <v>1870</v>
      </c>
      <c r="J3243" s="1277"/>
      <c r="K3243" s="1236" t="s">
        <v>285</v>
      </c>
      <c r="L3243" s="1237"/>
      <c r="M3243" s="54"/>
      <c r="N3243" s="54"/>
      <c r="O3243" s="336"/>
      <c r="P3243" s="334"/>
      <c r="Q3243" s="335"/>
      <c r="R3243" s="336"/>
      <c r="S3243" s="337"/>
    </row>
    <row r="3244" spans="1:19" ht="30" customHeight="1" x14ac:dyDescent="0.25">
      <c r="A3244" s="365">
        <v>93210</v>
      </c>
      <c r="B3244" s="1209" t="s">
        <v>1871</v>
      </c>
      <c r="C3244" s="1210"/>
      <c r="D3244" s="1211"/>
      <c r="E3244" s="247">
        <v>3</v>
      </c>
      <c r="F3244" s="257" t="s">
        <v>9</v>
      </c>
      <c r="G3244" s="341">
        <v>9</v>
      </c>
      <c r="H3244" s="367" t="s">
        <v>1872</v>
      </c>
      <c r="I3244" s="1416">
        <v>0.9405</v>
      </c>
      <c r="J3244" s="1417"/>
      <c r="K3244" s="242">
        <f>+E3244/G3244*I3244</f>
        <v>0.3135</v>
      </c>
      <c r="L3244" s="367" t="s">
        <v>205</v>
      </c>
      <c r="M3244" s="54"/>
      <c r="N3244" s="54"/>
      <c r="O3244" s="336"/>
      <c r="P3244" s="334"/>
      <c r="Q3244" s="335"/>
      <c r="R3244" s="336"/>
      <c r="S3244" s="337"/>
    </row>
    <row r="3245" spans="1:19" ht="30" customHeight="1" x14ac:dyDescent="0.25">
      <c r="A3245" s="365">
        <v>93210</v>
      </c>
      <c r="B3245" s="1281" t="s">
        <v>1873</v>
      </c>
      <c r="C3245" s="1281"/>
      <c r="D3245" s="1281"/>
      <c r="E3245" s="247">
        <v>2.4</v>
      </c>
      <c r="F3245" s="257" t="s">
        <v>9</v>
      </c>
      <c r="G3245" s="341">
        <v>9</v>
      </c>
      <c r="H3245" s="367" t="s">
        <v>1872</v>
      </c>
      <c r="I3245" s="1416">
        <v>0.9405</v>
      </c>
      <c r="J3245" s="1417"/>
      <c r="K3245" s="242">
        <f>+E3245/G3245*I3245</f>
        <v>0.25080000000000002</v>
      </c>
      <c r="L3245" s="367" t="s">
        <v>205</v>
      </c>
      <c r="M3245" s="54"/>
      <c r="N3245" s="54"/>
      <c r="O3245" s="336"/>
      <c r="P3245" s="334"/>
      <c r="Q3245" s="335"/>
      <c r="R3245" s="336"/>
      <c r="S3245" s="337"/>
    </row>
    <row r="3246" spans="1:19" ht="30" customHeight="1" x14ac:dyDescent="0.25">
      <c r="A3246" s="365">
        <v>85110</v>
      </c>
      <c r="B3246" s="1214" t="s">
        <v>1874</v>
      </c>
      <c r="C3246" s="1215"/>
      <c r="D3246" s="1216"/>
      <c r="E3246" s="247">
        <v>10.3</v>
      </c>
      <c r="F3246" s="257" t="s">
        <v>9</v>
      </c>
      <c r="G3246" s="341">
        <v>9</v>
      </c>
      <c r="H3246" s="367" t="s">
        <v>1872</v>
      </c>
      <c r="I3246" s="1416">
        <v>0.9405</v>
      </c>
      <c r="J3246" s="1417"/>
      <c r="K3246" s="242">
        <f>+E3246/G3246*I3246</f>
        <v>1.0763500000000001</v>
      </c>
      <c r="L3246" s="367" t="s">
        <v>205</v>
      </c>
      <c r="M3246" s="54"/>
      <c r="N3246" s="54"/>
      <c r="O3246" s="336"/>
      <c r="P3246" s="334"/>
      <c r="Q3246" s="335"/>
      <c r="R3246" s="336"/>
      <c r="S3246" s="337"/>
    </row>
    <row r="3247" spans="1:19" ht="30" customHeight="1" x14ac:dyDescent="0.25">
      <c r="A3247" s="365">
        <v>85110</v>
      </c>
      <c r="B3247" s="1214" t="s">
        <v>1875</v>
      </c>
      <c r="C3247" s="1215"/>
      <c r="D3247" s="1216"/>
      <c r="E3247" s="247">
        <v>45.7</v>
      </c>
      <c r="F3247" s="257" t="s">
        <v>9</v>
      </c>
      <c r="G3247" s="341">
        <v>9</v>
      </c>
      <c r="H3247" s="367" t="s">
        <v>1872</v>
      </c>
      <c r="I3247" s="1416">
        <v>0.9405</v>
      </c>
      <c r="J3247" s="1417"/>
      <c r="K3247" s="242">
        <f>+E3247/G3247*I3247</f>
        <v>4.7756500000000006</v>
      </c>
      <c r="L3247" s="367" t="s">
        <v>205</v>
      </c>
      <c r="M3247" s="54"/>
      <c r="N3247" s="54"/>
      <c r="O3247" s="336"/>
      <c r="P3247" s="334"/>
      <c r="Q3247" s="335"/>
      <c r="R3247" s="336"/>
      <c r="S3247" s="337"/>
    </row>
    <row r="3248" spans="1:19" ht="30" customHeight="1" thickBot="1" x14ac:dyDescent="0.3">
      <c r="A3248" s="365"/>
      <c r="B3248" s="1214"/>
      <c r="C3248" s="1215"/>
      <c r="D3248" s="1216"/>
      <c r="E3248" s="333"/>
      <c r="F3248" s="744"/>
      <c r="G3248" s="333"/>
      <c r="H3248" s="729" t="s">
        <v>343</v>
      </c>
      <c r="I3248" s="366"/>
      <c r="J3248" s="359" t="s">
        <v>72</v>
      </c>
      <c r="K3248" s="243">
        <f>SUM(K3244:K3247)</f>
        <v>6.4163000000000006</v>
      </c>
      <c r="L3248" s="367" t="s">
        <v>205</v>
      </c>
      <c r="M3248" s="54"/>
      <c r="N3248" s="54"/>
      <c r="O3248" s="336"/>
      <c r="P3248" s="334"/>
      <c r="Q3248" s="335"/>
      <c r="R3248" s="336"/>
      <c r="S3248" s="337"/>
    </row>
    <row r="3249" spans="1:26" ht="30" customHeight="1" thickBot="1" x14ac:dyDescent="0.3">
      <c r="A3249" s="1180"/>
      <c r="B3249" s="1181"/>
      <c r="C3249" s="1181"/>
      <c r="D3249" s="1181"/>
      <c r="E3249" s="1181"/>
      <c r="F3249" s="1181"/>
      <c r="G3249" s="1181"/>
      <c r="H3249" s="1181"/>
      <c r="I3249" s="1181"/>
      <c r="J3249" s="1181"/>
      <c r="K3249" s="1181"/>
      <c r="L3249" s="1182"/>
      <c r="M3249" s="54"/>
      <c r="N3249" s="54"/>
      <c r="O3249" s="336"/>
      <c r="P3249" s="334"/>
      <c r="Q3249" s="335"/>
      <c r="R3249" s="336"/>
      <c r="S3249" s="337"/>
    </row>
    <row r="3250" spans="1:26" ht="30" customHeight="1" x14ac:dyDescent="0.25">
      <c r="A3250" s="327" t="s">
        <v>5</v>
      </c>
      <c r="B3250" s="328">
        <v>7311</v>
      </c>
      <c r="C3250" s="1251" t="s">
        <v>1876</v>
      </c>
      <c r="D3250" s="1252"/>
      <c r="E3250" s="331" t="s">
        <v>8</v>
      </c>
      <c r="F3250" s="332" t="s">
        <v>205</v>
      </c>
      <c r="G3250" s="342" t="s">
        <v>74</v>
      </c>
      <c r="H3250" s="160">
        <v>7933</v>
      </c>
      <c r="I3250" s="331" t="s">
        <v>10</v>
      </c>
      <c r="J3250" s="1579" t="s">
        <v>1859</v>
      </c>
      <c r="K3250" s="1579"/>
      <c r="L3250" s="1579"/>
      <c r="M3250" s="111"/>
      <c r="N3250" s="117"/>
      <c r="O3250" s="336"/>
      <c r="P3250" s="334"/>
      <c r="Q3250" s="335"/>
      <c r="R3250" s="336"/>
      <c r="S3250" s="337"/>
    </row>
    <row r="3251" spans="1:26" ht="30" customHeight="1" x14ac:dyDescent="0.25">
      <c r="A3251" s="356" t="s">
        <v>282</v>
      </c>
      <c r="B3251" s="1163" t="s">
        <v>13</v>
      </c>
      <c r="C3251" s="1163"/>
      <c r="D3251" s="1163"/>
      <c r="E3251" s="546" t="s">
        <v>116</v>
      </c>
      <c r="F3251" s="356" t="s">
        <v>283</v>
      </c>
      <c r="G3251" s="1314" t="s">
        <v>118</v>
      </c>
      <c r="H3251" s="1315"/>
      <c r="I3251" s="1276" t="s">
        <v>284</v>
      </c>
      <c r="J3251" s="1277"/>
      <c r="K3251" s="1236" t="s">
        <v>285</v>
      </c>
      <c r="L3251" s="1237"/>
      <c r="M3251" s="54"/>
      <c r="N3251" s="54"/>
      <c r="O3251" s="336"/>
      <c r="P3251" s="334"/>
      <c r="Q3251" s="335"/>
      <c r="R3251" s="336"/>
      <c r="S3251" s="337"/>
    </row>
    <row r="3252" spans="1:26" ht="30" customHeight="1" x14ac:dyDescent="0.25">
      <c r="A3252" s="365" t="s">
        <v>286</v>
      </c>
      <c r="B3252" s="1214" t="s">
        <v>1877</v>
      </c>
      <c r="C3252" s="1215"/>
      <c r="D3252" s="1216"/>
      <c r="E3252" s="247">
        <v>535</v>
      </c>
      <c r="F3252" s="257">
        <v>20000</v>
      </c>
      <c r="G3252" s="341"/>
      <c r="H3252" s="367"/>
      <c r="I3252" s="1416" t="s">
        <v>1878</v>
      </c>
      <c r="J3252" s="1417"/>
      <c r="K3252" s="240">
        <f>+E3252</f>
        <v>535</v>
      </c>
      <c r="L3252" s="367" t="s">
        <v>205</v>
      </c>
      <c r="M3252" s="54"/>
      <c r="N3252" s="54"/>
      <c r="O3252" s="336"/>
      <c r="P3252" s="334"/>
      <c r="Q3252" s="335"/>
      <c r="R3252" s="336"/>
      <c r="S3252" s="337"/>
    </row>
    <row r="3253" spans="1:26" ht="30" customHeight="1" thickBot="1" x14ac:dyDescent="0.3">
      <c r="A3253" s="369"/>
      <c r="B3253" s="1602"/>
      <c r="C3253" s="1603"/>
      <c r="D3253" s="1604"/>
      <c r="E3253" s="928"/>
      <c r="F3253" s="929"/>
      <c r="G3253" s="928"/>
      <c r="H3253" s="930"/>
      <c r="I3253" s="371"/>
      <c r="J3253" s="358" t="s">
        <v>72</v>
      </c>
      <c r="K3253" s="931">
        <f>SUM(K3252:K3252)</f>
        <v>535</v>
      </c>
      <c r="L3253" s="375" t="s">
        <v>205</v>
      </c>
      <c r="M3253" s="54"/>
      <c r="N3253" s="54"/>
      <c r="O3253" s="336"/>
      <c r="P3253" s="334"/>
      <c r="Q3253" s="335"/>
      <c r="R3253" s="336"/>
      <c r="S3253" s="337"/>
    </row>
    <row r="3254" spans="1:26" ht="30" customHeight="1" thickBot="1" x14ac:dyDescent="0.3">
      <c r="A3254" s="1305"/>
      <c r="B3254" s="1306"/>
      <c r="C3254" s="1306"/>
      <c r="D3254" s="1306"/>
      <c r="E3254" s="1306"/>
      <c r="F3254" s="1306"/>
      <c r="G3254" s="1306"/>
      <c r="H3254" s="1306"/>
      <c r="I3254" s="1306"/>
      <c r="J3254" s="1306"/>
      <c r="K3254" s="1306"/>
      <c r="L3254" s="1307"/>
      <c r="M3254" s="54"/>
      <c r="N3254" s="54"/>
      <c r="O3254" s="336"/>
      <c r="P3254" s="334"/>
      <c r="Q3254" s="335"/>
      <c r="R3254" s="336"/>
      <c r="S3254" s="337"/>
    </row>
    <row r="3255" spans="1:26" ht="30" customHeight="1" x14ac:dyDescent="0.25">
      <c r="A3255" s="349" t="s">
        <v>5</v>
      </c>
      <c r="B3255" s="350">
        <v>7312</v>
      </c>
      <c r="C3255" s="1580" t="s">
        <v>1879</v>
      </c>
      <c r="D3255" s="1581"/>
      <c r="E3255" s="351" t="s">
        <v>8</v>
      </c>
      <c r="F3255" s="352" t="s">
        <v>205</v>
      </c>
      <c r="G3255" s="353" t="s">
        <v>74</v>
      </c>
      <c r="H3255" s="50">
        <v>15884</v>
      </c>
      <c r="I3255" s="351" t="s">
        <v>10</v>
      </c>
      <c r="J3255" s="1185" t="s">
        <v>3388</v>
      </c>
      <c r="K3255" s="1185"/>
      <c r="L3255" s="1532"/>
      <c r="M3255" s="54"/>
      <c r="O3255" s="336"/>
      <c r="P3255" s="334"/>
      <c r="Q3255" s="335"/>
      <c r="R3255" s="336"/>
      <c r="S3255" s="337"/>
    </row>
    <row r="3256" spans="1:26" ht="30" customHeight="1" x14ac:dyDescent="0.25">
      <c r="A3256" s="359" t="s">
        <v>295</v>
      </c>
      <c r="B3256" s="1222" t="s">
        <v>326</v>
      </c>
      <c r="C3256" s="1235"/>
      <c r="D3256" s="1223"/>
      <c r="E3256" s="577" t="s">
        <v>116</v>
      </c>
      <c r="F3256" s="577" t="s">
        <v>117</v>
      </c>
      <c r="G3256" s="1194" t="s">
        <v>118</v>
      </c>
      <c r="H3256" s="1195"/>
      <c r="I3256" s="356" t="s">
        <v>296</v>
      </c>
      <c r="J3256" s="356"/>
      <c r="K3256" s="1236" t="s">
        <v>285</v>
      </c>
      <c r="L3256" s="1237"/>
      <c r="M3256" s="54"/>
      <c r="N3256" s="54"/>
      <c r="O3256" s="336"/>
      <c r="P3256" s="334"/>
      <c r="Q3256" s="335"/>
      <c r="R3256" s="336"/>
      <c r="S3256" s="337"/>
    </row>
    <row r="3257" spans="1:26" ht="30" customHeight="1" x14ac:dyDescent="0.25">
      <c r="A3257" s="755" t="s">
        <v>452</v>
      </c>
      <c r="B3257" s="1209" t="s">
        <v>1880</v>
      </c>
      <c r="C3257" s="1210"/>
      <c r="D3257" s="1211"/>
      <c r="E3257" s="247">
        <v>206</v>
      </c>
      <c r="F3257" s="396" t="s">
        <v>205</v>
      </c>
      <c r="G3257" s="689"/>
      <c r="H3257" s="690"/>
      <c r="I3257" s="365">
        <v>1.05</v>
      </c>
      <c r="J3257" s="365"/>
      <c r="K3257" s="247">
        <f>+E3257*I3257</f>
        <v>216.3</v>
      </c>
      <c r="L3257" s="365" t="s">
        <v>205</v>
      </c>
      <c r="M3257" s="54"/>
      <c r="N3257" s="54"/>
      <c r="O3257" s="336"/>
      <c r="P3257" s="334"/>
      <c r="Q3257" s="335"/>
      <c r="R3257" s="336"/>
      <c r="S3257" s="337"/>
      <c r="U3257" s="655"/>
      <c r="V3257" s="655"/>
      <c r="W3257" s="655"/>
      <c r="X3257" s="655"/>
      <c r="Y3257" s="655"/>
      <c r="Z3257" s="655"/>
    </row>
    <row r="3258" spans="1:26" ht="30" customHeight="1" x14ac:dyDescent="0.25">
      <c r="A3258" s="927" t="s">
        <v>456</v>
      </c>
      <c r="B3258" s="1214" t="s">
        <v>457</v>
      </c>
      <c r="C3258" s="1215"/>
      <c r="D3258" s="1215"/>
      <c r="E3258" s="247">
        <v>3.73</v>
      </c>
      <c r="F3258" s="396" t="s">
        <v>205</v>
      </c>
      <c r="G3258" s="689"/>
      <c r="H3258" s="690"/>
      <c r="I3258" s="365">
        <v>1.05</v>
      </c>
      <c r="J3258" s="365"/>
      <c r="K3258" s="247">
        <f>+E3258*I3258</f>
        <v>3.9165000000000001</v>
      </c>
      <c r="L3258" s="365" t="s">
        <v>205</v>
      </c>
      <c r="M3258" s="54"/>
      <c r="N3258" s="54"/>
      <c r="O3258" s="655"/>
      <c r="P3258" s="655"/>
      <c r="Q3258" s="795"/>
      <c r="R3258" s="655"/>
      <c r="S3258" s="655"/>
      <c r="T3258" s="655"/>
    </row>
    <row r="3259" spans="1:26" ht="30" customHeight="1" x14ac:dyDescent="0.25">
      <c r="A3259" s="927" t="s">
        <v>426</v>
      </c>
      <c r="B3259" s="1214" t="s">
        <v>1881</v>
      </c>
      <c r="C3259" s="1215"/>
      <c r="D3259" s="1216"/>
      <c r="E3259" s="247">
        <f>(20.3+31.5)/2</f>
        <v>25.9</v>
      </c>
      <c r="F3259" s="396" t="s">
        <v>1157</v>
      </c>
      <c r="G3259" s="689">
        <f>81*E3259/H3255</f>
        <v>0.13207630319818686</v>
      </c>
      <c r="H3259" s="690" t="s">
        <v>1882</v>
      </c>
      <c r="I3259" s="365">
        <v>1.03</v>
      </c>
      <c r="J3259" s="365"/>
      <c r="K3259" s="247">
        <f t="shared" ref="K3259:K3264" si="58">+G3259*I3259</f>
        <v>0.13603859229413248</v>
      </c>
      <c r="L3259" s="365" t="s">
        <v>205</v>
      </c>
      <c r="M3259" s="54"/>
      <c r="N3259" s="54"/>
      <c r="O3259" s="336"/>
      <c r="P3259" s="334"/>
      <c r="Q3259" s="335"/>
      <c r="R3259" s="336"/>
      <c r="S3259" s="337"/>
    </row>
    <row r="3260" spans="1:26" s="655" customFormat="1" ht="30" customHeight="1" x14ac:dyDescent="0.25">
      <c r="A3260" s="927" t="s">
        <v>426</v>
      </c>
      <c r="B3260" s="1214" t="s">
        <v>1883</v>
      </c>
      <c r="C3260" s="1215"/>
      <c r="D3260" s="1216"/>
      <c r="E3260" s="247">
        <f>(1710+2420)/2</f>
        <v>2065</v>
      </c>
      <c r="F3260" s="396" t="s">
        <v>76</v>
      </c>
      <c r="G3260" s="932">
        <f>+E3260/H3255</f>
        <v>0.1300050365147318</v>
      </c>
      <c r="H3260" s="690" t="s">
        <v>1882</v>
      </c>
      <c r="I3260" s="365">
        <v>1.03</v>
      </c>
      <c r="J3260" s="365"/>
      <c r="K3260" s="247">
        <f t="shared" si="58"/>
        <v>0.13390518761017375</v>
      </c>
      <c r="L3260" s="365" t="s">
        <v>205</v>
      </c>
      <c r="M3260" s="54"/>
      <c r="N3260" s="54"/>
      <c r="O3260" s="336"/>
      <c r="P3260" s="334"/>
      <c r="Q3260" s="335"/>
      <c r="R3260" s="336"/>
      <c r="S3260" s="337"/>
      <c r="T3260" s="334"/>
      <c r="U3260" s="334"/>
      <c r="V3260" s="334"/>
      <c r="W3260" s="334"/>
      <c r="X3260" s="334"/>
      <c r="Y3260" s="334"/>
      <c r="Z3260" s="334"/>
    </row>
    <row r="3261" spans="1:26" ht="30" customHeight="1" x14ac:dyDescent="0.25">
      <c r="A3261" s="927" t="s">
        <v>430</v>
      </c>
      <c r="B3261" s="1214" t="s">
        <v>1884</v>
      </c>
      <c r="C3261" s="1215"/>
      <c r="D3261" s="1216"/>
      <c r="E3261" s="247">
        <f>(34.5+82)/2</f>
        <v>58.25</v>
      </c>
      <c r="F3261" s="396" t="s">
        <v>1885</v>
      </c>
      <c r="G3261" s="689">
        <f>10*E3261/H3255</f>
        <v>3.6672122890959453E-2</v>
      </c>
      <c r="H3261" s="690" t="s">
        <v>1882</v>
      </c>
      <c r="I3261" s="365">
        <v>1.03</v>
      </c>
      <c r="J3261" s="365"/>
      <c r="K3261" s="247">
        <f t="shared" si="58"/>
        <v>3.777228657768824E-2</v>
      </c>
      <c r="L3261" s="365" t="s">
        <v>205</v>
      </c>
      <c r="M3261" s="54"/>
      <c r="N3261" s="54"/>
      <c r="O3261" s="336"/>
      <c r="P3261" s="334"/>
      <c r="Q3261" s="335"/>
      <c r="R3261" s="336"/>
      <c r="S3261" s="337"/>
    </row>
    <row r="3262" spans="1:26" ht="30" customHeight="1" x14ac:dyDescent="0.25">
      <c r="A3262" s="927" t="s">
        <v>430</v>
      </c>
      <c r="B3262" s="1214" t="s">
        <v>1886</v>
      </c>
      <c r="C3262" s="1215"/>
      <c r="D3262" s="1216"/>
      <c r="E3262" s="247">
        <f>(64.5+12300)/2</f>
        <v>6182.25</v>
      </c>
      <c r="F3262" s="396" t="s">
        <v>76</v>
      </c>
      <c r="G3262" s="932">
        <f>+E3262/H3255</f>
        <v>0.38921241500881393</v>
      </c>
      <c r="H3262" s="690" t="s">
        <v>1882</v>
      </c>
      <c r="I3262" s="365">
        <v>1.03</v>
      </c>
      <c r="J3262" s="365"/>
      <c r="K3262" s="247">
        <f t="shared" si="58"/>
        <v>0.40088878745907836</v>
      </c>
      <c r="L3262" s="365" t="s">
        <v>205</v>
      </c>
      <c r="M3262" s="54"/>
      <c r="N3262" s="54"/>
      <c r="O3262" s="336"/>
      <c r="P3262" s="334"/>
      <c r="Q3262" s="335"/>
      <c r="R3262" s="336"/>
      <c r="S3262" s="337"/>
    </row>
    <row r="3263" spans="1:26" ht="30" customHeight="1" x14ac:dyDescent="0.25">
      <c r="A3263" s="927" t="s">
        <v>430</v>
      </c>
      <c r="B3263" s="1214" t="s">
        <v>1147</v>
      </c>
      <c r="C3263" s="1215"/>
      <c r="D3263" s="1216"/>
      <c r="E3263" s="247">
        <f>(660+1010)/2</f>
        <v>835</v>
      </c>
      <c r="F3263" s="396" t="s">
        <v>76</v>
      </c>
      <c r="G3263" s="932">
        <f>+E3263/H3255</f>
        <v>5.256862251322085E-2</v>
      </c>
      <c r="H3263" s="690" t="s">
        <v>1882</v>
      </c>
      <c r="I3263" s="365">
        <v>1.03</v>
      </c>
      <c r="J3263" s="365"/>
      <c r="K3263" s="247">
        <f t="shared" si="58"/>
        <v>5.4145681188617477E-2</v>
      </c>
      <c r="L3263" s="365" t="s">
        <v>205</v>
      </c>
      <c r="M3263" s="54"/>
      <c r="N3263" s="54"/>
      <c r="O3263" s="336"/>
      <c r="P3263" s="334"/>
      <c r="Q3263" s="335"/>
      <c r="R3263" s="336"/>
      <c r="S3263" s="337"/>
    </row>
    <row r="3264" spans="1:26" ht="30" customHeight="1" x14ac:dyDescent="0.25">
      <c r="A3264" s="927" t="s">
        <v>430</v>
      </c>
      <c r="B3264" s="1214" t="s">
        <v>435</v>
      </c>
      <c r="C3264" s="1215"/>
      <c r="D3264" s="1216"/>
      <c r="E3264" s="247">
        <f>(1160+3475)/2</f>
        <v>2317.5</v>
      </c>
      <c r="F3264" s="396" t="s">
        <v>76</v>
      </c>
      <c r="G3264" s="932">
        <f>+E3264/H3255</f>
        <v>0.14590153613699319</v>
      </c>
      <c r="H3264" s="690" t="s">
        <v>1882</v>
      </c>
      <c r="I3264" s="365">
        <v>1.03</v>
      </c>
      <c r="J3264" s="365"/>
      <c r="K3264" s="247">
        <f t="shared" si="58"/>
        <v>0.15027858222110299</v>
      </c>
      <c r="L3264" s="365" t="s">
        <v>205</v>
      </c>
      <c r="M3264" s="54"/>
      <c r="N3264" s="54"/>
      <c r="O3264" s="336"/>
      <c r="P3264" s="334"/>
      <c r="Q3264" s="335"/>
      <c r="R3264" s="336"/>
      <c r="S3264" s="337"/>
    </row>
    <row r="3265" spans="1:19" ht="30" customHeight="1" x14ac:dyDescent="0.25">
      <c r="A3265" s="895"/>
      <c r="B3265" s="1269"/>
      <c r="C3265" s="1269"/>
      <c r="D3265" s="1269"/>
      <c r="E3265" s="247"/>
      <c r="F3265" s="365"/>
      <c r="G3265" s="365"/>
      <c r="H3265" s="365"/>
      <c r="I3265" s="365"/>
      <c r="J3265" s="365" t="s">
        <v>343</v>
      </c>
      <c r="K3265" s="247">
        <f>SUM(K3257:K3264)</f>
        <v>221.12952911735081</v>
      </c>
      <c r="L3265" s="365" t="s">
        <v>205</v>
      </c>
      <c r="M3265" s="117"/>
      <c r="N3265" s="54"/>
      <c r="O3265" s="336"/>
      <c r="P3265" s="334"/>
      <c r="Q3265" s="335"/>
      <c r="R3265" s="336"/>
      <c r="S3265" s="337"/>
    </row>
    <row r="3266" spans="1:19" ht="30" customHeight="1" x14ac:dyDescent="0.25">
      <c r="A3266" s="365"/>
      <c r="B3266" s="578"/>
      <c r="C3266" s="578"/>
      <c r="D3266" s="578"/>
      <c r="E3266" s="247"/>
      <c r="F3266" s="1272" t="s">
        <v>303</v>
      </c>
      <c r="G3266" s="1283" t="s">
        <v>304</v>
      </c>
      <c r="H3266" s="1283"/>
      <c r="I3266" s="1283"/>
      <c r="J3266" s="1283"/>
      <c r="K3266" s="250">
        <v>1.07</v>
      </c>
      <c r="L3266" s="365"/>
      <c r="M3266" s="54"/>
      <c r="N3266" s="54"/>
      <c r="O3266" s="336"/>
      <c r="P3266" s="334"/>
      <c r="Q3266" s="335"/>
      <c r="R3266" s="336"/>
      <c r="S3266" s="337"/>
    </row>
    <row r="3267" spans="1:19" ht="30" customHeight="1" x14ac:dyDescent="0.25">
      <c r="A3267" s="365"/>
      <c r="B3267" s="578"/>
      <c r="C3267" s="578"/>
      <c r="D3267" s="578"/>
      <c r="E3267" s="247"/>
      <c r="F3267" s="1273"/>
      <c r="G3267" s="1284" t="s">
        <v>438</v>
      </c>
      <c r="H3267" s="1284"/>
      <c r="I3267" s="1284"/>
      <c r="J3267" s="1284"/>
      <c r="K3267" s="250">
        <v>1.08</v>
      </c>
      <c r="L3267" s="365"/>
      <c r="M3267" s="54"/>
      <c r="N3267" s="54"/>
      <c r="O3267" s="336"/>
      <c r="P3267" s="334"/>
      <c r="Q3267" s="335"/>
      <c r="R3267" s="336"/>
      <c r="S3267" s="337"/>
    </row>
    <row r="3268" spans="1:19" ht="30" customHeight="1" x14ac:dyDescent="0.25">
      <c r="A3268" s="365"/>
      <c r="B3268" s="365"/>
      <c r="C3268" s="366"/>
      <c r="D3268" s="366"/>
      <c r="E3268" s="366"/>
      <c r="F3268" s="366"/>
      <c r="G3268" s="366"/>
      <c r="H3268" s="366"/>
      <c r="I3268" s="366"/>
      <c r="J3268" s="366" t="s">
        <v>72</v>
      </c>
      <c r="K3268" s="246">
        <f>+K3265*K3266/K3267</f>
        <v>219.08203347737535</v>
      </c>
      <c r="L3268" s="365" t="s">
        <v>205</v>
      </c>
      <c r="M3268" s="54"/>
      <c r="N3268" s="54"/>
      <c r="O3268" s="336"/>
      <c r="P3268" s="334"/>
      <c r="Q3268" s="335"/>
      <c r="R3268" s="336"/>
      <c r="S3268" s="337"/>
    </row>
    <row r="3269" spans="1:19" ht="30" customHeight="1" x14ac:dyDescent="0.25">
      <c r="A3269" s="365"/>
      <c r="B3269" s="365"/>
      <c r="C3269" s="366"/>
      <c r="D3269" s="366"/>
      <c r="E3269" s="366"/>
      <c r="F3269" s="366"/>
      <c r="G3269" s="366"/>
      <c r="I3269" s="553" t="s">
        <v>414</v>
      </c>
      <c r="J3269" s="521">
        <f>VLOOKUP(B3255,'Mil Cost Premiums for PUCs'!$A$4:$R$277,18,FALSE)</f>
        <v>1.3319480854780448</v>
      </c>
      <c r="K3269" s="246">
        <f>+K3268*J3269</f>
        <v>291.805895052827</v>
      </c>
      <c r="L3269" s="365" t="s">
        <v>205</v>
      </c>
      <c r="M3269" s="54"/>
      <c r="N3269" s="54"/>
      <c r="O3269" s="336"/>
      <c r="P3269" s="334"/>
      <c r="Q3269" s="335"/>
      <c r="R3269" s="336"/>
      <c r="S3269" s="337"/>
    </row>
    <row r="3270" spans="1:19" ht="30" customHeight="1" x14ac:dyDescent="0.25">
      <c r="A3270" s="835"/>
      <c r="B3270" s="835"/>
      <c r="C3270" s="840"/>
      <c r="D3270" s="840"/>
      <c r="E3270" s="850"/>
      <c r="F3270" s="1278" t="s">
        <v>1148</v>
      </c>
      <c r="G3270" s="1278"/>
      <c r="H3270" s="1278"/>
      <c r="I3270" s="1278"/>
      <c r="J3270" s="845">
        <v>1.0833999999999999</v>
      </c>
      <c r="K3270" s="544">
        <f>K3269*J3270</f>
        <v>316.14250670023273</v>
      </c>
      <c r="L3270" s="365" t="s">
        <v>205</v>
      </c>
      <c r="N3270" s="54"/>
      <c r="O3270" s="336"/>
      <c r="P3270" s="334"/>
      <c r="Q3270" s="335"/>
      <c r="R3270" s="336"/>
      <c r="S3270" s="337"/>
    </row>
    <row r="3271" spans="1:19" ht="75" customHeight="1" x14ac:dyDescent="0.25">
      <c r="A3271" s="1230" t="s">
        <v>307</v>
      </c>
      <c r="B3271" s="1231"/>
      <c r="C3271" s="1231"/>
      <c r="D3271" s="1231"/>
      <c r="E3271" s="1231"/>
      <c r="F3271" s="1231"/>
      <c r="G3271" s="1231"/>
      <c r="H3271" s="1231"/>
      <c r="I3271" s="1231"/>
      <c r="J3271" s="1231"/>
      <c r="K3271" s="1231"/>
      <c r="L3271" s="1232"/>
      <c r="M3271" s="54"/>
      <c r="N3271" s="54"/>
      <c r="O3271" s="336"/>
      <c r="P3271" s="334"/>
      <c r="Q3271" s="335"/>
      <c r="R3271" s="336"/>
      <c r="S3271" s="337"/>
    </row>
    <row r="3272" spans="1:19" ht="45" customHeight="1" x14ac:dyDescent="0.25">
      <c r="A3272" s="1268" t="s">
        <v>308</v>
      </c>
      <c r="B3272" s="1167"/>
      <c r="C3272" s="1168"/>
      <c r="D3272" s="1230" t="s">
        <v>1887</v>
      </c>
      <c r="E3272" s="1231"/>
      <c r="F3272" s="1231"/>
      <c r="G3272" s="1231"/>
      <c r="H3272" s="1231"/>
      <c r="I3272" s="1231"/>
      <c r="J3272" s="1231"/>
      <c r="K3272" s="1231"/>
      <c r="L3272" s="1232"/>
      <c r="M3272" s="54"/>
      <c r="N3272" s="54"/>
      <c r="O3272" s="336"/>
      <c r="P3272" s="334"/>
      <c r="Q3272" s="335"/>
      <c r="R3272" s="336"/>
      <c r="S3272" s="337"/>
    </row>
    <row r="3273" spans="1:19" ht="30" customHeight="1" x14ac:dyDescent="0.25">
      <c r="A3273" s="1268" t="s">
        <v>310</v>
      </c>
      <c r="B3273" s="1167"/>
      <c r="C3273" s="1168"/>
      <c r="D3273" s="1230" t="s">
        <v>1888</v>
      </c>
      <c r="E3273" s="1231"/>
      <c r="F3273" s="1231"/>
      <c r="G3273" s="1231"/>
      <c r="H3273" s="1231"/>
      <c r="I3273" s="1231"/>
      <c r="J3273" s="1231"/>
      <c r="K3273" s="1231"/>
      <c r="L3273" s="1232"/>
      <c r="M3273" s="54"/>
      <c r="N3273" s="54"/>
      <c r="O3273" s="336"/>
      <c r="P3273" s="334"/>
      <c r="Q3273" s="335"/>
      <c r="R3273" s="336"/>
      <c r="S3273" s="337"/>
    </row>
    <row r="3274" spans="1:19" ht="30" customHeight="1" x14ac:dyDescent="0.25">
      <c r="A3274" s="1268" t="s">
        <v>312</v>
      </c>
      <c r="B3274" s="1167"/>
      <c r="C3274" s="1168"/>
      <c r="D3274" s="1230" t="s">
        <v>1889</v>
      </c>
      <c r="E3274" s="1231"/>
      <c r="F3274" s="1231"/>
      <c r="G3274" s="1231"/>
      <c r="H3274" s="1231"/>
      <c r="I3274" s="1231"/>
      <c r="J3274" s="1231"/>
      <c r="K3274" s="1231"/>
      <c r="L3274" s="1232"/>
      <c r="M3274" s="54"/>
      <c r="N3274" s="54"/>
      <c r="O3274" s="336"/>
      <c r="P3274" s="334"/>
      <c r="Q3274" s="335"/>
      <c r="R3274" s="336"/>
      <c r="S3274" s="337"/>
    </row>
    <row r="3275" spans="1:19" ht="45" customHeight="1" x14ac:dyDescent="0.25">
      <c r="A3275" s="1268" t="s">
        <v>314</v>
      </c>
      <c r="B3275" s="1167"/>
      <c r="C3275" s="1168"/>
      <c r="D3275" s="1230" t="s">
        <v>1890</v>
      </c>
      <c r="E3275" s="1231"/>
      <c r="F3275" s="1231"/>
      <c r="G3275" s="1231"/>
      <c r="H3275" s="1231"/>
      <c r="I3275" s="1231"/>
      <c r="J3275" s="1231"/>
      <c r="K3275" s="1231"/>
      <c r="L3275" s="1232"/>
      <c r="M3275" s="54"/>
      <c r="N3275" s="54"/>
      <c r="O3275" s="336"/>
      <c r="P3275" s="334"/>
      <c r="Q3275" s="335"/>
      <c r="R3275" s="336"/>
      <c r="S3275" s="337"/>
    </row>
    <row r="3276" spans="1:19" ht="30" customHeight="1" x14ac:dyDescent="0.25">
      <c r="A3276" s="1268" t="s">
        <v>316</v>
      </c>
      <c r="B3276" s="1167"/>
      <c r="C3276" s="1168"/>
      <c r="D3276" s="1230" t="s">
        <v>1891</v>
      </c>
      <c r="E3276" s="1231"/>
      <c r="F3276" s="1231"/>
      <c r="G3276" s="1231"/>
      <c r="H3276" s="1231"/>
      <c r="I3276" s="1231"/>
      <c r="J3276" s="1231"/>
      <c r="K3276" s="1231"/>
      <c r="L3276" s="1232"/>
      <c r="M3276" s="54"/>
      <c r="O3276" s="336"/>
      <c r="P3276" s="334"/>
      <c r="Q3276" s="335"/>
      <c r="R3276" s="336"/>
      <c r="S3276" s="337"/>
    </row>
    <row r="3277" spans="1:19" ht="30" customHeight="1" x14ac:dyDescent="0.25">
      <c r="A3277" s="1268" t="s">
        <v>318</v>
      </c>
      <c r="B3277" s="1167"/>
      <c r="C3277" s="1168"/>
      <c r="D3277" s="1230" t="s">
        <v>319</v>
      </c>
      <c r="E3277" s="1231"/>
      <c r="F3277" s="1231"/>
      <c r="G3277" s="1231"/>
      <c r="H3277" s="1231"/>
      <c r="I3277" s="1231"/>
      <c r="J3277" s="1231"/>
      <c r="K3277" s="1231"/>
      <c r="L3277" s="1232"/>
      <c r="M3277" s="54"/>
      <c r="N3277" s="54"/>
      <c r="O3277" s="336"/>
      <c r="P3277" s="334"/>
      <c r="Q3277" s="335"/>
      <c r="R3277" s="336"/>
      <c r="S3277" s="337"/>
    </row>
    <row r="3278" spans="1:19" ht="30" customHeight="1" x14ac:dyDescent="0.25">
      <c r="A3278" s="1268" t="s">
        <v>320</v>
      </c>
      <c r="B3278" s="1167"/>
      <c r="C3278" s="1168"/>
      <c r="D3278" s="1230" t="s">
        <v>1892</v>
      </c>
      <c r="E3278" s="1231"/>
      <c r="F3278" s="1231"/>
      <c r="G3278" s="1231"/>
      <c r="H3278" s="1231"/>
      <c r="I3278" s="1231"/>
      <c r="J3278" s="1231"/>
      <c r="K3278" s="1231"/>
      <c r="L3278" s="1232"/>
      <c r="M3278" s="54"/>
      <c r="N3278" s="54"/>
      <c r="O3278" s="336"/>
      <c r="P3278" s="334"/>
      <c r="Q3278" s="335"/>
      <c r="R3278" s="336"/>
      <c r="S3278" s="337"/>
    </row>
    <row r="3279" spans="1:19" ht="75" customHeight="1" x14ac:dyDescent="0.25">
      <c r="A3279" s="1268" t="s">
        <v>322</v>
      </c>
      <c r="B3279" s="1167"/>
      <c r="C3279" s="1168"/>
      <c r="D3279" s="1230" t="s">
        <v>422</v>
      </c>
      <c r="E3279" s="1231"/>
      <c r="F3279" s="1231"/>
      <c r="G3279" s="1231"/>
      <c r="H3279" s="1231"/>
      <c r="I3279" s="1231"/>
      <c r="J3279" s="1231"/>
      <c r="K3279" s="1231"/>
      <c r="L3279" s="1232"/>
      <c r="M3279" s="54"/>
      <c r="N3279" s="54"/>
      <c r="O3279" s="336"/>
      <c r="P3279" s="334"/>
      <c r="Q3279" s="335"/>
      <c r="R3279" s="336"/>
      <c r="S3279" s="337"/>
    </row>
    <row r="3280" spans="1:19" ht="90" customHeight="1" thickBot="1" x14ac:dyDescent="0.3">
      <c r="A3280" s="1319" t="s">
        <v>350</v>
      </c>
      <c r="B3280" s="1320"/>
      <c r="C3280" s="1321"/>
      <c r="D3280" s="1352" t="s">
        <v>3426</v>
      </c>
      <c r="E3280" s="1353"/>
      <c r="F3280" s="1353"/>
      <c r="G3280" s="1353"/>
      <c r="H3280" s="1353"/>
      <c r="I3280" s="1353"/>
      <c r="J3280" s="1353"/>
      <c r="K3280" s="1353"/>
      <c r="L3280" s="1354"/>
      <c r="M3280" s="54"/>
      <c r="N3280" s="54"/>
      <c r="O3280" s="336"/>
      <c r="P3280" s="334"/>
      <c r="Q3280" s="335"/>
      <c r="R3280" s="336"/>
      <c r="S3280" s="337"/>
    </row>
    <row r="3281" spans="1:19" ht="30" customHeight="1" thickBot="1" x14ac:dyDescent="0.3">
      <c r="A3281" s="1305"/>
      <c r="B3281" s="1306"/>
      <c r="C3281" s="1306"/>
      <c r="D3281" s="1306"/>
      <c r="E3281" s="1306"/>
      <c r="F3281" s="1306"/>
      <c r="G3281" s="1306"/>
      <c r="H3281" s="1306"/>
      <c r="I3281" s="1306"/>
      <c r="J3281" s="1306"/>
      <c r="K3281" s="1306"/>
      <c r="L3281" s="1307"/>
      <c r="M3281" s="54"/>
      <c r="N3281" s="54"/>
      <c r="O3281" s="336"/>
      <c r="P3281" s="334"/>
      <c r="Q3281" s="335"/>
      <c r="R3281" s="336"/>
      <c r="S3281" s="337"/>
    </row>
    <row r="3282" spans="1:19" ht="30" customHeight="1" x14ac:dyDescent="0.25">
      <c r="A3282" s="349" t="s">
        <v>5</v>
      </c>
      <c r="B3282" s="350">
        <v>7313</v>
      </c>
      <c r="C3282" s="1580" t="s">
        <v>1893</v>
      </c>
      <c r="D3282" s="1581"/>
      <c r="E3282" s="351" t="s">
        <v>8</v>
      </c>
      <c r="F3282" s="352" t="s">
        <v>205</v>
      </c>
      <c r="G3282" s="353" t="s">
        <v>74</v>
      </c>
      <c r="H3282" s="743">
        <v>6220</v>
      </c>
      <c r="I3282" s="351" t="s">
        <v>10</v>
      </c>
      <c r="J3282" s="1185" t="s">
        <v>3388</v>
      </c>
      <c r="K3282" s="1185"/>
      <c r="L3282" s="1532"/>
      <c r="M3282" s="54"/>
      <c r="N3282" s="54"/>
      <c r="O3282" s="336"/>
      <c r="P3282" s="334"/>
      <c r="Q3282" s="335"/>
      <c r="R3282" s="336"/>
      <c r="S3282" s="337"/>
    </row>
    <row r="3283" spans="1:19" ht="30" customHeight="1" x14ac:dyDescent="0.25">
      <c r="A3283" s="359" t="s">
        <v>295</v>
      </c>
      <c r="B3283" s="1222" t="s">
        <v>326</v>
      </c>
      <c r="C3283" s="1235"/>
      <c r="D3283" s="1223"/>
      <c r="E3283" s="577" t="s">
        <v>116</v>
      </c>
      <c r="F3283" s="577" t="s">
        <v>117</v>
      </c>
      <c r="G3283" s="1194" t="s">
        <v>118</v>
      </c>
      <c r="H3283" s="1195"/>
      <c r="I3283" s="356" t="s">
        <v>296</v>
      </c>
      <c r="J3283" s="356"/>
      <c r="K3283" s="1236" t="s">
        <v>285</v>
      </c>
      <c r="L3283" s="1237"/>
      <c r="M3283" s="54"/>
      <c r="N3283" s="54"/>
      <c r="O3283" s="336"/>
      <c r="P3283" s="334"/>
      <c r="Q3283" s="335"/>
      <c r="R3283" s="336"/>
      <c r="S3283" s="337"/>
    </row>
    <row r="3284" spans="1:19" ht="30" customHeight="1" x14ac:dyDescent="0.25">
      <c r="A3284" s="755" t="s">
        <v>452</v>
      </c>
      <c r="B3284" s="1214" t="s">
        <v>1894</v>
      </c>
      <c r="C3284" s="1215"/>
      <c r="D3284" s="1216"/>
      <c r="E3284" s="247">
        <v>147</v>
      </c>
      <c r="F3284" s="396" t="s">
        <v>205</v>
      </c>
      <c r="G3284" s="689"/>
      <c r="H3284" s="690"/>
      <c r="I3284" s="365">
        <v>1.05</v>
      </c>
      <c r="J3284" s="365"/>
      <c r="K3284" s="247">
        <f>+E3284*I3284</f>
        <v>154.35</v>
      </c>
      <c r="L3284" s="365" t="s">
        <v>205</v>
      </c>
      <c r="M3284" s="54"/>
      <c r="N3284" s="54"/>
      <c r="O3284" s="336"/>
      <c r="P3284" s="334"/>
      <c r="Q3284" s="335"/>
      <c r="R3284" s="336"/>
      <c r="S3284" s="337"/>
    </row>
    <row r="3285" spans="1:19" ht="30" customHeight="1" x14ac:dyDescent="0.25">
      <c r="A3285" s="927" t="s">
        <v>456</v>
      </c>
      <c r="B3285" s="1269" t="s">
        <v>1281</v>
      </c>
      <c r="C3285" s="1269"/>
      <c r="D3285" s="1269"/>
      <c r="E3285" s="247">
        <v>4.49</v>
      </c>
      <c r="F3285" s="365" t="s">
        <v>205</v>
      </c>
      <c r="G3285" s="365"/>
      <c r="H3285" s="365"/>
      <c r="I3285" s="365">
        <v>1.05</v>
      </c>
      <c r="J3285" s="365"/>
      <c r="K3285" s="247">
        <f>+E3285*I3285</f>
        <v>4.7145000000000001</v>
      </c>
      <c r="L3285" s="365" t="s">
        <v>205</v>
      </c>
      <c r="M3285" s="54"/>
      <c r="N3285" s="54"/>
      <c r="O3285" s="336"/>
      <c r="P3285" s="334"/>
      <c r="Q3285" s="335"/>
      <c r="R3285" s="336"/>
      <c r="S3285" s="337"/>
    </row>
    <row r="3286" spans="1:19" ht="30" customHeight="1" x14ac:dyDescent="0.25">
      <c r="A3286" s="895"/>
      <c r="B3286" s="1269"/>
      <c r="C3286" s="1269"/>
      <c r="D3286" s="1269"/>
      <c r="E3286" s="247"/>
      <c r="F3286" s="365"/>
      <c r="G3286" s="365"/>
      <c r="H3286" s="365"/>
      <c r="I3286" s="365"/>
      <c r="J3286" s="365" t="s">
        <v>343</v>
      </c>
      <c r="K3286" s="247">
        <f>SUM(K3284:K3285)</f>
        <v>159.06449999999998</v>
      </c>
      <c r="L3286" s="365" t="s">
        <v>205</v>
      </c>
      <c r="M3286" s="54"/>
      <c r="N3286" s="54"/>
      <c r="O3286" s="336"/>
      <c r="P3286" s="334"/>
      <c r="Q3286" s="335"/>
      <c r="R3286" s="336"/>
      <c r="S3286" s="337"/>
    </row>
    <row r="3287" spans="1:19" ht="30" customHeight="1" x14ac:dyDescent="0.25">
      <c r="A3287" s="365"/>
      <c r="B3287" s="578"/>
      <c r="C3287" s="578"/>
      <c r="D3287" s="578"/>
      <c r="E3287" s="247"/>
      <c r="F3287" s="1272" t="s">
        <v>303</v>
      </c>
      <c r="G3287" s="1283" t="s">
        <v>304</v>
      </c>
      <c r="H3287" s="1283"/>
      <c r="I3287" s="1283"/>
      <c r="J3287" s="1283"/>
      <c r="K3287" s="250">
        <v>1.07</v>
      </c>
      <c r="L3287" s="365"/>
      <c r="M3287" s="54"/>
      <c r="N3287" s="54"/>
      <c r="O3287" s="336"/>
      <c r="P3287" s="334"/>
      <c r="Q3287" s="335"/>
      <c r="R3287" s="336"/>
      <c r="S3287" s="337"/>
    </row>
    <row r="3288" spans="1:19" ht="30" customHeight="1" x14ac:dyDescent="0.25">
      <c r="A3288" s="365"/>
      <c r="B3288" s="578"/>
      <c r="C3288" s="578"/>
      <c r="D3288" s="578"/>
      <c r="E3288" s="247"/>
      <c r="F3288" s="1273"/>
      <c r="G3288" s="1284" t="s">
        <v>438</v>
      </c>
      <c r="H3288" s="1284"/>
      <c r="I3288" s="1284"/>
      <c r="J3288" s="1284"/>
      <c r="K3288" s="250">
        <v>1.08</v>
      </c>
      <c r="L3288" s="365"/>
      <c r="M3288" s="54"/>
      <c r="N3288" s="54"/>
      <c r="O3288" s="336"/>
      <c r="P3288" s="334"/>
      <c r="Q3288" s="335"/>
      <c r="R3288" s="336"/>
      <c r="S3288" s="337"/>
    </row>
    <row r="3289" spans="1:19" ht="30" customHeight="1" x14ac:dyDescent="0.25">
      <c r="A3289" s="365"/>
      <c r="B3289" s="365"/>
      <c r="C3289" s="366"/>
      <c r="D3289" s="366"/>
      <c r="E3289" s="366"/>
      <c r="F3289" s="366"/>
      <c r="G3289" s="366"/>
      <c r="H3289" s="366"/>
      <c r="I3289" s="366"/>
      <c r="J3289" s="366" t="s">
        <v>72</v>
      </c>
      <c r="K3289" s="246">
        <f>+K3286*K3287/K3288</f>
        <v>157.59168055555554</v>
      </c>
      <c r="L3289" s="365" t="s">
        <v>205</v>
      </c>
      <c r="M3289" s="54"/>
      <c r="N3289" s="54"/>
      <c r="O3289" s="336"/>
      <c r="P3289" s="334"/>
      <c r="Q3289" s="335"/>
      <c r="R3289" s="336"/>
      <c r="S3289" s="337"/>
    </row>
    <row r="3290" spans="1:19" ht="30" customHeight="1" x14ac:dyDescent="0.25">
      <c r="A3290" s="365"/>
      <c r="B3290" s="365"/>
      <c r="C3290" s="366"/>
      <c r="D3290" s="366"/>
      <c r="E3290" s="366"/>
      <c r="F3290" s="366"/>
      <c r="H3290" s="366"/>
      <c r="I3290" s="553" t="s">
        <v>414</v>
      </c>
      <c r="J3290" s="521">
        <f>VLOOKUP(B3282,'Mil Cost Premiums for PUCs'!$A$4:$R$277,18,FALSE)</f>
        <v>1.3319480854780448</v>
      </c>
      <c r="K3290" s="246">
        <f>+K3289*J3290</f>
        <v>209.90393720323982</v>
      </c>
      <c r="L3290" s="365" t="s">
        <v>205</v>
      </c>
      <c r="M3290" s="54"/>
      <c r="N3290" s="54"/>
      <c r="O3290" s="336"/>
      <c r="P3290" s="334"/>
      <c r="Q3290" s="335"/>
      <c r="R3290" s="336"/>
      <c r="S3290" s="337"/>
    </row>
    <row r="3291" spans="1:19" ht="30" customHeight="1" x14ac:dyDescent="0.25">
      <c r="A3291" s="835"/>
      <c r="B3291" s="835"/>
      <c r="C3291" s="840"/>
      <c r="D3291" s="840"/>
      <c r="E3291" s="850"/>
      <c r="F3291" s="1278" t="s">
        <v>1148</v>
      </c>
      <c r="G3291" s="1278"/>
      <c r="H3291" s="1278"/>
      <c r="I3291" s="1278"/>
      <c r="J3291" s="845">
        <v>1.0833999999999999</v>
      </c>
      <c r="K3291" s="544">
        <f>K3290*J3291</f>
        <v>227.40992556598999</v>
      </c>
      <c r="L3291" s="365" t="s">
        <v>205</v>
      </c>
      <c r="N3291" s="54"/>
      <c r="O3291" s="336"/>
      <c r="P3291" s="334"/>
      <c r="Q3291" s="335"/>
      <c r="R3291" s="336"/>
      <c r="S3291" s="337"/>
    </row>
    <row r="3292" spans="1:19" ht="75" customHeight="1" x14ac:dyDescent="0.25">
      <c r="A3292" s="1230" t="s">
        <v>307</v>
      </c>
      <c r="B3292" s="1231"/>
      <c r="C3292" s="1231"/>
      <c r="D3292" s="1231"/>
      <c r="E3292" s="1231"/>
      <c r="F3292" s="1231"/>
      <c r="G3292" s="1231"/>
      <c r="H3292" s="1231"/>
      <c r="I3292" s="1231"/>
      <c r="J3292" s="1231"/>
      <c r="K3292" s="1231"/>
      <c r="L3292" s="1232"/>
      <c r="M3292" s="54"/>
      <c r="N3292" s="54"/>
      <c r="O3292" s="336"/>
      <c r="P3292" s="334"/>
      <c r="Q3292" s="335"/>
      <c r="R3292" s="336"/>
      <c r="S3292" s="337"/>
    </row>
    <row r="3293" spans="1:19" ht="30" customHeight="1" x14ac:dyDescent="0.25">
      <c r="A3293" s="1268" t="s">
        <v>308</v>
      </c>
      <c r="B3293" s="1167"/>
      <c r="C3293" s="1168"/>
      <c r="D3293" s="1230" t="s">
        <v>458</v>
      </c>
      <c r="E3293" s="1231"/>
      <c r="F3293" s="1231"/>
      <c r="G3293" s="1231"/>
      <c r="H3293" s="1231"/>
      <c r="I3293" s="1231"/>
      <c r="J3293" s="1231"/>
      <c r="K3293" s="1231"/>
      <c r="L3293" s="1232"/>
      <c r="M3293" s="54"/>
      <c r="N3293" s="54"/>
      <c r="O3293" s="336"/>
      <c r="P3293" s="334"/>
      <c r="Q3293" s="335"/>
      <c r="R3293" s="336"/>
      <c r="S3293" s="337"/>
    </row>
    <row r="3294" spans="1:19" ht="30" customHeight="1" x14ac:dyDescent="0.25">
      <c r="A3294" s="1268" t="s">
        <v>310</v>
      </c>
      <c r="B3294" s="1167"/>
      <c r="C3294" s="1168"/>
      <c r="D3294" s="1230" t="s">
        <v>1895</v>
      </c>
      <c r="E3294" s="1231"/>
      <c r="F3294" s="1231"/>
      <c r="G3294" s="1231"/>
      <c r="H3294" s="1231"/>
      <c r="I3294" s="1231"/>
      <c r="J3294" s="1231"/>
      <c r="K3294" s="1231"/>
      <c r="L3294" s="1232"/>
      <c r="M3294" s="54"/>
      <c r="N3294" s="54"/>
      <c r="O3294" s="336"/>
      <c r="P3294" s="334"/>
      <c r="Q3294" s="335"/>
      <c r="R3294" s="336"/>
      <c r="S3294" s="337"/>
    </row>
    <row r="3295" spans="1:19" ht="30" customHeight="1" x14ac:dyDescent="0.25">
      <c r="A3295" s="1268" t="s">
        <v>312</v>
      </c>
      <c r="B3295" s="1167"/>
      <c r="C3295" s="1168"/>
      <c r="D3295" s="1230" t="s">
        <v>1896</v>
      </c>
      <c r="E3295" s="1231"/>
      <c r="F3295" s="1231"/>
      <c r="G3295" s="1231"/>
      <c r="H3295" s="1231"/>
      <c r="I3295" s="1231"/>
      <c r="J3295" s="1231"/>
      <c r="K3295" s="1231"/>
      <c r="L3295" s="1232"/>
      <c r="M3295" s="54"/>
      <c r="N3295" s="54"/>
      <c r="O3295" s="336"/>
      <c r="P3295" s="334"/>
      <c r="Q3295" s="335"/>
      <c r="R3295" s="336"/>
      <c r="S3295" s="337"/>
    </row>
    <row r="3296" spans="1:19" ht="30" customHeight="1" x14ac:dyDescent="0.25">
      <c r="A3296" s="1268" t="s">
        <v>314</v>
      </c>
      <c r="B3296" s="1167"/>
      <c r="C3296" s="1168"/>
      <c r="D3296" s="1230" t="s">
        <v>1897</v>
      </c>
      <c r="E3296" s="1231"/>
      <c r="F3296" s="1231"/>
      <c r="G3296" s="1231"/>
      <c r="H3296" s="1231"/>
      <c r="I3296" s="1231"/>
      <c r="J3296" s="1231"/>
      <c r="K3296" s="1231"/>
      <c r="L3296" s="1232"/>
      <c r="M3296" s="54"/>
      <c r="N3296" s="54"/>
      <c r="O3296" s="336"/>
      <c r="P3296" s="334"/>
      <c r="Q3296" s="335"/>
      <c r="R3296" s="336"/>
      <c r="S3296" s="337"/>
    </row>
    <row r="3297" spans="1:19" ht="45" customHeight="1" x14ac:dyDescent="0.25">
      <c r="A3297" s="1268" t="s">
        <v>316</v>
      </c>
      <c r="B3297" s="1167"/>
      <c r="C3297" s="1168"/>
      <c r="D3297" s="1230" t="s">
        <v>1898</v>
      </c>
      <c r="E3297" s="1231"/>
      <c r="F3297" s="1231"/>
      <c r="G3297" s="1231"/>
      <c r="H3297" s="1231"/>
      <c r="I3297" s="1231"/>
      <c r="J3297" s="1231"/>
      <c r="K3297" s="1231"/>
      <c r="L3297" s="1232"/>
      <c r="M3297" s="54"/>
      <c r="O3297" s="336"/>
      <c r="P3297" s="334"/>
      <c r="Q3297" s="335"/>
      <c r="R3297" s="336"/>
      <c r="S3297" s="337"/>
    </row>
    <row r="3298" spans="1:19" ht="30" customHeight="1" x14ac:dyDescent="0.25">
      <c r="A3298" s="1268" t="s">
        <v>318</v>
      </c>
      <c r="B3298" s="1167"/>
      <c r="C3298" s="1168"/>
      <c r="D3298" s="1230" t="s">
        <v>1899</v>
      </c>
      <c r="E3298" s="1231"/>
      <c r="F3298" s="1231"/>
      <c r="G3298" s="1231"/>
      <c r="H3298" s="1231"/>
      <c r="I3298" s="1231"/>
      <c r="J3298" s="1231"/>
      <c r="K3298" s="1231"/>
      <c r="L3298" s="1232"/>
      <c r="M3298" s="54"/>
      <c r="N3298" s="54"/>
      <c r="O3298" s="336"/>
      <c r="P3298" s="334"/>
      <c r="Q3298" s="335"/>
      <c r="R3298" s="336"/>
      <c r="S3298" s="337"/>
    </row>
    <row r="3299" spans="1:19" ht="30" customHeight="1" x14ac:dyDescent="0.25">
      <c r="A3299" s="1268" t="s">
        <v>320</v>
      </c>
      <c r="B3299" s="1167"/>
      <c r="C3299" s="1168"/>
      <c r="D3299" s="1230" t="s">
        <v>1491</v>
      </c>
      <c r="E3299" s="1231"/>
      <c r="F3299" s="1231"/>
      <c r="G3299" s="1231"/>
      <c r="H3299" s="1231"/>
      <c r="I3299" s="1231"/>
      <c r="J3299" s="1231"/>
      <c r="K3299" s="1231"/>
      <c r="L3299" s="1232"/>
      <c r="M3299" s="54"/>
      <c r="N3299" s="54"/>
      <c r="O3299" s="336"/>
      <c r="P3299" s="334"/>
      <c r="Q3299" s="335"/>
      <c r="R3299" s="336"/>
      <c r="S3299" s="337"/>
    </row>
    <row r="3300" spans="1:19" ht="75" customHeight="1" x14ac:dyDescent="0.25">
      <c r="A3300" s="1268" t="s">
        <v>322</v>
      </c>
      <c r="B3300" s="1167"/>
      <c r="C3300" s="1168"/>
      <c r="D3300" s="1230" t="s">
        <v>422</v>
      </c>
      <c r="E3300" s="1231"/>
      <c r="F3300" s="1231"/>
      <c r="G3300" s="1231"/>
      <c r="H3300" s="1231"/>
      <c r="I3300" s="1231"/>
      <c r="J3300" s="1231"/>
      <c r="K3300" s="1231"/>
      <c r="L3300" s="1232"/>
      <c r="M3300" s="54"/>
      <c r="N3300" s="54"/>
      <c r="O3300" s="336"/>
      <c r="P3300" s="334"/>
      <c r="Q3300" s="335"/>
      <c r="R3300" s="336"/>
      <c r="S3300" s="337"/>
    </row>
    <row r="3301" spans="1:19" ht="30" customHeight="1" thickBot="1" x14ac:dyDescent="0.3">
      <c r="A3301" s="1319" t="s">
        <v>350</v>
      </c>
      <c r="B3301" s="1320"/>
      <c r="C3301" s="1321"/>
      <c r="D3301" s="1352" t="s">
        <v>3427</v>
      </c>
      <c r="E3301" s="1353"/>
      <c r="F3301" s="1353"/>
      <c r="G3301" s="1353"/>
      <c r="H3301" s="1353"/>
      <c r="I3301" s="1353"/>
      <c r="J3301" s="1353"/>
      <c r="K3301" s="1353"/>
      <c r="L3301" s="1354"/>
      <c r="M3301" s="54"/>
      <c r="N3301" s="54"/>
      <c r="O3301" s="336"/>
      <c r="P3301" s="334"/>
      <c r="Q3301" s="335"/>
      <c r="R3301" s="336"/>
      <c r="S3301" s="337"/>
    </row>
    <row r="3302" spans="1:19" ht="30" customHeight="1" thickBot="1" x14ac:dyDescent="0.3">
      <c r="A3302" s="1305"/>
      <c r="B3302" s="1306"/>
      <c r="C3302" s="1306"/>
      <c r="D3302" s="1306"/>
      <c r="E3302" s="1306"/>
      <c r="F3302" s="1306"/>
      <c r="G3302" s="1306"/>
      <c r="H3302" s="1306"/>
      <c r="I3302" s="1306"/>
      <c r="J3302" s="1306"/>
      <c r="K3302" s="1306"/>
      <c r="L3302" s="1307"/>
      <c r="M3302" s="54"/>
      <c r="N3302" s="54"/>
      <c r="O3302" s="336"/>
      <c r="P3302" s="334"/>
      <c r="Q3302" s="335"/>
      <c r="R3302" s="336"/>
      <c r="S3302" s="337"/>
    </row>
    <row r="3303" spans="1:19" ht="30" customHeight="1" x14ac:dyDescent="0.25">
      <c r="A3303" s="349" t="s">
        <v>5</v>
      </c>
      <c r="B3303" s="350">
        <v>7314</v>
      </c>
      <c r="C3303" s="1151" t="s">
        <v>1900</v>
      </c>
      <c r="D3303" s="1152"/>
      <c r="E3303" s="351" t="s">
        <v>8</v>
      </c>
      <c r="F3303" s="352" t="s">
        <v>205</v>
      </c>
      <c r="G3303" s="353" t="s">
        <v>74</v>
      </c>
      <c r="H3303" s="50">
        <v>5579</v>
      </c>
      <c r="I3303" s="351" t="s">
        <v>10</v>
      </c>
      <c r="J3303" s="1185" t="s">
        <v>3388</v>
      </c>
      <c r="K3303" s="1185"/>
      <c r="L3303" s="1532"/>
      <c r="M3303" s="54"/>
      <c r="N3303" s="54"/>
      <c r="O3303" s="336"/>
      <c r="P3303" s="334"/>
      <c r="Q3303" s="335"/>
      <c r="R3303" s="336"/>
      <c r="S3303" s="337"/>
    </row>
    <row r="3304" spans="1:19" ht="30" customHeight="1" x14ac:dyDescent="0.25">
      <c r="A3304" s="359" t="s">
        <v>295</v>
      </c>
      <c r="B3304" s="1222" t="s">
        <v>326</v>
      </c>
      <c r="C3304" s="1235"/>
      <c r="D3304" s="1223"/>
      <c r="E3304" s="577" t="s">
        <v>116</v>
      </c>
      <c r="F3304" s="577" t="s">
        <v>117</v>
      </c>
      <c r="G3304" s="1194" t="s">
        <v>118</v>
      </c>
      <c r="H3304" s="1195"/>
      <c r="I3304" s="356" t="s">
        <v>296</v>
      </c>
      <c r="J3304" s="356"/>
      <c r="K3304" s="1236" t="s">
        <v>285</v>
      </c>
      <c r="L3304" s="1237"/>
      <c r="M3304" s="54"/>
      <c r="N3304" s="54"/>
      <c r="O3304" s="336"/>
      <c r="P3304" s="334"/>
      <c r="Q3304" s="335"/>
      <c r="R3304" s="336"/>
      <c r="S3304" s="337"/>
    </row>
    <row r="3305" spans="1:19" ht="30" customHeight="1" x14ac:dyDescent="0.25">
      <c r="A3305" s="755" t="s">
        <v>1901</v>
      </c>
      <c r="B3305" s="1269" t="s">
        <v>1902</v>
      </c>
      <c r="C3305" s="1269"/>
      <c r="D3305" s="1269"/>
      <c r="E3305" s="247">
        <v>149</v>
      </c>
      <c r="F3305" s="365" t="s">
        <v>205</v>
      </c>
      <c r="G3305" s="365"/>
      <c r="H3305" s="365"/>
      <c r="I3305" s="365">
        <v>1.05</v>
      </c>
      <c r="J3305" s="365"/>
      <c r="K3305" s="247">
        <f>+E3305*I3305</f>
        <v>156.45000000000002</v>
      </c>
      <c r="L3305" s="365" t="s">
        <v>205</v>
      </c>
      <c r="M3305" s="54"/>
      <c r="N3305" s="54"/>
      <c r="O3305" s="336"/>
      <c r="P3305" s="334"/>
      <c r="Q3305" s="335"/>
      <c r="R3305" s="336"/>
      <c r="S3305" s="337"/>
    </row>
    <row r="3306" spans="1:19" ht="30" customHeight="1" x14ac:dyDescent="0.25">
      <c r="A3306" s="927" t="s">
        <v>456</v>
      </c>
      <c r="B3306" s="1269" t="s">
        <v>1281</v>
      </c>
      <c r="C3306" s="1269"/>
      <c r="D3306" s="1269"/>
      <c r="E3306" s="247">
        <v>4.49</v>
      </c>
      <c r="F3306" s="365" t="s">
        <v>205</v>
      </c>
      <c r="G3306" s="365"/>
      <c r="H3306" s="365"/>
      <c r="I3306" s="365">
        <v>1.05</v>
      </c>
      <c r="J3306" s="365"/>
      <c r="K3306" s="247">
        <f>+E3306*I3306</f>
        <v>4.7145000000000001</v>
      </c>
      <c r="L3306" s="365" t="s">
        <v>205</v>
      </c>
      <c r="M3306" s="54"/>
      <c r="N3306" s="54"/>
      <c r="O3306" s="336"/>
      <c r="P3306" s="334"/>
      <c r="Q3306" s="335"/>
      <c r="R3306" s="336"/>
      <c r="S3306" s="337"/>
    </row>
    <row r="3307" spans="1:19" ht="30" customHeight="1" x14ac:dyDescent="0.25">
      <c r="A3307" s="895"/>
      <c r="B3307" s="1269"/>
      <c r="C3307" s="1269"/>
      <c r="D3307" s="1269"/>
      <c r="E3307" s="247"/>
      <c r="F3307" s="365"/>
      <c r="G3307" s="365"/>
      <c r="H3307" s="365"/>
      <c r="I3307" s="365"/>
      <c r="J3307" s="365" t="s">
        <v>343</v>
      </c>
      <c r="K3307" s="247">
        <f>SUM(K3305:K3306)</f>
        <v>161.1645</v>
      </c>
      <c r="L3307" s="365" t="s">
        <v>205</v>
      </c>
      <c r="M3307" s="54"/>
      <c r="N3307" s="54"/>
      <c r="O3307" s="336"/>
      <c r="P3307" s="334"/>
      <c r="Q3307" s="335"/>
      <c r="R3307" s="336"/>
      <c r="S3307" s="337"/>
    </row>
    <row r="3308" spans="1:19" ht="30" customHeight="1" x14ac:dyDescent="0.25">
      <c r="A3308" s="365"/>
      <c r="B3308" s="578"/>
      <c r="C3308" s="578"/>
      <c r="D3308" s="578"/>
      <c r="E3308" s="247"/>
      <c r="F3308" s="1272" t="s">
        <v>303</v>
      </c>
      <c r="G3308" s="1283" t="s">
        <v>304</v>
      </c>
      <c r="H3308" s="1283"/>
      <c r="I3308" s="1283"/>
      <c r="J3308" s="1283"/>
      <c r="K3308" s="250">
        <v>1.07</v>
      </c>
      <c r="L3308" s="365"/>
      <c r="M3308" s="54"/>
      <c r="O3308" s="336"/>
      <c r="P3308" s="334"/>
      <c r="Q3308" s="335"/>
      <c r="R3308" s="336"/>
      <c r="S3308" s="337"/>
    </row>
    <row r="3309" spans="1:19" ht="30" customHeight="1" x14ac:dyDescent="0.25">
      <c r="A3309" s="365"/>
      <c r="B3309" s="578"/>
      <c r="C3309" s="578"/>
      <c r="D3309" s="578"/>
      <c r="E3309" s="247"/>
      <c r="F3309" s="1273"/>
      <c r="G3309" s="1284" t="s">
        <v>438</v>
      </c>
      <c r="H3309" s="1284"/>
      <c r="I3309" s="1284"/>
      <c r="J3309" s="1284"/>
      <c r="K3309" s="250">
        <v>1.08</v>
      </c>
      <c r="L3309" s="365"/>
      <c r="M3309" s="54"/>
      <c r="N3309" s="54"/>
      <c r="O3309" s="336"/>
      <c r="P3309" s="334"/>
      <c r="Q3309" s="335"/>
      <c r="R3309" s="336"/>
      <c r="S3309" s="337"/>
    </row>
    <row r="3310" spans="1:19" ht="30" customHeight="1" x14ac:dyDescent="0.25">
      <c r="A3310" s="365"/>
      <c r="B3310" s="365"/>
      <c r="C3310" s="366"/>
      <c r="D3310" s="366"/>
      <c r="E3310" s="366"/>
      <c r="F3310" s="366"/>
      <c r="G3310" s="366"/>
      <c r="H3310" s="366"/>
      <c r="I3310" s="366"/>
      <c r="J3310" s="366" t="s">
        <v>72</v>
      </c>
      <c r="K3310" s="246">
        <f>+K3307*K3308/K3309</f>
        <v>159.67223611111112</v>
      </c>
      <c r="L3310" s="365" t="s">
        <v>205</v>
      </c>
      <c r="M3310" s="54"/>
      <c r="N3310" s="54"/>
      <c r="O3310" s="336"/>
      <c r="P3310" s="334"/>
      <c r="Q3310" s="335"/>
      <c r="R3310" s="336"/>
      <c r="S3310" s="337"/>
    </row>
    <row r="3311" spans="1:19" ht="30" customHeight="1" x14ac:dyDescent="0.25">
      <c r="A3311" s="365"/>
      <c r="B3311" s="365"/>
      <c r="C3311" s="366"/>
      <c r="D3311" s="366"/>
      <c r="E3311" s="366"/>
      <c r="F3311" s="366"/>
      <c r="G3311" s="580" t="s">
        <v>306</v>
      </c>
      <c r="H3311" s="366"/>
      <c r="I3311" s="366"/>
      <c r="J3311" s="521">
        <f>VLOOKUP(B3303,'Mil Cost Premiums for PUCs'!$A$4:$R$277,18,FALSE)</f>
        <v>1.3319480854780448</v>
      </c>
      <c r="K3311" s="246">
        <f>+K3310*J3311</f>
        <v>212.67512919219277</v>
      </c>
      <c r="L3311" s="365" t="s">
        <v>205</v>
      </c>
      <c r="M3311" s="54"/>
      <c r="N3311" s="54"/>
      <c r="O3311" s="336"/>
      <c r="P3311" s="334"/>
      <c r="Q3311" s="335"/>
      <c r="R3311" s="336"/>
      <c r="S3311" s="337"/>
    </row>
    <row r="3312" spans="1:19" ht="30" customHeight="1" thickBot="1" x14ac:dyDescent="0.3">
      <c r="A3312" s="844"/>
      <c r="B3312" s="844"/>
      <c r="C3312" s="471"/>
      <c r="D3312" s="471"/>
      <c r="E3312" s="850"/>
      <c r="F3312" s="1278" t="s">
        <v>1148</v>
      </c>
      <c r="G3312" s="1278"/>
      <c r="H3312" s="1278"/>
      <c r="I3312" s="1278"/>
      <c r="J3312" s="845">
        <v>1.0833999999999999</v>
      </c>
      <c r="K3312" s="544">
        <f>K3311*J3312</f>
        <v>230.41223496682164</v>
      </c>
      <c r="L3312" s="369" t="s">
        <v>205</v>
      </c>
      <c r="N3312" s="54"/>
      <c r="O3312" s="336"/>
      <c r="P3312" s="334"/>
      <c r="Q3312" s="335"/>
      <c r="R3312" s="336"/>
      <c r="S3312" s="337"/>
    </row>
    <row r="3313" spans="1:19" ht="30" customHeight="1" thickBot="1" x14ac:dyDescent="0.3">
      <c r="A3313" s="1305"/>
      <c r="B3313" s="1306"/>
      <c r="C3313" s="1306"/>
      <c r="D3313" s="1306"/>
      <c r="E3313" s="1306"/>
      <c r="F3313" s="1306"/>
      <c r="G3313" s="1306"/>
      <c r="H3313" s="1306"/>
      <c r="I3313" s="1306"/>
      <c r="J3313" s="1306"/>
      <c r="K3313" s="1306"/>
      <c r="L3313" s="1307"/>
      <c r="M3313" s="54"/>
      <c r="N3313" s="54"/>
      <c r="O3313" s="336"/>
      <c r="P3313" s="334"/>
      <c r="Q3313" s="335"/>
      <c r="R3313" s="336"/>
      <c r="S3313" s="337"/>
    </row>
    <row r="3314" spans="1:19" ht="30" customHeight="1" x14ac:dyDescent="0.25">
      <c r="A3314" s="349" t="s">
        <v>5</v>
      </c>
      <c r="B3314" s="350">
        <v>7321</v>
      </c>
      <c r="C3314" s="1151" t="s">
        <v>1903</v>
      </c>
      <c r="D3314" s="1152"/>
      <c r="E3314" s="351" t="s">
        <v>8</v>
      </c>
      <c r="F3314" s="352" t="s">
        <v>205</v>
      </c>
      <c r="G3314" s="353" t="s">
        <v>74</v>
      </c>
      <c r="H3314" s="50">
        <v>35640</v>
      </c>
      <c r="I3314" s="351" t="s">
        <v>10</v>
      </c>
      <c r="J3314" s="1185" t="s">
        <v>3388</v>
      </c>
      <c r="K3314" s="1185"/>
      <c r="L3314" s="1532"/>
      <c r="M3314" s="54"/>
      <c r="N3314" s="54"/>
      <c r="O3314" s="336"/>
      <c r="P3314" s="334"/>
      <c r="Q3314" s="335"/>
      <c r="R3314" s="336"/>
      <c r="S3314" s="337"/>
    </row>
    <row r="3315" spans="1:19" ht="30" customHeight="1" x14ac:dyDescent="0.25">
      <c r="A3315" s="359" t="s">
        <v>295</v>
      </c>
      <c r="B3315" s="1222" t="s">
        <v>326</v>
      </c>
      <c r="C3315" s="1235"/>
      <c r="D3315" s="1223"/>
      <c r="E3315" s="577" t="s">
        <v>116</v>
      </c>
      <c r="F3315" s="577" t="s">
        <v>117</v>
      </c>
      <c r="G3315" s="1194" t="s">
        <v>118</v>
      </c>
      <c r="H3315" s="1195"/>
      <c r="I3315" s="356" t="s">
        <v>296</v>
      </c>
      <c r="J3315" s="356" t="s">
        <v>284</v>
      </c>
      <c r="K3315" s="1236" t="s">
        <v>285</v>
      </c>
      <c r="L3315" s="1237"/>
      <c r="M3315" s="54"/>
      <c r="N3315" s="54"/>
      <c r="O3315" s="336"/>
      <c r="P3315" s="334"/>
      <c r="Q3315" s="335"/>
      <c r="R3315" s="336"/>
      <c r="S3315" s="337"/>
    </row>
    <row r="3316" spans="1:19" ht="30" customHeight="1" x14ac:dyDescent="0.25">
      <c r="A3316" s="755" t="s">
        <v>1904</v>
      </c>
      <c r="B3316" s="1209" t="s">
        <v>1905</v>
      </c>
      <c r="C3316" s="1210"/>
      <c r="D3316" s="1211"/>
      <c r="E3316" s="247">
        <f>(64.5+103)/2</f>
        <v>83.75</v>
      </c>
      <c r="F3316" s="396" t="s">
        <v>205</v>
      </c>
      <c r="G3316" s="689"/>
      <c r="H3316" s="690"/>
      <c r="I3316" s="365">
        <v>1.03</v>
      </c>
      <c r="J3316" s="933">
        <f>+'2022 MILCON Inflation Table'!$F$14</f>
        <v>1.2075096234029197</v>
      </c>
      <c r="K3316" s="247">
        <f>+E3316*I3316*J3316</f>
        <v>104.16279888879436</v>
      </c>
      <c r="L3316" s="365" t="s">
        <v>205</v>
      </c>
      <c r="M3316" s="54"/>
      <c r="N3316" s="112"/>
      <c r="O3316" s="336"/>
      <c r="P3316" s="334"/>
      <c r="Q3316" s="335"/>
      <c r="R3316" s="336"/>
      <c r="S3316" s="337"/>
    </row>
    <row r="3317" spans="1:19" ht="30" customHeight="1" x14ac:dyDescent="0.25">
      <c r="A3317" s="927" t="s">
        <v>406</v>
      </c>
      <c r="B3317" s="1209" t="s">
        <v>1906</v>
      </c>
      <c r="C3317" s="1210"/>
      <c r="D3317" s="1210"/>
      <c r="E3317" s="247">
        <v>2.66</v>
      </c>
      <c r="F3317" s="396" t="s">
        <v>205</v>
      </c>
      <c r="G3317" s="689"/>
      <c r="H3317" s="690"/>
      <c r="I3317" s="365">
        <v>1.03</v>
      </c>
      <c r="J3317" s="365"/>
      <c r="K3317" s="247">
        <f>+E3317*I3317</f>
        <v>2.7398000000000002</v>
      </c>
      <c r="L3317" s="365" t="s">
        <v>205</v>
      </c>
      <c r="M3317" s="54"/>
      <c r="N3317" s="54"/>
      <c r="O3317" s="336"/>
      <c r="P3317" s="334"/>
      <c r="Q3317" s="335"/>
      <c r="R3317" s="336"/>
      <c r="S3317" s="337"/>
    </row>
    <row r="3318" spans="1:19" ht="30" customHeight="1" x14ac:dyDescent="0.25">
      <c r="A3318" s="895"/>
      <c r="B3318" s="1269"/>
      <c r="C3318" s="1269"/>
      <c r="D3318" s="1269"/>
      <c r="E3318" s="247"/>
      <c r="F3318" s="365"/>
      <c r="G3318" s="365"/>
      <c r="H3318" s="365"/>
      <c r="I3318" s="365"/>
      <c r="J3318" s="365" t="s">
        <v>343</v>
      </c>
      <c r="K3318" s="247">
        <f>SUM(K3316:K3317)</f>
        <v>106.90259888879436</v>
      </c>
      <c r="L3318" s="365" t="s">
        <v>205</v>
      </c>
      <c r="M3318" s="54"/>
      <c r="N3318" s="54"/>
      <c r="O3318" s="336"/>
      <c r="P3318" s="334"/>
      <c r="Q3318" s="335"/>
      <c r="R3318" s="336"/>
      <c r="S3318" s="337"/>
    </row>
    <row r="3319" spans="1:19" ht="30" customHeight="1" x14ac:dyDescent="0.25">
      <c r="A3319" s="365"/>
      <c r="B3319" s="578"/>
      <c r="C3319" s="578"/>
      <c r="D3319" s="578"/>
      <c r="E3319" s="247"/>
      <c r="F3319" s="1272" t="s">
        <v>303</v>
      </c>
      <c r="G3319" s="1283" t="s">
        <v>304</v>
      </c>
      <c r="H3319" s="1283"/>
      <c r="I3319" s="1283"/>
      <c r="J3319" s="1283"/>
      <c r="K3319" s="250">
        <v>1.07</v>
      </c>
      <c r="L3319" s="365"/>
      <c r="M3319" s="54"/>
      <c r="N3319" s="54"/>
      <c r="O3319" s="336"/>
      <c r="P3319" s="334"/>
      <c r="Q3319" s="335"/>
      <c r="R3319" s="336"/>
      <c r="S3319" s="337"/>
    </row>
    <row r="3320" spans="1:19" ht="30" customHeight="1" x14ac:dyDescent="0.25">
      <c r="A3320" s="365"/>
      <c r="B3320" s="578"/>
      <c r="C3320" s="578"/>
      <c r="D3320" s="578"/>
      <c r="E3320" s="247"/>
      <c r="F3320" s="1273"/>
      <c r="G3320" s="1284" t="s">
        <v>438</v>
      </c>
      <c r="H3320" s="1284"/>
      <c r="I3320" s="1284"/>
      <c r="J3320" s="1284"/>
      <c r="K3320" s="250">
        <v>1.08</v>
      </c>
      <c r="L3320" s="365"/>
      <c r="M3320" s="54"/>
      <c r="O3320" s="336"/>
      <c r="P3320" s="334"/>
      <c r="Q3320" s="335"/>
      <c r="R3320" s="336"/>
      <c r="S3320" s="337"/>
    </row>
    <row r="3321" spans="1:19" ht="30" customHeight="1" x14ac:dyDescent="0.25">
      <c r="A3321" s="365"/>
      <c r="B3321" s="365"/>
      <c r="C3321" s="366"/>
      <c r="D3321" s="366"/>
      <c r="E3321" s="366"/>
      <c r="F3321" s="366"/>
      <c r="G3321" s="366"/>
      <c r="H3321" s="366"/>
      <c r="I3321" s="366"/>
      <c r="J3321" s="365" t="s">
        <v>72</v>
      </c>
      <c r="K3321" s="246">
        <f>+K3318*K3319/K3320</f>
        <v>105.9127600101944</v>
      </c>
      <c r="L3321" s="365" t="s">
        <v>205</v>
      </c>
      <c r="M3321" s="54"/>
      <c r="N3321" s="54"/>
      <c r="O3321" s="336"/>
      <c r="P3321" s="334"/>
      <c r="Q3321" s="335"/>
      <c r="R3321" s="336"/>
      <c r="S3321" s="337"/>
    </row>
    <row r="3322" spans="1:19" ht="30" customHeight="1" x14ac:dyDescent="0.25">
      <c r="A3322" s="365"/>
      <c r="B3322" s="365"/>
      <c r="C3322" s="366"/>
      <c r="D3322" s="366"/>
      <c r="E3322" s="366"/>
      <c r="F3322" s="366"/>
      <c r="G3322" s="580" t="s">
        <v>306</v>
      </c>
      <c r="H3322" s="366"/>
      <c r="I3322" s="366"/>
      <c r="J3322" s="521">
        <f>VLOOKUP(B3314,'Mil Cost Premiums for PUCs'!$A$4:$R$277,18,FALSE)</f>
        <v>1.1838860786480316</v>
      </c>
      <c r="K3322" s="246">
        <f>+K3321*J3322</f>
        <v>125.38864212725912</v>
      </c>
      <c r="L3322" s="365" t="s">
        <v>205</v>
      </c>
      <c r="M3322" s="54"/>
      <c r="N3322" s="54"/>
      <c r="O3322" s="336"/>
      <c r="P3322" s="334"/>
      <c r="Q3322" s="335"/>
      <c r="R3322" s="336"/>
      <c r="S3322" s="337"/>
    </row>
    <row r="3323" spans="1:19" ht="30" customHeight="1" thickBot="1" x14ac:dyDescent="0.3">
      <c r="A3323" s="844"/>
      <c r="B3323" s="844"/>
      <c r="C3323" s="471"/>
      <c r="D3323" s="471"/>
      <c r="E3323" s="850"/>
      <c r="F3323" s="1278" t="s">
        <v>1148</v>
      </c>
      <c r="G3323" s="1278"/>
      <c r="H3323" s="1278"/>
      <c r="I3323" s="1278"/>
      <c r="J3323" s="845">
        <v>1.0833999999999999</v>
      </c>
      <c r="K3323" s="544">
        <f>K3322*J3323</f>
        <v>135.84605488067251</v>
      </c>
      <c r="L3323" s="369" t="s">
        <v>205</v>
      </c>
      <c r="N3323" s="54"/>
      <c r="O3323" s="336"/>
      <c r="P3323" s="334"/>
      <c r="Q3323" s="335"/>
      <c r="R3323" s="336"/>
      <c r="S3323" s="337"/>
    </row>
    <row r="3324" spans="1:19" ht="30" customHeight="1" thickBot="1" x14ac:dyDescent="0.3">
      <c r="A3324" s="1305"/>
      <c r="B3324" s="1306"/>
      <c r="C3324" s="1306"/>
      <c r="D3324" s="1306"/>
      <c r="E3324" s="1306"/>
      <c r="F3324" s="1306"/>
      <c r="G3324" s="1306"/>
      <c r="H3324" s="1306"/>
      <c r="I3324" s="1306"/>
      <c r="J3324" s="1306"/>
      <c r="K3324" s="1306"/>
      <c r="L3324" s="1307"/>
      <c r="M3324" s="54"/>
      <c r="N3324" s="54"/>
      <c r="O3324" s="336"/>
      <c r="P3324" s="334"/>
      <c r="Q3324" s="335"/>
      <c r="R3324" s="336"/>
      <c r="S3324" s="337"/>
    </row>
    <row r="3325" spans="1:19" ht="30" customHeight="1" x14ac:dyDescent="0.25">
      <c r="A3325" s="349" t="s">
        <v>5</v>
      </c>
      <c r="B3325" s="350">
        <v>7322</v>
      </c>
      <c r="C3325" s="1151" t="s">
        <v>1907</v>
      </c>
      <c r="D3325" s="1152"/>
      <c r="E3325" s="351" t="s">
        <v>8</v>
      </c>
      <c r="F3325" s="352" t="s">
        <v>205</v>
      </c>
      <c r="G3325" s="353" t="s">
        <v>74</v>
      </c>
      <c r="H3325" s="50">
        <v>1836</v>
      </c>
      <c r="I3325" s="351" t="s">
        <v>10</v>
      </c>
      <c r="J3325" s="1185" t="s">
        <v>3388</v>
      </c>
      <c r="K3325" s="1185"/>
      <c r="L3325" s="1532"/>
      <c r="M3325" s="54"/>
      <c r="N3325" s="54"/>
      <c r="O3325" s="336"/>
      <c r="P3325" s="334"/>
      <c r="Q3325" s="335"/>
      <c r="R3325" s="336"/>
      <c r="S3325" s="337"/>
    </row>
    <row r="3326" spans="1:19" ht="30" customHeight="1" x14ac:dyDescent="0.25">
      <c r="A3326" s="359" t="s">
        <v>295</v>
      </c>
      <c r="B3326" s="1222" t="s">
        <v>326</v>
      </c>
      <c r="C3326" s="1235"/>
      <c r="D3326" s="1223"/>
      <c r="E3326" s="577" t="s">
        <v>116</v>
      </c>
      <c r="F3326" s="577" t="s">
        <v>117</v>
      </c>
      <c r="G3326" s="1194" t="s">
        <v>118</v>
      </c>
      <c r="H3326" s="1195"/>
      <c r="I3326" s="356" t="s">
        <v>296</v>
      </c>
      <c r="J3326" s="356"/>
      <c r="K3326" s="1236" t="s">
        <v>285</v>
      </c>
      <c r="L3326" s="1237"/>
      <c r="M3326" s="54"/>
      <c r="N3326" s="54"/>
      <c r="O3326" s="336"/>
      <c r="P3326" s="334"/>
      <c r="Q3326" s="335"/>
      <c r="R3326" s="336"/>
      <c r="S3326" s="337"/>
    </row>
    <row r="3327" spans="1:19" ht="30" customHeight="1" x14ac:dyDescent="0.25">
      <c r="A3327" s="755" t="s">
        <v>1908</v>
      </c>
      <c r="B3327" s="1214" t="s">
        <v>1909</v>
      </c>
      <c r="C3327" s="1215"/>
      <c r="D3327" s="1216"/>
      <c r="E3327" s="247">
        <v>90.5</v>
      </c>
      <c r="F3327" s="396" t="s">
        <v>205</v>
      </c>
      <c r="G3327" s="689"/>
      <c r="H3327" s="690"/>
      <c r="I3327" s="365">
        <v>1.03</v>
      </c>
      <c r="J3327" s="365"/>
      <c r="K3327" s="247">
        <f>+E3327*I3327</f>
        <v>93.215000000000003</v>
      </c>
      <c r="L3327" s="365" t="s">
        <v>205</v>
      </c>
      <c r="M3327" s="54"/>
      <c r="N3327" s="54"/>
      <c r="O3327" s="336"/>
      <c r="P3327" s="334"/>
      <c r="Q3327" s="335"/>
      <c r="R3327" s="336"/>
      <c r="S3327" s="337"/>
    </row>
    <row r="3328" spans="1:19" ht="30" customHeight="1" x14ac:dyDescent="0.25">
      <c r="A3328" s="755" t="s">
        <v>1637</v>
      </c>
      <c r="B3328" s="1214" t="s">
        <v>1910</v>
      </c>
      <c r="C3328" s="1215"/>
      <c r="D3328" s="1216"/>
      <c r="E3328" s="247">
        <v>14.35</v>
      </c>
      <c r="F3328" s="396" t="s">
        <v>205</v>
      </c>
      <c r="G3328" s="689"/>
      <c r="H3328" s="690"/>
      <c r="I3328" s="365">
        <v>1.03</v>
      </c>
      <c r="J3328" s="365"/>
      <c r="K3328" s="247">
        <f>+E3328*I3328</f>
        <v>14.7805</v>
      </c>
      <c r="L3328" s="365" t="s">
        <v>205</v>
      </c>
      <c r="M3328" s="54"/>
      <c r="N3328" s="54"/>
      <c r="O3328" s="336"/>
      <c r="P3328" s="334"/>
      <c r="Q3328" s="335"/>
      <c r="R3328" s="336"/>
      <c r="S3328" s="337"/>
    </row>
    <row r="3329" spans="1:19" ht="30" customHeight="1" x14ac:dyDescent="0.25">
      <c r="A3329" s="927" t="s">
        <v>406</v>
      </c>
      <c r="B3329" s="1214" t="s">
        <v>1911</v>
      </c>
      <c r="C3329" s="1215"/>
      <c r="D3329" s="1215"/>
      <c r="E3329" s="247">
        <v>4.1500000000000004</v>
      </c>
      <c r="F3329" s="396" t="s">
        <v>205</v>
      </c>
      <c r="G3329" s="689"/>
      <c r="H3329" s="690"/>
      <c r="I3329" s="365">
        <v>1.03</v>
      </c>
      <c r="J3329" s="365"/>
      <c r="K3329" s="247">
        <f>+E3329*I3329</f>
        <v>4.2745000000000006</v>
      </c>
      <c r="L3329" s="365" t="s">
        <v>205</v>
      </c>
      <c r="M3329" s="54"/>
      <c r="N3329" s="54"/>
      <c r="O3329" s="336"/>
      <c r="P3329" s="334"/>
      <c r="Q3329" s="335"/>
      <c r="R3329" s="336"/>
      <c r="S3329" s="337"/>
    </row>
    <row r="3330" spans="1:19" ht="30" customHeight="1" x14ac:dyDescent="0.25">
      <c r="A3330" s="895"/>
      <c r="B3330" s="1269"/>
      <c r="C3330" s="1269"/>
      <c r="D3330" s="1269"/>
      <c r="E3330" s="247"/>
      <c r="F3330" s="365"/>
      <c r="G3330" s="365"/>
      <c r="H3330" s="365"/>
      <c r="I3330" s="365"/>
      <c r="J3330" s="365" t="s">
        <v>343</v>
      </c>
      <c r="K3330" s="247">
        <f>SUM(K3327:K3329)</f>
        <v>112.27000000000001</v>
      </c>
      <c r="L3330" s="365" t="s">
        <v>205</v>
      </c>
      <c r="M3330" s="54"/>
      <c r="N3330" s="54"/>
      <c r="O3330" s="336"/>
      <c r="P3330" s="334"/>
      <c r="Q3330" s="335"/>
      <c r="R3330" s="336"/>
      <c r="S3330" s="337"/>
    </row>
    <row r="3331" spans="1:19" ht="30" customHeight="1" x14ac:dyDescent="0.25">
      <c r="A3331" s="365"/>
      <c r="B3331" s="578"/>
      <c r="C3331" s="578"/>
      <c r="D3331" s="578"/>
      <c r="E3331" s="247"/>
      <c r="F3331" s="1272" t="s">
        <v>303</v>
      </c>
      <c r="G3331" s="1283" t="s">
        <v>304</v>
      </c>
      <c r="H3331" s="1283"/>
      <c r="I3331" s="1283"/>
      <c r="J3331" s="1283"/>
      <c r="K3331" s="250">
        <v>1.07</v>
      </c>
      <c r="L3331" s="365"/>
      <c r="M3331" s="112"/>
      <c r="O3331" s="336"/>
      <c r="P3331" s="334"/>
      <c r="Q3331" s="335"/>
      <c r="R3331" s="336"/>
      <c r="S3331" s="337"/>
    </row>
    <row r="3332" spans="1:19" ht="30" customHeight="1" x14ac:dyDescent="0.25">
      <c r="A3332" s="365"/>
      <c r="B3332" s="578"/>
      <c r="C3332" s="578"/>
      <c r="D3332" s="578"/>
      <c r="E3332" s="247"/>
      <c r="F3332" s="1273"/>
      <c r="G3332" s="1284" t="s">
        <v>438</v>
      </c>
      <c r="H3332" s="1284"/>
      <c r="I3332" s="1284"/>
      <c r="J3332" s="1284"/>
      <c r="K3332" s="250">
        <v>1.08</v>
      </c>
      <c r="L3332" s="365"/>
      <c r="M3332" s="54"/>
      <c r="N3332" s="54"/>
      <c r="O3332" s="336"/>
      <c r="P3332" s="334"/>
      <c r="Q3332" s="335"/>
      <c r="R3332" s="336"/>
      <c r="S3332" s="337"/>
    </row>
    <row r="3333" spans="1:19" ht="30" customHeight="1" x14ac:dyDescent="0.25">
      <c r="A3333" s="365"/>
      <c r="B3333" s="365"/>
      <c r="C3333" s="366"/>
      <c r="D3333" s="366"/>
      <c r="E3333" s="366"/>
      <c r="F3333" s="366"/>
      <c r="G3333" s="366"/>
      <c r="H3333" s="366"/>
      <c r="I3333" s="366"/>
      <c r="J3333" s="365" t="s">
        <v>72</v>
      </c>
      <c r="K3333" s="246">
        <f>+K3330*K3331/K3332</f>
        <v>111.23046296296297</v>
      </c>
      <c r="L3333" s="365" t="s">
        <v>205</v>
      </c>
      <c r="M3333" s="54"/>
      <c r="N3333" s="54"/>
      <c r="O3333" s="336"/>
      <c r="P3333" s="334"/>
      <c r="Q3333" s="335"/>
      <c r="R3333" s="336"/>
      <c r="S3333" s="337"/>
    </row>
    <row r="3334" spans="1:19" ht="30" customHeight="1" x14ac:dyDescent="0.25">
      <c r="A3334" s="365"/>
      <c r="B3334" s="365"/>
      <c r="C3334" s="366"/>
      <c r="D3334" s="366"/>
      <c r="E3334" s="366"/>
      <c r="F3334" s="366"/>
      <c r="G3334" s="580" t="s">
        <v>306</v>
      </c>
      <c r="H3334" s="366"/>
      <c r="I3334" s="366"/>
      <c r="J3334" s="521">
        <f>VLOOKUP(B3325,'Mil Cost Premiums for PUCs'!$A$4:$R$277,18,FALSE)</f>
        <v>1.1838860786480316</v>
      </c>
      <c r="K3334" s="246">
        <f>+K3333*J3334</f>
        <v>131.68419662342734</v>
      </c>
      <c r="L3334" s="365" t="s">
        <v>205</v>
      </c>
      <c r="M3334" s="54"/>
      <c r="N3334" s="54"/>
      <c r="O3334" s="336"/>
      <c r="P3334" s="334"/>
      <c r="Q3334" s="335"/>
      <c r="R3334" s="336"/>
      <c r="S3334" s="337"/>
    </row>
    <row r="3335" spans="1:19" ht="30" customHeight="1" thickBot="1" x14ac:dyDescent="0.3">
      <c r="A3335" s="844"/>
      <c r="B3335" s="844"/>
      <c r="C3335" s="471"/>
      <c r="D3335" s="471"/>
      <c r="E3335" s="850"/>
      <c r="F3335" s="1278" t="s">
        <v>1148</v>
      </c>
      <c r="G3335" s="1278"/>
      <c r="H3335" s="1278"/>
      <c r="I3335" s="1278"/>
      <c r="J3335" s="845">
        <v>1.0833999999999999</v>
      </c>
      <c r="K3335" s="544">
        <f>K3334*J3335</f>
        <v>142.66665862182117</v>
      </c>
      <c r="L3335" s="369" t="s">
        <v>205</v>
      </c>
      <c r="N3335" s="54"/>
      <c r="O3335" s="336"/>
      <c r="P3335" s="334"/>
      <c r="Q3335" s="335"/>
      <c r="R3335" s="336"/>
      <c r="S3335" s="337"/>
    </row>
    <row r="3336" spans="1:19" ht="30" customHeight="1" thickBot="1" x14ac:dyDescent="0.3">
      <c r="A3336" s="1305"/>
      <c r="B3336" s="1306"/>
      <c r="C3336" s="1306"/>
      <c r="D3336" s="1306"/>
      <c r="E3336" s="1306"/>
      <c r="F3336" s="1306"/>
      <c r="G3336" s="1306"/>
      <c r="H3336" s="1306"/>
      <c r="I3336" s="1306"/>
      <c r="J3336" s="1306"/>
      <c r="K3336" s="1306"/>
      <c r="L3336" s="1307"/>
      <c r="M3336" s="54"/>
      <c r="N3336" s="54"/>
      <c r="O3336" s="336"/>
      <c r="P3336" s="334"/>
      <c r="Q3336" s="335"/>
      <c r="R3336" s="336"/>
      <c r="S3336" s="337"/>
    </row>
    <row r="3337" spans="1:19" ht="30" customHeight="1" x14ac:dyDescent="0.25">
      <c r="A3337" s="327" t="s">
        <v>5</v>
      </c>
      <c r="B3337" s="328">
        <v>7323</v>
      </c>
      <c r="C3337" s="1251" t="s">
        <v>1912</v>
      </c>
      <c r="D3337" s="1252"/>
      <c r="E3337" s="331" t="s">
        <v>8</v>
      </c>
      <c r="F3337" s="332" t="s">
        <v>205</v>
      </c>
      <c r="G3337" s="342" t="s">
        <v>74</v>
      </c>
      <c r="H3337" s="156">
        <v>2026</v>
      </c>
      <c r="I3337" s="331" t="s">
        <v>10</v>
      </c>
      <c r="J3337" s="1220" t="s">
        <v>3388</v>
      </c>
      <c r="K3337" s="1220"/>
      <c r="L3337" s="1221"/>
      <c r="M3337" s="54"/>
      <c r="N3337" s="54"/>
      <c r="O3337" s="336"/>
      <c r="P3337" s="334"/>
      <c r="Q3337" s="335"/>
      <c r="R3337" s="336"/>
      <c r="S3337" s="337"/>
    </row>
    <row r="3338" spans="1:19" ht="30" customHeight="1" x14ac:dyDescent="0.25">
      <c r="A3338" s="359" t="s">
        <v>295</v>
      </c>
      <c r="B3338" s="1222" t="s">
        <v>326</v>
      </c>
      <c r="C3338" s="1235"/>
      <c r="D3338" s="1223"/>
      <c r="E3338" s="577" t="s">
        <v>116</v>
      </c>
      <c r="F3338" s="577" t="s">
        <v>117</v>
      </c>
      <c r="G3338" s="1194" t="s">
        <v>118</v>
      </c>
      <c r="H3338" s="1195"/>
      <c r="I3338" s="356" t="s">
        <v>296</v>
      </c>
      <c r="J3338" s="356"/>
      <c r="K3338" s="581" t="s">
        <v>285</v>
      </c>
      <c r="L3338" s="382"/>
      <c r="M3338" s="54"/>
      <c r="N3338" s="54"/>
      <c r="O3338" s="336"/>
      <c r="P3338" s="334"/>
      <c r="Q3338" s="335"/>
      <c r="R3338" s="336"/>
      <c r="S3338" s="337"/>
    </row>
    <row r="3339" spans="1:19" ht="30" customHeight="1" x14ac:dyDescent="0.25">
      <c r="A3339" s="755" t="s">
        <v>1913</v>
      </c>
      <c r="B3339" s="1269" t="s">
        <v>1914</v>
      </c>
      <c r="C3339" s="1269"/>
      <c r="D3339" s="1269"/>
      <c r="E3339" s="247">
        <v>10.7</v>
      </c>
      <c r="F3339" s="365" t="s">
        <v>205</v>
      </c>
      <c r="G3339" s="365"/>
      <c r="H3339" s="365"/>
      <c r="I3339" s="365">
        <v>1.03</v>
      </c>
      <c r="J3339" s="365"/>
      <c r="K3339" s="247">
        <f>+E3339*I3339</f>
        <v>11.020999999999999</v>
      </c>
      <c r="L3339" s="365" t="s">
        <v>205</v>
      </c>
      <c r="M3339" s="54"/>
      <c r="N3339" s="54"/>
      <c r="O3339" s="336"/>
      <c r="P3339" s="334"/>
      <c r="Q3339" s="335"/>
      <c r="R3339" s="336"/>
      <c r="S3339" s="337"/>
    </row>
    <row r="3340" spans="1:19" ht="30" customHeight="1" x14ac:dyDescent="0.25">
      <c r="A3340" s="755" t="s">
        <v>1915</v>
      </c>
      <c r="B3340" s="1214" t="s">
        <v>1916</v>
      </c>
      <c r="C3340" s="1215"/>
      <c r="D3340" s="1216"/>
      <c r="E3340" s="247">
        <f>(449+2230)/2</f>
        <v>1339.5</v>
      </c>
      <c r="F3340" s="369" t="s">
        <v>76</v>
      </c>
      <c r="G3340" s="651">
        <f>(E3340)/H3337</f>
        <v>0.66115498519249749</v>
      </c>
      <c r="H3340" s="365" t="s">
        <v>205</v>
      </c>
      <c r="I3340" s="365">
        <v>1.03</v>
      </c>
      <c r="J3340" s="365"/>
      <c r="K3340" s="247">
        <f>G3340*I3340</f>
        <v>0.68098963474827245</v>
      </c>
      <c r="L3340" s="365" t="s">
        <v>205</v>
      </c>
      <c r="M3340" s="54"/>
      <c r="N3340" s="54"/>
      <c r="O3340" s="336"/>
      <c r="P3340" s="334"/>
      <c r="Q3340" s="335"/>
      <c r="R3340" s="336"/>
      <c r="S3340" s="337"/>
    </row>
    <row r="3341" spans="1:19" ht="30" customHeight="1" x14ac:dyDescent="0.25">
      <c r="A3341" s="755" t="s">
        <v>1915</v>
      </c>
      <c r="B3341" s="1209" t="s">
        <v>1917</v>
      </c>
      <c r="C3341" s="1210"/>
      <c r="D3341" s="1211"/>
      <c r="E3341" s="247">
        <f>(785+2010)/2</f>
        <v>1397.5</v>
      </c>
      <c r="F3341" s="369" t="s">
        <v>76</v>
      </c>
      <c r="G3341" s="651">
        <f>(E3341)/H3337</f>
        <v>0.68978282329713725</v>
      </c>
      <c r="H3341" s="697" t="s">
        <v>205</v>
      </c>
      <c r="I3341" s="365">
        <v>1.03</v>
      </c>
      <c r="J3341" s="698"/>
      <c r="K3341" s="247">
        <f>G3341*I3341</f>
        <v>0.71047630799605144</v>
      </c>
      <c r="L3341" s="365" t="s">
        <v>205</v>
      </c>
      <c r="M3341" s="54"/>
      <c r="N3341" s="54"/>
      <c r="O3341" s="336"/>
      <c r="P3341" s="334"/>
      <c r="Q3341" s="335"/>
      <c r="R3341" s="336"/>
      <c r="S3341" s="337"/>
    </row>
    <row r="3342" spans="1:19" ht="30" customHeight="1" x14ac:dyDescent="0.25">
      <c r="A3342" s="365"/>
      <c r="B3342" s="578"/>
      <c r="C3342" s="578"/>
      <c r="D3342" s="578"/>
      <c r="E3342" s="247"/>
      <c r="F3342" s="1272" t="s">
        <v>303</v>
      </c>
      <c r="G3342" s="1555" t="s">
        <v>304</v>
      </c>
      <c r="H3342" s="1556"/>
      <c r="I3342" s="1556"/>
      <c r="J3342" s="1557"/>
      <c r="K3342" s="250">
        <v>1.07</v>
      </c>
      <c r="L3342" s="365"/>
      <c r="M3342" s="54"/>
      <c r="N3342" s="54"/>
      <c r="O3342" s="336"/>
      <c r="P3342" s="334"/>
      <c r="Q3342" s="335"/>
      <c r="R3342" s="336"/>
      <c r="S3342" s="337"/>
    </row>
    <row r="3343" spans="1:19" ht="30" customHeight="1" x14ac:dyDescent="0.25">
      <c r="A3343" s="365"/>
      <c r="B3343" s="578"/>
      <c r="C3343" s="578"/>
      <c r="D3343" s="578"/>
      <c r="E3343" s="247"/>
      <c r="F3343" s="1273"/>
      <c r="G3343" s="1284" t="s">
        <v>438</v>
      </c>
      <c r="H3343" s="1284"/>
      <c r="I3343" s="1284"/>
      <c r="J3343" s="1284"/>
      <c r="K3343" s="250">
        <v>1.08</v>
      </c>
      <c r="L3343" s="365"/>
      <c r="M3343" s="54"/>
      <c r="N3343" s="54"/>
      <c r="O3343" s="336"/>
      <c r="P3343" s="334"/>
      <c r="Q3343" s="335"/>
      <c r="R3343" s="336"/>
      <c r="S3343" s="337"/>
    </row>
    <row r="3344" spans="1:19" ht="30" customHeight="1" x14ac:dyDescent="0.25">
      <c r="A3344" s="365"/>
      <c r="B3344" s="365"/>
      <c r="C3344" s="366"/>
      <c r="D3344" s="366"/>
      <c r="E3344" s="366"/>
      <c r="F3344" s="366"/>
      <c r="G3344" s="366"/>
      <c r="H3344" s="366"/>
      <c r="I3344" s="366"/>
      <c r="J3344" s="365" t="s">
        <v>72</v>
      </c>
      <c r="K3344" s="246">
        <f>+(K3339+K3340+K3341)*K3342/K3343</f>
        <v>12.297535702533727</v>
      </c>
      <c r="L3344" s="365" t="s">
        <v>205</v>
      </c>
      <c r="M3344" s="54"/>
      <c r="O3344" s="336"/>
      <c r="P3344" s="334"/>
      <c r="Q3344" s="335"/>
      <c r="R3344" s="336"/>
      <c r="S3344" s="337"/>
    </row>
    <row r="3345" spans="1:19" ht="30" customHeight="1" x14ac:dyDescent="0.25">
      <c r="A3345" s="365"/>
      <c r="B3345" s="365"/>
      <c r="C3345" s="366"/>
      <c r="D3345" s="366"/>
      <c r="E3345" s="366"/>
      <c r="F3345" s="366"/>
      <c r="G3345" s="580" t="s">
        <v>306</v>
      </c>
      <c r="H3345" s="366"/>
      <c r="I3345" s="366"/>
      <c r="J3345" s="521">
        <f>VLOOKUP(B3337,'Mil Cost Premiums for PUCs'!$A$4:$R$277,18,FALSE)</f>
        <v>1.0209999999999999</v>
      </c>
      <c r="K3345" s="246">
        <f>+K3344*J3345</f>
        <v>12.555783952286934</v>
      </c>
      <c r="L3345" s="365" t="s">
        <v>205</v>
      </c>
      <c r="M3345" s="54"/>
      <c r="N3345" s="54"/>
      <c r="O3345" s="336"/>
      <c r="P3345" s="334"/>
      <c r="Q3345" s="335"/>
      <c r="R3345" s="336"/>
      <c r="S3345" s="337"/>
    </row>
    <row r="3346" spans="1:19" ht="30" customHeight="1" thickBot="1" x14ac:dyDescent="0.3">
      <c r="A3346" s="844"/>
      <c r="B3346" s="844"/>
      <c r="C3346" s="471"/>
      <c r="D3346" s="471"/>
      <c r="E3346" s="850"/>
      <c r="F3346" s="1278" t="s">
        <v>1148</v>
      </c>
      <c r="G3346" s="1278"/>
      <c r="H3346" s="1278"/>
      <c r="I3346" s="1278"/>
      <c r="J3346" s="845">
        <v>1.0833999999999999</v>
      </c>
      <c r="K3346" s="544">
        <f>K3345*J3346</f>
        <v>13.602936333907662</v>
      </c>
      <c r="L3346" s="369" t="s">
        <v>205</v>
      </c>
      <c r="N3346" s="54"/>
      <c r="O3346" s="336"/>
      <c r="P3346" s="334"/>
      <c r="Q3346" s="335"/>
      <c r="R3346" s="336"/>
      <c r="S3346" s="337"/>
    </row>
    <row r="3347" spans="1:19" ht="30" customHeight="1" thickBot="1" x14ac:dyDescent="0.3">
      <c r="A3347" s="1305"/>
      <c r="B3347" s="1306"/>
      <c r="C3347" s="1306"/>
      <c r="D3347" s="1306"/>
      <c r="E3347" s="1306"/>
      <c r="F3347" s="1306"/>
      <c r="G3347" s="1306"/>
      <c r="H3347" s="1306"/>
      <c r="I3347" s="1306"/>
      <c r="J3347" s="1306"/>
      <c r="K3347" s="1306"/>
      <c r="L3347" s="1307"/>
      <c r="M3347" s="54"/>
      <c r="N3347" s="54"/>
      <c r="O3347" s="336"/>
      <c r="P3347" s="334"/>
      <c r="Q3347" s="335"/>
      <c r="R3347" s="336"/>
      <c r="S3347" s="337"/>
    </row>
    <row r="3348" spans="1:19" ht="30" customHeight="1" x14ac:dyDescent="0.25">
      <c r="A3348" s="327" t="s">
        <v>5</v>
      </c>
      <c r="B3348" s="328">
        <v>7331</v>
      </c>
      <c r="C3348" s="1218" t="s">
        <v>1918</v>
      </c>
      <c r="D3348" s="1219"/>
      <c r="E3348" s="331" t="s">
        <v>8</v>
      </c>
      <c r="F3348" s="332" t="s">
        <v>205</v>
      </c>
      <c r="G3348" s="342" t="s">
        <v>74</v>
      </c>
      <c r="H3348" s="156">
        <v>4477</v>
      </c>
      <c r="I3348" s="331" t="s">
        <v>10</v>
      </c>
      <c r="J3348" s="1220" t="s">
        <v>3388</v>
      </c>
      <c r="K3348" s="1220"/>
      <c r="L3348" s="1221"/>
      <c r="M3348" s="54"/>
      <c r="N3348" s="54"/>
      <c r="O3348" s="336"/>
      <c r="P3348" s="334"/>
      <c r="Q3348" s="335"/>
      <c r="R3348" s="336"/>
      <c r="S3348" s="337"/>
    </row>
    <row r="3349" spans="1:19" ht="30" customHeight="1" x14ac:dyDescent="0.25">
      <c r="A3349" s="356" t="s">
        <v>295</v>
      </c>
      <c r="B3349" s="1163" t="s">
        <v>13</v>
      </c>
      <c r="C3349" s="1163"/>
      <c r="D3349" s="1163"/>
      <c r="E3349" s="934" t="s">
        <v>116</v>
      </c>
      <c r="F3349" s="934" t="s">
        <v>117</v>
      </c>
      <c r="G3349" s="1276" t="s">
        <v>118</v>
      </c>
      <c r="H3349" s="1377"/>
      <c r="I3349" s="356" t="s">
        <v>296</v>
      </c>
      <c r="J3349" s="356"/>
      <c r="K3349" s="1236" t="s">
        <v>285</v>
      </c>
      <c r="L3349" s="1237"/>
      <c r="M3349" s="54"/>
      <c r="N3349" s="54"/>
      <c r="O3349" s="336"/>
      <c r="P3349" s="334"/>
      <c r="Q3349" s="335"/>
      <c r="R3349" s="336"/>
      <c r="S3349" s="337"/>
    </row>
    <row r="3350" spans="1:19" ht="30" customHeight="1" x14ac:dyDescent="0.25">
      <c r="A3350" s="755" t="s">
        <v>1919</v>
      </c>
      <c r="B3350" s="1214" t="s">
        <v>1920</v>
      </c>
      <c r="C3350" s="1215"/>
      <c r="D3350" s="1216"/>
      <c r="E3350" s="247">
        <v>143</v>
      </c>
      <c r="F3350" s="396" t="s">
        <v>205</v>
      </c>
      <c r="G3350" s="689"/>
      <c r="H3350" s="690" t="s">
        <v>205</v>
      </c>
      <c r="I3350" s="365">
        <v>1.04</v>
      </c>
      <c r="J3350" s="365"/>
      <c r="K3350" s="247">
        <f>+E3350*I3350</f>
        <v>148.72</v>
      </c>
      <c r="L3350" s="365" t="s">
        <v>205</v>
      </c>
      <c r="M3350" s="54"/>
      <c r="N3350" s="54"/>
      <c r="O3350" s="336"/>
      <c r="P3350" s="334"/>
      <c r="Q3350" s="335"/>
      <c r="R3350" s="336"/>
      <c r="S3350" s="337"/>
    </row>
    <row r="3351" spans="1:19" ht="30" customHeight="1" x14ac:dyDescent="0.25">
      <c r="A3351" s="755" t="s">
        <v>1921</v>
      </c>
      <c r="B3351" s="1214" t="s">
        <v>1922</v>
      </c>
      <c r="C3351" s="1215"/>
      <c r="D3351" s="1216"/>
      <c r="E3351" s="247">
        <v>840</v>
      </c>
      <c r="F3351" s="396" t="s">
        <v>40</v>
      </c>
      <c r="G3351" s="71">
        <f>(4*10*E3351)/H3348</f>
        <v>7.5050256868438687</v>
      </c>
      <c r="H3351" s="690" t="s">
        <v>1140</v>
      </c>
      <c r="I3351" s="365">
        <v>1.03</v>
      </c>
      <c r="J3351" s="365"/>
      <c r="K3351" s="247">
        <f>+G3351*I3351</f>
        <v>7.7301764574491854</v>
      </c>
      <c r="L3351" s="365" t="s">
        <v>205</v>
      </c>
      <c r="M3351" s="54"/>
      <c r="N3351" s="54"/>
      <c r="O3351" s="336"/>
      <c r="P3351" s="334"/>
      <c r="Q3351" s="335"/>
      <c r="R3351" s="336"/>
      <c r="S3351" s="337"/>
    </row>
    <row r="3352" spans="1:19" ht="30" customHeight="1" x14ac:dyDescent="0.25">
      <c r="A3352" s="755" t="s">
        <v>1109</v>
      </c>
      <c r="B3352" s="1209" t="s">
        <v>1923</v>
      </c>
      <c r="C3352" s="1210"/>
      <c r="D3352" s="1211"/>
      <c r="E3352" s="247">
        <v>760</v>
      </c>
      <c r="F3352" s="396" t="s">
        <v>76</v>
      </c>
      <c r="G3352" s="935">
        <f>4*2*E3352/H3348</f>
        <v>1.3580522671431763</v>
      </c>
      <c r="H3352" s="690" t="s">
        <v>1140</v>
      </c>
      <c r="I3352" s="365">
        <v>1.04</v>
      </c>
      <c r="J3352" s="365"/>
      <c r="K3352" s="247">
        <f>+G3352*I3352</f>
        <v>1.4123743578289034</v>
      </c>
      <c r="L3352" s="365" t="s">
        <v>205</v>
      </c>
      <c r="M3352" s="54"/>
      <c r="N3352" s="54"/>
      <c r="O3352" s="336"/>
      <c r="P3352" s="334"/>
      <c r="Q3352" s="335"/>
      <c r="R3352" s="336"/>
      <c r="S3352" s="337"/>
    </row>
    <row r="3353" spans="1:19" ht="30" customHeight="1" x14ac:dyDescent="0.25">
      <c r="A3353" s="755" t="s">
        <v>1694</v>
      </c>
      <c r="B3353" s="1214" t="s">
        <v>1281</v>
      </c>
      <c r="C3353" s="1215"/>
      <c r="D3353" s="1216"/>
      <c r="E3353" s="247">
        <v>4.09</v>
      </c>
      <c r="F3353" s="396" t="s">
        <v>205</v>
      </c>
      <c r="G3353" s="689"/>
      <c r="H3353" s="690" t="s">
        <v>205</v>
      </c>
      <c r="I3353" s="365">
        <v>1.04</v>
      </c>
      <c r="J3353" s="365"/>
      <c r="K3353" s="247">
        <f>+E3353*I3353</f>
        <v>4.2535999999999996</v>
      </c>
      <c r="L3353" s="365" t="s">
        <v>205</v>
      </c>
      <c r="M3353" s="54"/>
      <c r="N3353" s="54"/>
      <c r="O3353" s="336"/>
      <c r="P3353" s="334"/>
      <c r="Q3353" s="335"/>
      <c r="R3353" s="336"/>
      <c r="S3353" s="337"/>
    </row>
    <row r="3354" spans="1:19" ht="30" customHeight="1" x14ac:dyDescent="0.25">
      <c r="A3354" s="895"/>
      <c r="B3354" s="578"/>
      <c r="C3354" s="578"/>
      <c r="D3354" s="578"/>
      <c r="E3354" s="247"/>
      <c r="F3354" s="365"/>
      <c r="G3354" s="365"/>
      <c r="H3354" s="365"/>
      <c r="I3354" s="365"/>
      <c r="J3354" s="365" t="s">
        <v>343</v>
      </c>
      <c r="K3354" s="247">
        <f>SUM(K3350:K3353)</f>
        <v>162.11615081527808</v>
      </c>
      <c r="L3354" s="365" t="s">
        <v>205</v>
      </c>
      <c r="M3354" s="54"/>
      <c r="N3354" s="54"/>
      <c r="O3354" s="336"/>
      <c r="P3354" s="334"/>
      <c r="Q3354" s="335"/>
      <c r="R3354" s="336"/>
      <c r="S3354" s="337"/>
    </row>
    <row r="3355" spans="1:19" ht="30" customHeight="1" x14ac:dyDescent="0.25">
      <c r="A3355" s="365"/>
      <c r="B3355" s="578"/>
      <c r="C3355" s="578"/>
      <c r="D3355" s="578"/>
      <c r="E3355" s="247"/>
      <c r="F3355" s="1272" t="s">
        <v>303</v>
      </c>
      <c r="G3355" s="1283" t="s">
        <v>304</v>
      </c>
      <c r="H3355" s="1283"/>
      <c r="I3355" s="1283"/>
      <c r="J3355" s="1283"/>
      <c r="K3355" s="250">
        <v>1.07</v>
      </c>
      <c r="L3355" s="365"/>
      <c r="M3355" s="54"/>
      <c r="N3355" s="54"/>
      <c r="O3355" s="336"/>
      <c r="P3355" s="334"/>
      <c r="Q3355" s="335"/>
      <c r="R3355" s="336"/>
      <c r="S3355" s="337"/>
    </row>
    <row r="3356" spans="1:19" ht="30" customHeight="1" x14ac:dyDescent="0.25">
      <c r="A3356" s="365"/>
      <c r="B3356" s="578"/>
      <c r="C3356" s="578"/>
      <c r="D3356" s="578"/>
      <c r="E3356" s="247"/>
      <c r="F3356" s="1273"/>
      <c r="G3356" s="1284" t="s">
        <v>438</v>
      </c>
      <c r="H3356" s="1284"/>
      <c r="I3356" s="1284"/>
      <c r="J3356" s="1284"/>
      <c r="K3356" s="250">
        <v>1.08</v>
      </c>
      <c r="L3356" s="365"/>
      <c r="M3356" s="54"/>
      <c r="N3356" s="54"/>
      <c r="O3356" s="336"/>
      <c r="P3356" s="334"/>
      <c r="Q3356" s="335"/>
      <c r="R3356" s="336"/>
      <c r="S3356" s="337"/>
    </row>
    <row r="3357" spans="1:19" ht="30" customHeight="1" x14ac:dyDescent="0.25">
      <c r="A3357" s="856"/>
      <c r="B3357" s="857"/>
      <c r="C3357" s="857"/>
      <c r="D3357" s="857"/>
      <c r="E3357" s="857"/>
      <c r="F3357" s="857"/>
      <c r="G3357" s="857"/>
      <c r="H3357" s="858"/>
      <c r="I3357" s="366"/>
      <c r="J3357" s="365" t="s">
        <v>72</v>
      </c>
      <c r="K3357" s="246">
        <f>+K3354*K3355/K3356</f>
        <v>160.61507534476624</v>
      </c>
      <c r="L3357" s="365" t="s">
        <v>205</v>
      </c>
      <c r="M3357" s="54"/>
      <c r="N3357" s="54"/>
      <c r="O3357" s="336"/>
      <c r="P3357" s="334"/>
      <c r="Q3357" s="335"/>
      <c r="R3357" s="336"/>
      <c r="S3357" s="337"/>
    </row>
    <row r="3358" spans="1:19" ht="30" customHeight="1" x14ac:dyDescent="0.25">
      <c r="A3358" s="865"/>
      <c r="B3358" s="865"/>
      <c r="C3358" s="865"/>
      <c r="D3358" s="865"/>
      <c r="E3358" s="865"/>
      <c r="F3358" s="865"/>
      <c r="H3358" s="865"/>
      <c r="I3358" s="553" t="s">
        <v>414</v>
      </c>
      <c r="J3358" s="521">
        <f>VLOOKUP(B3348,'Mil Cost Premiums for PUCs'!$A$4:$R$277,18,FALSE)</f>
        <v>1.290538574246207</v>
      </c>
      <c r="K3358" s="246">
        <f>+K3357*J3358</f>
        <v>207.27995033788173</v>
      </c>
      <c r="L3358" s="365" t="s">
        <v>205</v>
      </c>
      <c r="M3358" s="54"/>
      <c r="N3358" s="54"/>
      <c r="O3358" s="336"/>
      <c r="P3358" s="334"/>
      <c r="Q3358" s="335"/>
      <c r="R3358" s="336"/>
      <c r="S3358" s="337"/>
    </row>
    <row r="3359" spans="1:19" ht="30" customHeight="1" x14ac:dyDescent="0.25">
      <c r="A3359" s="844"/>
      <c r="B3359" s="844"/>
      <c r="C3359" s="471"/>
      <c r="D3359" s="471"/>
      <c r="E3359" s="850"/>
      <c r="F3359" s="1278" t="s">
        <v>1148</v>
      </c>
      <c r="G3359" s="1278"/>
      <c r="H3359" s="1278"/>
      <c r="I3359" s="1278"/>
      <c r="J3359" s="845">
        <v>1.0833999999999999</v>
      </c>
      <c r="K3359" s="544">
        <f>K3358*J3359</f>
        <v>224.56709819606104</v>
      </c>
      <c r="L3359" s="369" t="s">
        <v>205</v>
      </c>
      <c r="N3359" s="54"/>
      <c r="O3359" s="336"/>
      <c r="P3359" s="334"/>
      <c r="Q3359" s="335"/>
      <c r="R3359" s="336"/>
      <c r="S3359" s="337"/>
    </row>
    <row r="3360" spans="1:19" ht="75" customHeight="1" x14ac:dyDescent="0.25">
      <c r="A3360" s="1230" t="s">
        <v>307</v>
      </c>
      <c r="B3360" s="1231"/>
      <c r="C3360" s="1231"/>
      <c r="D3360" s="1231"/>
      <c r="E3360" s="1231"/>
      <c r="F3360" s="1231"/>
      <c r="G3360" s="1231"/>
      <c r="H3360" s="1231"/>
      <c r="I3360" s="1231"/>
      <c r="J3360" s="1231"/>
      <c r="K3360" s="1231"/>
      <c r="L3360" s="1232"/>
      <c r="M3360" s="54"/>
      <c r="N3360" s="54"/>
      <c r="O3360" s="336"/>
      <c r="P3360" s="334"/>
      <c r="Q3360" s="335"/>
      <c r="R3360" s="336"/>
      <c r="S3360" s="337"/>
    </row>
    <row r="3361" spans="1:24" ht="60" customHeight="1" x14ac:dyDescent="0.25">
      <c r="A3361" s="1268" t="s">
        <v>308</v>
      </c>
      <c r="B3361" s="1167"/>
      <c r="C3361" s="1168"/>
      <c r="D3361" s="1230" t="s">
        <v>1924</v>
      </c>
      <c r="E3361" s="1231"/>
      <c r="F3361" s="1231"/>
      <c r="G3361" s="1231"/>
      <c r="H3361" s="1231"/>
      <c r="I3361" s="1231"/>
      <c r="J3361" s="1231"/>
      <c r="K3361" s="1231"/>
      <c r="L3361" s="1232"/>
      <c r="M3361" s="54"/>
      <c r="N3361" s="54"/>
      <c r="O3361" s="336"/>
      <c r="P3361" s="334"/>
      <c r="Q3361" s="335"/>
      <c r="R3361" s="336"/>
      <c r="S3361" s="337"/>
    </row>
    <row r="3362" spans="1:24" ht="30" customHeight="1" x14ac:dyDescent="0.25">
      <c r="A3362" s="1268" t="s">
        <v>310</v>
      </c>
      <c r="B3362" s="1167"/>
      <c r="C3362" s="1168"/>
      <c r="D3362" s="1230" t="s">
        <v>1925</v>
      </c>
      <c r="E3362" s="1231"/>
      <c r="F3362" s="1231"/>
      <c r="G3362" s="1231"/>
      <c r="H3362" s="1231"/>
      <c r="I3362" s="1231"/>
      <c r="J3362" s="1231"/>
      <c r="K3362" s="1231"/>
      <c r="L3362" s="1232"/>
      <c r="M3362" s="54"/>
      <c r="N3362" s="54"/>
      <c r="O3362" s="336"/>
      <c r="P3362" s="334"/>
      <c r="Q3362" s="335"/>
      <c r="R3362" s="336"/>
      <c r="S3362" s="337"/>
    </row>
    <row r="3363" spans="1:24" ht="30" customHeight="1" x14ac:dyDescent="0.25">
      <c r="A3363" s="1268" t="s">
        <v>312</v>
      </c>
      <c r="B3363" s="1167"/>
      <c r="C3363" s="1168"/>
      <c r="D3363" s="1230" t="s">
        <v>1926</v>
      </c>
      <c r="E3363" s="1231"/>
      <c r="F3363" s="1231"/>
      <c r="G3363" s="1231"/>
      <c r="H3363" s="1231"/>
      <c r="I3363" s="1231"/>
      <c r="J3363" s="1231"/>
      <c r="K3363" s="1231"/>
      <c r="L3363" s="1232"/>
      <c r="M3363" s="54"/>
      <c r="N3363" s="54"/>
      <c r="O3363" s="336"/>
      <c r="P3363" s="334"/>
      <c r="Q3363" s="335"/>
      <c r="R3363" s="336"/>
      <c r="S3363" s="337"/>
    </row>
    <row r="3364" spans="1:24" ht="60" customHeight="1" x14ac:dyDescent="0.25">
      <c r="A3364" s="1268" t="s">
        <v>314</v>
      </c>
      <c r="B3364" s="1167"/>
      <c r="C3364" s="1168"/>
      <c r="D3364" s="1230" t="s">
        <v>1927</v>
      </c>
      <c r="E3364" s="1231"/>
      <c r="F3364" s="1231"/>
      <c r="G3364" s="1231"/>
      <c r="H3364" s="1231"/>
      <c r="I3364" s="1231"/>
      <c r="J3364" s="1231"/>
      <c r="K3364" s="1231"/>
      <c r="L3364" s="1232"/>
      <c r="M3364" s="54"/>
      <c r="N3364" s="54"/>
      <c r="O3364" s="336"/>
      <c r="P3364" s="334"/>
      <c r="Q3364" s="335"/>
      <c r="R3364" s="336"/>
      <c r="S3364" s="337"/>
    </row>
    <row r="3365" spans="1:24" ht="30" customHeight="1" x14ac:dyDescent="0.25">
      <c r="A3365" s="1268" t="s">
        <v>316</v>
      </c>
      <c r="B3365" s="1167"/>
      <c r="C3365" s="1168"/>
      <c r="D3365" s="1256" t="s">
        <v>1928</v>
      </c>
      <c r="E3365" s="1257"/>
      <c r="F3365" s="1257"/>
      <c r="G3365" s="1257"/>
      <c r="H3365" s="1257"/>
      <c r="I3365" s="1257"/>
      <c r="J3365" s="1257"/>
      <c r="K3365" s="1257"/>
      <c r="L3365" s="1258"/>
      <c r="M3365" s="54"/>
      <c r="N3365" s="54"/>
      <c r="O3365" s="336"/>
      <c r="P3365" s="334"/>
      <c r="Q3365" s="335"/>
      <c r="R3365" s="336"/>
      <c r="S3365" s="337"/>
    </row>
    <row r="3366" spans="1:24" ht="30" customHeight="1" x14ac:dyDescent="0.25">
      <c r="A3366" s="1268" t="s">
        <v>318</v>
      </c>
      <c r="B3366" s="1167"/>
      <c r="C3366" s="1168"/>
      <c r="D3366" s="1230" t="s">
        <v>1841</v>
      </c>
      <c r="E3366" s="1231"/>
      <c r="F3366" s="1231"/>
      <c r="G3366" s="1231"/>
      <c r="H3366" s="1231"/>
      <c r="I3366" s="1231"/>
      <c r="J3366" s="1231"/>
      <c r="K3366" s="1231"/>
      <c r="L3366" s="1232"/>
      <c r="M3366" s="54"/>
      <c r="N3366" s="54"/>
      <c r="O3366" s="336"/>
      <c r="P3366" s="334"/>
      <c r="Q3366" s="335"/>
      <c r="R3366" s="336"/>
      <c r="S3366" s="337"/>
    </row>
    <row r="3367" spans="1:24" ht="30" customHeight="1" x14ac:dyDescent="0.25">
      <c r="A3367" s="1268" t="s">
        <v>320</v>
      </c>
      <c r="B3367" s="1167"/>
      <c r="C3367" s="1168"/>
      <c r="D3367" s="1230" t="s">
        <v>1929</v>
      </c>
      <c r="E3367" s="1231"/>
      <c r="F3367" s="1231"/>
      <c r="G3367" s="1231"/>
      <c r="H3367" s="1231"/>
      <c r="I3367" s="1231"/>
      <c r="J3367" s="1231"/>
      <c r="K3367" s="1231"/>
      <c r="L3367" s="1232"/>
      <c r="M3367" s="54"/>
      <c r="N3367" s="54"/>
      <c r="O3367" s="336"/>
      <c r="P3367" s="334"/>
      <c r="Q3367" s="335"/>
      <c r="R3367" s="336"/>
      <c r="S3367" s="337"/>
    </row>
    <row r="3368" spans="1:24" ht="75" customHeight="1" x14ac:dyDescent="0.25">
      <c r="A3368" s="1268" t="s">
        <v>322</v>
      </c>
      <c r="B3368" s="1167"/>
      <c r="C3368" s="1168"/>
      <c r="D3368" s="1230" t="s">
        <v>422</v>
      </c>
      <c r="E3368" s="1231"/>
      <c r="F3368" s="1231"/>
      <c r="G3368" s="1231"/>
      <c r="H3368" s="1231"/>
      <c r="I3368" s="1231"/>
      <c r="J3368" s="1231"/>
      <c r="K3368" s="1231"/>
      <c r="L3368" s="1232"/>
      <c r="M3368" s="54"/>
      <c r="N3368" s="54"/>
      <c r="O3368" s="336"/>
      <c r="P3368" s="334"/>
      <c r="Q3368" s="335"/>
      <c r="R3368" s="336"/>
      <c r="S3368" s="337"/>
    </row>
    <row r="3369" spans="1:24" ht="30" customHeight="1" thickBot="1" x14ac:dyDescent="0.3">
      <c r="A3369" s="1268" t="s">
        <v>350</v>
      </c>
      <c r="B3369" s="1167"/>
      <c r="C3369" s="1168"/>
      <c r="D3369" s="1291" t="s">
        <v>3431</v>
      </c>
      <c r="E3369" s="1292"/>
      <c r="F3369" s="1292"/>
      <c r="G3369" s="1292"/>
      <c r="H3369" s="1292"/>
      <c r="I3369" s="1292"/>
      <c r="J3369" s="1292"/>
      <c r="K3369" s="1292"/>
      <c r="L3369" s="1293"/>
      <c r="M3369" s="54"/>
      <c r="N3369" s="60"/>
      <c r="O3369" s="1739"/>
      <c r="P3369" s="1132"/>
      <c r="Q3369" s="1752"/>
      <c r="R3369" s="1739"/>
      <c r="S3369" s="1753"/>
      <c r="T3369" s="1132"/>
      <c r="U3369" s="1132"/>
      <c r="V3369" s="1132"/>
      <c r="W3369" s="1132"/>
      <c r="X3369" s="1132"/>
    </row>
    <row r="3370" spans="1:24" ht="30" customHeight="1" thickBot="1" x14ac:dyDescent="0.3">
      <c r="A3370" s="1305"/>
      <c r="B3370" s="1306"/>
      <c r="C3370" s="1306"/>
      <c r="D3370" s="1306"/>
      <c r="E3370" s="1306"/>
      <c r="F3370" s="1306"/>
      <c r="G3370" s="1306"/>
      <c r="H3370" s="1306"/>
      <c r="I3370" s="1306"/>
      <c r="J3370" s="1306"/>
      <c r="K3370" s="1306"/>
      <c r="L3370" s="1307"/>
      <c r="M3370" s="54"/>
      <c r="N3370" s="1754"/>
      <c r="O3370" s="1755"/>
      <c r="P3370" s="1756"/>
      <c r="Q3370" s="1757"/>
      <c r="R3370" s="1739"/>
      <c r="S3370" s="1753"/>
      <c r="T3370" s="1132"/>
      <c r="U3370" s="1132"/>
      <c r="V3370" s="1132"/>
      <c r="W3370" s="1132"/>
      <c r="X3370" s="1132"/>
    </row>
    <row r="3371" spans="1:24" ht="30" customHeight="1" x14ac:dyDescent="0.25">
      <c r="A3371" s="327" t="s">
        <v>5</v>
      </c>
      <c r="B3371" s="328">
        <v>7332</v>
      </c>
      <c r="C3371" s="1294" t="s">
        <v>1930</v>
      </c>
      <c r="D3371" s="1295"/>
      <c r="E3371" s="342" t="s">
        <v>8</v>
      </c>
      <c r="F3371" s="347" t="s">
        <v>205</v>
      </c>
      <c r="G3371" s="331" t="s">
        <v>74</v>
      </c>
      <c r="H3371" s="332">
        <v>3077</v>
      </c>
      <c r="I3371" s="331" t="s">
        <v>10</v>
      </c>
      <c r="J3371" s="1253" t="s">
        <v>1931</v>
      </c>
      <c r="K3371" s="1254"/>
      <c r="L3371" s="1255"/>
      <c r="M3371" s="112"/>
      <c r="N3371" s="60"/>
      <c r="O3371" s="1739"/>
      <c r="P3371" s="1132"/>
      <c r="Q3371" s="1752"/>
      <c r="R3371" s="1739"/>
      <c r="S3371" s="1753"/>
      <c r="T3371" s="1132"/>
      <c r="U3371" s="1132"/>
      <c r="V3371" s="1132"/>
      <c r="W3371" s="1132"/>
      <c r="X3371" s="1132"/>
    </row>
    <row r="3372" spans="1:24" ht="30" customHeight="1" x14ac:dyDescent="0.25">
      <c r="A3372" s="356"/>
      <c r="B3372" s="1163" t="s">
        <v>13</v>
      </c>
      <c r="C3372" s="1163"/>
      <c r="D3372" s="1163"/>
      <c r="E3372" s="356" t="s">
        <v>116</v>
      </c>
      <c r="F3372" s="356" t="s">
        <v>117</v>
      </c>
      <c r="G3372" s="1194" t="s">
        <v>118</v>
      </c>
      <c r="H3372" s="1195"/>
      <c r="I3372" s="356" t="s">
        <v>119</v>
      </c>
      <c r="J3372" s="356" t="s">
        <v>120</v>
      </c>
      <c r="K3372" s="1236" t="s">
        <v>72</v>
      </c>
      <c r="L3372" s="1237"/>
      <c r="M3372" s="54"/>
      <c r="N3372" s="54"/>
      <c r="O3372" s="336"/>
      <c r="P3372" s="334"/>
      <c r="Q3372" s="335"/>
      <c r="R3372" s="336"/>
      <c r="S3372" s="337"/>
    </row>
    <row r="3373" spans="1:24" ht="30" customHeight="1" thickBot="1" x14ac:dyDescent="0.3">
      <c r="A3373" s="360"/>
      <c r="B3373" s="1179" t="str">
        <f>C3348</f>
        <v>Exchange Eating Facility</v>
      </c>
      <c r="C3373" s="1179"/>
      <c r="D3373" s="1179"/>
      <c r="E3373" s="694">
        <f>K3359</f>
        <v>224.56709819606104</v>
      </c>
      <c r="F3373" s="486"/>
      <c r="G3373" s="1183"/>
      <c r="H3373" s="1184"/>
      <c r="I3373" s="486"/>
      <c r="J3373" s="487"/>
      <c r="K3373" s="488">
        <f>E3373</f>
        <v>224.56709819606104</v>
      </c>
      <c r="L3373" s="486" t="s">
        <v>205</v>
      </c>
      <c r="M3373" s="54"/>
      <c r="N3373" s="54"/>
      <c r="O3373" s="336"/>
      <c r="P3373" s="334"/>
      <c r="Q3373" s="335"/>
      <c r="R3373" s="336"/>
      <c r="S3373" s="337"/>
    </row>
    <row r="3374" spans="1:24" ht="30" customHeight="1" thickBot="1" x14ac:dyDescent="0.3">
      <c r="A3374" s="1180"/>
      <c r="B3374" s="1181"/>
      <c r="C3374" s="1181"/>
      <c r="D3374" s="1181"/>
      <c r="E3374" s="1181"/>
      <c r="F3374" s="1181"/>
      <c r="G3374" s="1181"/>
      <c r="H3374" s="1181"/>
      <c r="I3374" s="1181"/>
      <c r="J3374" s="1181"/>
      <c r="K3374" s="1181"/>
      <c r="L3374" s="1182"/>
      <c r="M3374" s="54"/>
      <c r="N3374" s="54"/>
      <c r="O3374" s="336"/>
      <c r="P3374" s="334"/>
      <c r="Q3374" s="335"/>
      <c r="R3374" s="336"/>
      <c r="S3374" s="337"/>
    </row>
    <row r="3375" spans="1:24" ht="30" customHeight="1" x14ac:dyDescent="0.25">
      <c r="A3375" s="327" t="s">
        <v>5</v>
      </c>
      <c r="B3375" s="328">
        <v>7333</v>
      </c>
      <c r="C3375" s="1294" t="s">
        <v>1932</v>
      </c>
      <c r="D3375" s="1295"/>
      <c r="E3375" s="331" t="s">
        <v>8</v>
      </c>
      <c r="F3375" s="332" t="s">
        <v>205</v>
      </c>
      <c r="G3375" s="342" t="s">
        <v>74</v>
      </c>
      <c r="H3375" s="156">
        <v>13681</v>
      </c>
      <c r="I3375" s="331" t="s">
        <v>10</v>
      </c>
      <c r="J3375" s="1220" t="s">
        <v>3388</v>
      </c>
      <c r="K3375" s="1220"/>
      <c r="L3375" s="1221"/>
      <c r="M3375" s="54"/>
      <c r="N3375" s="54"/>
      <c r="O3375" s="336"/>
      <c r="P3375" s="334"/>
      <c r="Q3375" s="335"/>
      <c r="R3375" s="336"/>
      <c r="S3375" s="337"/>
    </row>
    <row r="3376" spans="1:24" ht="30" customHeight="1" x14ac:dyDescent="0.25">
      <c r="A3376" s="356" t="s">
        <v>295</v>
      </c>
      <c r="B3376" s="936" t="s">
        <v>326</v>
      </c>
      <c r="C3376" s="937"/>
      <c r="D3376" s="938"/>
      <c r="E3376" s="934" t="s">
        <v>116</v>
      </c>
      <c r="F3376" s="934" t="s">
        <v>117</v>
      </c>
      <c r="G3376" s="1276" t="s">
        <v>118</v>
      </c>
      <c r="H3376" s="1377"/>
      <c r="I3376" s="356" t="s">
        <v>296</v>
      </c>
      <c r="J3376" s="356"/>
      <c r="K3376" s="1236" t="s">
        <v>285</v>
      </c>
      <c r="L3376" s="1237"/>
      <c r="M3376" s="54"/>
      <c r="N3376" s="54"/>
      <c r="O3376" s="336"/>
      <c r="P3376" s="334"/>
      <c r="Q3376" s="335"/>
      <c r="R3376" s="336"/>
      <c r="S3376" s="337"/>
    </row>
    <row r="3377" spans="1:19" ht="30" customHeight="1" x14ac:dyDescent="0.25">
      <c r="A3377" s="755" t="s">
        <v>1933</v>
      </c>
      <c r="B3377" s="1214" t="s">
        <v>1934</v>
      </c>
      <c r="C3377" s="1215"/>
      <c r="D3377" s="1216"/>
      <c r="E3377" s="247">
        <v>129</v>
      </c>
      <c r="F3377" s="396" t="s">
        <v>205</v>
      </c>
      <c r="G3377" s="689"/>
      <c r="H3377" s="690" t="s">
        <v>205</v>
      </c>
      <c r="I3377" s="365">
        <v>1.04</v>
      </c>
      <c r="J3377" s="365"/>
      <c r="K3377" s="247">
        <f>+E3377*I3377</f>
        <v>134.16</v>
      </c>
      <c r="L3377" s="365" t="s">
        <v>205</v>
      </c>
      <c r="M3377" s="54"/>
      <c r="N3377" s="54"/>
      <c r="O3377" s="336"/>
      <c r="P3377" s="334"/>
      <c r="Q3377" s="335"/>
      <c r="R3377" s="336"/>
      <c r="S3377" s="337"/>
    </row>
    <row r="3378" spans="1:19" ht="30" customHeight="1" x14ac:dyDescent="0.25">
      <c r="A3378" s="755" t="s">
        <v>1921</v>
      </c>
      <c r="B3378" s="1214" t="s">
        <v>1935</v>
      </c>
      <c r="C3378" s="1215"/>
      <c r="D3378" s="1216"/>
      <c r="E3378" s="247">
        <v>805</v>
      </c>
      <c r="F3378" s="396" t="s">
        <v>40</v>
      </c>
      <c r="G3378" s="71">
        <f>(2*10*E3378)/H3375</f>
        <v>1.1768145603391564</v>
      </c>
      <c r="H3378" s="690" t="s">
        <v>1140</v>
      </c>
      <c r="I3378" s="365">
        <v>1.03</v>
      </c>
      <c r="J3378" s="365"/>
      <c r="K3378" s="247">
        <f>+G3378*I3378</f>
        <v>1.2121189971493311</v>
      </c>
      <c r="L3378" s="365" t="s">
        <v>205</v>
      </c>
      <c r="M3378" s="54"/>
      <c r="N3378" s="54"/>
      <c r="O3378" s="336"/>
      <c r="P3378" s="334"/>
      <c r="Q3378" s="335"/>
      <c r="R3378" s="336"/>
      <c r="S3378" s="337"/>
    </row>
    <row r="3379" spans="1:19" ht="30" customHeight="1" x14ac:dyDescent="0.25">
      <c r="A3379" s="755" t="s">
        <v>1109</v>
      </c>
      <c r="B3379" s="1209" t="s">
        <v>1936</v>
      </c>
      <c r="C3379" s="1210"/>
      <c r="D3379" s="1211"/>
      <c r="E3379" s="247">
        <v>760</v>
      </c>
      <c r="F3379" s="396" t="s">
        <v>76</v>
      </c>
      <c r="G3379" s="935">
        <f>4*E3379/H3375</f>
        <v>0.22220597909509537</v>
      </c>
      <c r="H3379" s="690" t="s">
        <v>1140</v>
      </c>
      <c r="I3379" s="365">
        <v>1.04</v>
      </c>
      <c r="J3379" s="365"/>
      <c r="K3379" s="247">
        <f>+G3379*I3379</f>
        <v>0.2310942182588992</v>
      </c>
      <c r="L3379" s="365" t="s">
        <v>205</v>
      </c>
      <c r="M3379" s="54"/>
      <c r="O3379" s="336"/>
      <c r="P3379" s="334"/>
      <c r="Q3379" s="335"/>
      <c r="R3379" s="336"/>
      <c r="S3379" s="337"/>
    </row>
    <row r="3380" spans="1:19" ht="30" customHeight="1" x14ac:dyDescent="0.25">
      <c r="A3380" s="755" t="s">
        <v>1937</v>
      </c>
      <c r="B3380" s="1209" t="s">
        <v>1938</v>
      </c>
      <c r="C3380" s="1210"/>
      <c r="D3380" s="1211"/>
      <c r="E3380" s="247">
        <f>55250+(2*7800)</f>
        <v>70850</v>
      </c>
      <c r="F3380" s="396" t="s">
        <v>76</v>
      </c>
      <c r="G3380" s="935">
        <f>+E3380/H3375</f>
        <v>5.1787150062129959</v>
      </c>
      <c r="H3380" s="690" t="s">
        <v>1140</v>
      </c>
      <c r="I3380" s="365">
        <v>1.04</v>
      </c>
      <c r="J3380" s="365"/>
      <c r="K3380" s="247">
        <f>+G3380*I3380</f>
        <v>5.3858636064615162</v>
      </c>
      <c r="L3380" s="365" t="s">
        <v>205</v>
      </c>
      <c r="M3380" s="54"/>
      <c r="N3380" s="54"/>
      <c r="O3380" s="336"/>
      <c r="P3380" s="334"/>
      <c r="Q3380" s="335"/>
      <c r="R3380" s="336"/>
      <c r="S3380" s="337"/>
    </row>
    <row r="3381" spans="1:19" ht="30" customHeight="1" x14ac:dyDescent="0.25">
      <c r="A3381" s="755" t="s">
        <v>1937</v>
      </c>
      <c r="B3381" s="1209" t="s">
        <v>1939</v>
      </c>
      <c r="C3381" s="1210"/>
      <c r="D3381" s="1211"/>
      <c r="E3381" s="247">
        <f>47500+(2*17300)</f>
        <v>82100</v>
      </c>
      <c r="F3381" s="396" t="s">
        <v>76</v>
      </c>
      <c r="G3381" s="935">
        <f>+E3381/H3375</f>
        <v>6.0010233170089906</v>
      </c>
      <c r="H3381" s="690" t="s">
        <v>1140</v>
      </c>
      <c r="I3381" s="365">
        <v>1.04</v>
      </c>
      <c r="J3381" s="365"/>
      <c r="K3381" s="247">
        <f>+G3381*I3381</f>
        <v>6.2410642496893507</v>
      </c>
      <c r="L3381" s="365" t="s">
        <v>205</v>
      </c>
      <c r="M3381" s="54"/>
      <c r="N3381" s="54"/>
      <c r="O3381" s="336"/>
      <c r="P3381" s="334"/>
      <c r="Q3381" s="335"/>
      <c r="R3381" s="336"/>
      <c r="S3381" s="337"/>
    </row>
    <row r="3382" spans="1:19" ht="30" customHeight="1" x14ac:dyDescent="0.25">
      <c r="A3382" s="755" t="s">
        <v>1694</v>
      </c>
      <c r="B3382" s="1214" t="s">
        <v>457</v>
      </c>
      <c r="C3382" s="1215"/>
      <c r="D3382" s="1216"/>
      <c r="E3382" s="247">
        <v>3.42</v>
      </c>
      <c r="F3382" s="396" t="s">
        <v>205</v>
      </c>
      <c r="G3382" s="818">
        <v>1</v>
      </c>
      <c r="H3382" s="690" t="s">
        <v>205</v>
      </c>
      <c r="I3382" s="365">
        <v>1.04</v>
      </c>
      <c r="J3382" s="365"/>
      <c r="K3382" s="247">
        <f>+E3382*I3382</f>
        <v>3.5568</v>
      </c>
      <c r="L3382" s="365" t="s">
        <v>205</v>
      </c>
      <c r="M3382" s="54"/>
      <c r="N3382" s="54"/>
      <c r="O3382" s="336"/>
      <c r="P3382" s="334"/>
      <c r="Q3382" s="335"/>
      <c r="R3382" s="336"/>
      <c r="S3382" s="337"/>
    </row>
    <row r="3383" spans="1:19" ht="30" customHeight="1" x14ac:dyDescent="0.25">
      <c r="A3383" s="755" t="s">
        <v>426</v>
      </c>
      <c r="B3383" s="1214" t="s">
        <v>1940</v>
      </c>
      <c r="C3383" s="1215"/>
      <c r="D3383" s="1216"/>
      <c r="E3383" s="247">
        <f>(20.3+31.5)/2</f>
        <v>25.9</v>
      </c>
      <c r="F3383" s="396" t="s">
        <v>1882</v>
      </c>
      <c r="G3383" s="935">
        <f>81*23.88/H3375</f>
        <v>0.14138440172502009</v>
      </c>
      <c r="H3383" s="690" t="s">
        <v>1140</v>
      </c>
      <c r="I3383" s="365">
        <v>1.03</v>
      </c>
      <c r="J3383" s="365"/>
      <c r="K3383" s="247">
        <f t="shared" ref="K3383:K3388" si="59">+G3383*I3383</f>
        <v>0.14562593377677069</v>
      </c>
      <c r="L3383" s="365" t="s">
        <v>205</v>
      </c>
      <c r="M3383" s="54"/>
      <c r="N3383" s="54"/>
      <c r="O3383" s="336"/>
      <c r="P3383" s="334"/>
      <c r="Q3383" s="335"/>
      <c r="R3383" s="336"/>
      <c r="S3383" s="337"/>
    </row>
    <row r="3384" spans="1:19" ht="30" customHeight="1" x14ac:dyDescent="0.25">
      <c r="A3384" s="755" t="s">
        <v>426</v>
      </c>
      <c r="B3384" s="1214" t="s">
        <v>1941</v>
      </c>
      <c r="C3384" s="1215"/>
      <c r="D3384" s="1216"/>
      <c r="E3384" s="247">
        <f>(1710+2420)/2</f>
        <v>2065</v>
      </c>
      <c r="F3384" s="396" t="s">
        <v>76</v>
      </c>
      <c r="G3384" s="935">
        <f>+E3384/H3375</f>
        <v>0.1509392588261092</v>
      </c>
      <c r="H3384" s="690" t="s">
        <v>1140</v>
      </c>
      <c r="I3384" s="365">
        <v>1.03</v>
      </c>
      <c r="J3384" s="365"/>
      <c r="K3384" s="247">
        <f t="shared" si="59"/>
        <v>0.15546743659089249</v>
      </c>
      <c r="L3384" s="365" t="s">
        <v>205</v>
      </c>
      <c r="M3384" s="54"/>
      <c r="N3384" s="54"/>
      <c r="O3384" s="336"/>
      <c r="P3384" s="334"/>
      <c r="Q3384" s="335"/>
      <c r="R3384" s="336"/>
      <c r="S3384" s="337"/>
    </row>
    <row r="3385" spans="1:19" ht="30" customHeight="1" x14ac:dyDescent="0.25">
      <c r="A3385" s="755" t="s">
        <v>430</v>
      </c>
      <c r="B3385" s="1214" t="s">
        <v>1942</v>
      </c>
      <c r="C3385" s="1215"/>
      <c r="D3385" s="1216"/>
      <c r="E3385" s="247">
        <f>(34.5+82)/2</f>
        <v>58.25</v>
      </c>
      <c r="F3385" s="396" t="s">
        <v>40</v>
      </c>
      <c r="G3385" s="935">
        <f>+E3385*10/H3375</f>
        <v>4.2577296981214825E-2</v>
      </c>
      <c r="H3385" s="690" t="s">
        <v>1140</v>
      </c>
      <c r="I3385" s="365">
        <v>1.03</v>
      </c>
      <c r="J3385" s="365"/>
      <c r="K3385" s="247">
        <f t="shared" si="59"/>
        <v>4.3854615890651275E-2</v>
      </c>
      <c r="L3385" s="365" t="s">
        <v>205</v>
      </c>
      <c r="M3385" s="54"/>
      <c r="N3385" s="54"/>
      <c r="O3385" s="336"/>
      <c r="P3385" s="334"/>
      <c r="Q3385" s="335"/>
      <c r="R3385" s="336"/>
      <c r="S3385" s="337"/>
    </row>
    <row r="3386" spans="1:19" ht="30" customHeight="1" x14ac:dyDescent="0.25">
      <c r="A3386" s="755" t="s">
        <v>430</v>
      </c>
      <c r="B3386" s="1214" t="s">
        <v>1886</v>
      </c>
      <c r="C3386" s="1215"/>
      <c r="D3386" s="1216"/>
      <c r="E3386" s="247">
        <f>(6450+12300)/2</f>
        <v>9375</v>
      </c>
      <c r="F3386" s="396" t="s">
        <v>76</v>
      </c>
      <c r="G3386" s="935">
        <f>+E3386/H3375</f>
        <v>0.68525692566332874</v>
      </c>
      <c r="H3386" s="690" t="s">
        <v>1140</v>
      </c>
      <c r="I3386" s="365">
        <v>1.03</v>
      </c>
      <c r="J3386" s="365"/>
      <c r="K3386" s="247">
        <f t="shared" si="59"/>
        <v>0.70581463343322859</v>
      </c>
      <c r="L3386" s="365" t="s">
        <v>205</v>
      </c>
      <c r="M3386" s="54"/>
      <c r="N3386" s="112"/>
      <c r="O3386" s="336"/>
      <c r="P3386" s="334"/>
      <c r="Q3386" s="335"/>
      <c r="R3386" s="336"/>
      <c r="S3386" s="337"/>
    </row>
    <row r="3387" spans="1:19" ht="30" customHeight="1" x14ac:dyDescent="0.25">
      <c r="A3387" s="755" t="s">
        <v>430</v>
      </c>
      <c r="B3387" s="1214" t="s">
        <v>1147</v>
      </c>
      <c r="C3387" s="1215"/>
      <c r="D3387" s="1216"/>
      <c r="E3387" s="247">
        <f>(660+1010)/2</f>
        <v>835</v>
      </c>
      <c r="F3387" s="396" t="s">
        <v>76</v>
      </c>
      <c r="G3387" s="935">
        <f>+E3387/H3375</f>
        <v>6.1033550179080479E-2</v>
      </c>
      <c r="H3387" s="690" t="s">
        <v>1140</v>
      </c>
      <c r="I3387" s="365">
        <v>1.03</v>
      </c>
      <c r="J3387" s="365"/>
      <c r="K3387" s="247">
        <f t="shared" si="59"/>
        <v>6.2864556684452899E-2</v>
      </c>
      <c r="L3387" s="365" t="s">
        <v>205</v>
      </c>
      <c r="M3387" s="54"/>
      <c r="N3387" s="54"/>
      <c r="O3387" s="336"/>
      <c r="P3387" s="334"/>
      <c r="Q3387" s="335"/>
      <c r="R3387" s="336"/>
      <c r="S3387" s="337"/>
    </row>
    <row r="3388" spans="1:19" ht="30" customHeight="1" x14ac:dyDescent="0.25">
      <c r="A3388" s="755" t="s">
        <v>430</v>
      </c>
      <c r="B3388" s="1214" t="s">
        <v>435</v>
      </c>
      <c r="C3388" s="1215"/>
      <c r="D3388" s="1216"/>
      <c r="E3388" s="247">
        <f>(1160+3475)/2</f>
        <v>2317.5</v>
      </c>
      <c r="F3388" s="396" t="s">
        <v>76</v>
      </c>
      <c r="G3388" s="935">
        <f>+E3388/H3375</f>
        <v>0.16939551202397485</v>
      </c>
      <c r="H3388" s="690" t="s">
        <v>1140</v>
      </c>
      <c r="I3388" s="365">
        <v>1.03</v>
      </c>
      <c r="J3388" s="365"/>
      <c r="K3388" s="247">
        <f t="shared" si="59"/>
        <v>0.1744773773846941</v>
      </c>
      <c r="L3388" s="365" t="s">
        <v>205</v>
      </c>
      <c r="M3388" s="54"/>
      <c r="N3388" s="54"/>
      <c r="O3388" s="336"/>
      <c r="P3388" s="334"/>
      <c r="Q3388" s="335"/>
      <c r="R3388" s="336"/>
      <c r="S3388" s="337"/>
    </row>
    <row r="3389" spans="1:19" ht="30" customHeight="1" x14ac:dyDescent="0.25">
      <c r="A3389" s="895"/>
      <c r="B3389" s="578"/>
      <c r="C3389" s="578"/>
      <c r="D3389" s="578"/>
      <c r="E3389" s="247"/>
      <c r="F3389" s="365"/>
      <c r="G3389" s="365"/>
      <c r="H3389" s="365"/>
      <c r="I3389" s="365"/>
      <c r="J3389" s="365" t="s">
        <v>343</v>
      </c>
      <c r="K3389" s="247">
        <f>SUM(K3377:K3388)</f>
        <v>152.0750456253198</v>
      </c>
      <c r="L3389" s="365" t="s">
        <v>205</v>
      </c>
      <c r="M3389" s="54"/>
      <c r="N3389" s="54"/>
      <c r="O3389" s="336"/>
      <c r="P3389" s="334"/>
      <c r="Q3389" s="335"/>
      <c r="R3389" s="336"/>
      <c r="S3389" s="337"/>
    </row>
    <row r="3390" spans="1:19" ht="30" customHeight="1" x14ac:dyDescent="0.25">
      <c r="A3390" s="365"/>
      <c r="B3390" s="578"/>
      <c r="C3390" s="578"/>
      <c r="D3390" s="578"/>
      <c r="E3390" s="247"/>
      <c r="F3390" s="1272" t="s">
        <v>303</v>
      </c>
      <c r="G3390" s="1283" t="s">
        <v>304</v>
      </c>
      <c r="H3390" s="1283"/>
      <c r="I3390" s="1283"/>
      <c r="J3390" s="1283"/>
      <c r="K3390" s="250">
        <v>1.07</v>
      </c>
      <c r="L3390" s="365"/>
      <c r="M3390" s="54"/>
      <c r="N3390" s="54"/>
      <c r="O3390" s="336"/>
      <c r="P3390" s="334"/>
      <c r="Q3390" s="335"/>
      <c r="R3390" s="336"/>
      <c r="S3390" s="337"/>
    </row>
    <row r="3391" spans="1:19" ht="30" customHeight="1" x14ac:dyDescent="0.25">
      <c r="A3391" s="365"/>
      <c r="B3391" s="578"/>
      <c r="C3391" s="578"/>
      <c r="D3391" s="578"/>
      <c r="E3391" s="247"/>
      <c r="F3391" s="1273"/>
      <c r="G3391" s="1316" t="s">
        <v>438</v>
      </c>
      <c r="H3391" s="1317"/>
      <c r="I3391" s="1317"/>
      <c r="J3391" s="1318"/>
      <c r="K3391" s="250">
        <v>1.08</v>
      </c>
      <c r="L3391" s="365"/>
      <c r="M3391" s="54"/>
      <c r="N3391" s="54"/>
      <c r="O3391" s="336"/>
      <c r="P3391" s="334"/>
      <c r="Q3391" s="335"/>
      <c r="R3391" s="336"/>
      <c r="S3391" s="337"/>
    </row>
    <row r="3392" spans="1:19" ht="30" customHeight="1" x14ac:dyDescent="0.25">
      <c r="A3392" s="365"/>
      <c r="B3392" s="365"/>
      <c r="C3392" s="366"/>
      <c r="D3392" s="366"/>
      <c r="E3392" s="366"/>
      <c r="F3392" s="366"/>
      <c r="G3392" s="366"/>
      <c r="H3392" s="366"/>
      <c r="I3392" s="366"/>
      <c r="J3392" s="365" t="s">
        <v>72</v>
      </c>
      <c r="K3392" s="246">
        <f>+K3389*K3390/K3391</f>
        <v>150.66694335101127</v>
      </c>
      <c r="L3392" s="365" t="s">
        <v>205</v>
      </c>
      <c r="M3392" s="54"/>
      <c r="N3392" s="54"/>
      <c r="O3392" s="336"/>
      <c r="P3392" s="334"/>
      <c r="Q3392" s="335"/>
      <c r="R3392" s="336"/>
      <c r="S3392" s="337"/>
    </row>
    <row r="3393" spans="1:19" ht="30" customHeight="1" x14ac:dyDescent="0.25">
      <c r="A3393" s="366"/>
      <c r="B3393" s="366"/>
      <c r="C3393" s="366"/>
      <c r="D3393" s="366"/>
      <c r="E3393" s="366"/>
      <c r="F3393" s="366"/>
      <c r="H3393" s="1212" t="s">
        <v>414</v>
      </c>
      <c r="I3393" s="1552"/>
      <c r="J3393" s="521">
        <f>VLOOKUP(B3375,'Mil Cost Premiums for PUCs'!$A$4:$R$277,18,FALSE)</f>
        <v>1.3319480854780448</v>
      </c>
      <c r="K3393" s="246">
        <f>+K3392*J3393</f>
        <v>200.6805467412085</v>
      </c>
      <c r="L3393" s="365" t="s">
        <v>205</v>
      </c>
      <c r="M3393" s="54"/>
      <c r="N3393" s="54"/>
      <c r="O3393" s="336"/>
      <c r="P3393" s="334"/>
      <c r="Q3393" s="335"/>
      <c r="R3393" s="336"/>
      <c r="S3393" s="337"/>
    </row>
    <row r="3394" spans="1:19" ht="30" customHeight="1" x14ac:dyDescent="0.25">
      <c r="A3394" s="844"/>
      <c r="B3394" s="844"/>
      <c r="C3394" s="471"/>
      <c r="D3394" s="471"/>
      <c r="E3394" s="850"/>
      <c r="F3394" s="1278" t="s">
        <v>1148</v>
      </c>
      <c r="G3394" s="1278"/>
      <c r="H3394" s="1278"/>
      <c r="I3394" s="1278"/>
      <c r="J3394" s="845">
        <v>1.0833999999999999</v>
      </c>
      <c r="K3394" s="544">
        <f>K3393*J3394</f>
        <v>217.41730433942527</v>
      </c>
      <c r="L3394" s="369" t="s">
        <v>205</v>
      </c>
      <c r="N3394" s="54"/>
      <c r="O3394" s="336"/>
      <c r="P3394" s="334"/>
      <c r="Q3394" s="335"/>
      <c r="R3394" s="336"/>
      <c r="S3394" s="337"/>
    </row>
    <row r="3395" spans="1:19" ht="75" customHeight="1" x14ac:dyDescent="0.25">
      <c r="A3395" s="1230" t="s">
        <v>307</v>
      </c>
      <c r="B3395" s="1231"/>
      <c r="C3395" s="1231"/>
      <c r="D3395" s="1231"/>
      <c r="E3395" s="1231"/>
      <c r="F3395" s="1231"/>
      <c r="G3395" s="1231"/>
      <c r="H3395" s="1231"/>
      <c r="I3395" s="1231"/>
      <c r="J3395" s="1231"/>
      <c r="K3395" s="1231"/>
      <c r="L3395" s="1232"/>
      <c r="M3395" s="54"/>
      <c r="N3395" s="54"/>
      <c r="O3395" s="336"/>
      <c r="P3395" s="334"/>
      <c r="Q3395" s="335"/>
      <c r="R3395" s="336"/>
      <c r="S3395" s="337"/>
    </row>
    <row r="3396" spans="1:19" ht="75" customHeight="1" x14ac:dyDescent="0.25">
      <c r="A3396" s="1268" t="s">
        <v>308</v>
      </c>
      <c r="B3396" s="1167"/>
      <c r="C3396" s="1168"/>
      <c r="D3396" s="1230" t="s">
        <v>1943</v>
      </c>
      <c r="E3396" s="1231"/>
      <c r="F3396" s="1231"/>
      <c r="G3396" s="1231"/>
      <c r="H3396" s="1231"/>
      <c r="I3396" s="1231"/>
      <c r="J3396" s="1231"/>
      <c r="K3396" s="1231"/>
      <c r="L3396" s="1232"/>
      <c r="M3396" s="54"/>
      <c r="N3396" s="54"/>
      <c r="O3396" s="336"/>
      <c r="P3396" s="334"/>
      <c r="Q3396" s="335"/>
      <c r="R3396" s="336"/>
      <c r="S3396" s="337"/>
    </row>
    <row r="3397" spans="1:19" ht="30" customHeight="1" x14ac:dyDescent="0.25">
      <c r="A3397" s="1268" t="s">
        <v>310</v>
      </c>
      <c r="B3397" s="1167"/>
      <c r="C3397" s="1168"/>
      <c r="D3397" s="1230" t="s">
        <v>1944</v>
      </c>
      <c r="E3397" s="1231"/>
      <c r="F3397" s="1231"/>
      <c r="G3397" s="1231"/>
      <c r="H3397" s="1231"/>
      <c r="I3397" s="1231"/>
      <c r="J3397" s="1231"/>
      <c r="K3397" s="1231"/>
      <c r="L3397" s="1232"/>
      <c r="M3397" s="54"/>
      <c r="N3397" s="54"/>
      <c r="O3397" s="336"/>
      <c r="P3397" s="334"/>
      <c r="Q3397" s="335"/>
      <c r="R3397" s="336"/>
      <c r="S3397" s="337"/>
    </row>
    <row r="3398" spans="1:19" ht="30" customHeight="1" x14ac:dyDescent="0.25">
      <c r="A3398" s="1268" t="s">
        <v>312</v>
      </c>
      <c r="B3398" s="1167"/>
      <c r="C3398" s="1168"/>
      <c r="D3398" s="1230" t="s">
        <v>1945</v>
      </c>
      <c r="E3398" s="1231"/>
      <c r="F3398" s="1231"/>
      <c r="G3398" s="1231"/>
      <c r="H3398" s="1231"/>
      <c r="I3398" s="1231"/>
      <c r="J3398" s="1231"/>
      <c r="K3398" s="1231"/>
      <c r="L3398" s="1232"/>
      <c r="M3398" s="54"/>
      <c r="N3398" s="54"/>
      <c r="O3398" s="336"/>
      <c r="P3398" s="334"/>
      <c r="Q3398" s="335"/>
      <c r="R3398" s="336"/>
      <c r="S3398" s="337"/>
    </row>
    <row r="3399" spans="1:19" ht="30" customHeight="1" x14ac:dyDescent="0.25">
      <c r="A3399" s="1268" t="s">
        <v>314</v>
      </c>
      <c r="B3399" s="1167"/>
      <c r="C3399" s="1168"/>
      <c r="D3399" s="1230" t="s">
        <v>1946</v>
      </c>
      <c r="E3399" s="1231"/>
      <c r="F3399" s="1231"/>
      <c r="G3399" s="1231"/>
      <c r="H3399" s="1231"/>
      <c r="I3399" s="1231"/>
      <c r="J3399" s="1231"/>
      <c r="K3399" s="1231"/>
      <c r="L3399" s="1232"/>
      <c r="M3399" s="54"/>
      <c r="N3399" s="54"/>
      <c r="O3399" s="336"/>
      <c r="P3399" s="334"/>
      <c r="Q3399" s="335"/>
      <c r="R3399" s="336"/>
      <c r="S3399" s="337"/>
    </row>
    <row r="3400" spans="1:19" ht="30" customHeight="1" x14ac:dyDescent="0.25">
      <c r="A3400" s="1268" t="s">
        <v>316</v>
      </c>
      <c r="B3400" s="1167"/>
      <c r="C3400" s="1168"/>
      <c r="D3400" s="1230" t="s">
        <v>1947</v>
      </c>
      <c r="E3400" s="1231"/>
      <c r="F3400" s="1231"/>
      <c r="G3400" s="1231"/>
      <c r="H3400" s="1231"/>
      <c r="I3400" s="1231"/>
      <c r="J3400" s="1231"/>
      <c r="K3400" s="1231"/>
      <c r="L3400" s="1232"/>
      <c r="M3400" s="54"/>
      <c r="O3400" s="336"/>
      <c r="P3400" s="334"/>
      <c r="Q3400" s="335"/>
      <c r="R3400" s="336"/>
      <c r="S3400" s="337"/>
    </row>
    <row r="3401" spans="1:19" ht="30" customHeight="1" x14ac:dyDescent="0.25">
      <c r="A3401" s="1268" t="s">
        <v>318</v>
      </c>
      <c r="B3401" s="1167"/>
      <c r="C3401" s="1168"/>
      <c r="D3401" s="1230" t="s">
        <v>1948</v>
      </c>
      <c r="E3401" s="1231"/>
      <c r="F3401" s="1231"/>
      <c r="G3401" s="1231"/>
      <c r="H3401" s="1231"/>
      <c r="I3401" s="1231"/>
      <c r="J3401" s="1231"/>
      <c r="K3401" s="1231"/>
      <c r="L3401" s="1232"/>
      <c r="M3401" s="112"/>
      <c r="N3401" s="54"/>
      <c r="O3401" s="336"/>
      <c r="P3401" s="334"/>
      <c r="Q3401" s="335"/>
      <c r="R3401" s="336"/>
      <c r="S3401" s="337"/>
    </row>
    <row r="3402" spans="1:19" ht="30" customHeight="1" x14ac:dyDescent="0.25">
      <c r="A3402" s="1268" t="s">
        <v>320</v>
      </c>
      <c r="B3402" s="1167"/>
      <c r="C3402" s="1168"/>
      <c r="D3402" s="1230" t="s">
        <v>1929</v>
      </c>
      <c r="E3402" s="1231"/>
      <c r="F3402" s="1231"/>
      <c r="G3402" s="1231"/>
      <c r="H3402" s="1231"/>
      <c r="I3402" s="1231"/>
      <c r="J3402" s="1231"/>
      <c r="K3402" s="1231"/>
      <c r="L3402" s="1232"/>
      <c r="M3402" s="54"/>
      <c r="N3402" s="54"/>
      <c r="O3402" s="336"/>
      <c r="P3402" s="334"/>
      <c r="Q3402" s="335"/>
      <c r="R3402" s="336"/>
      <c r="S3402" s="337"/>
    </row>
    <row r="3403" spans="1:19" ht="75" customHeight="1" x14ac:dyDescent="0.25">
      <c r="A3403" s="1268" t="s">
        <v>322</v>
      </c>
      <c r="B3403" s="1167"/>
      <c r="C3403" s="1168"/>
      <c r="D3403" s="1230" t="s">
        <v>422</v>
      </c>
      <c r="E3403" s="1231"/>
      <c r="F3403" s="1231"/>
      <c r="G3403" s="1231"/>
      <c r="H3403" s="1231"/>
      <c r="I3403" s="1231"/>
      <c r="J3403" s="1231"/>
      <c r="K3403" s="1231"/>
      <c r="L3403" s="1232"/>
      <c r="M3403" s="54"/>
      <c r="N3403" s="54"/>
      <c r="O3403" s="336"/>
      <c r="P3403" s="334"/>
      <c r="Q3403" s="335"/>
      <c r="R3403" s="336"/>
      <c r="S3403" s="337"/>
    </row>
    <row r="3404" spans="1:19" ht="45" customHeight="1" thickBot="1" x14ac:dyDescent="0.3">
      <c r="A3404" s="1268" t="s">
        <v>350</v>
      </c>
      <c r="B3404" s="1167"/>
      <c r="C3404" s="1168"/>
      <c r="D3404" s="1291" t="s">
        <v>3432</v>
      </c>
      <c r="E3404" s="1292"/>
      <c r="F3404" s="1292"/>
      <c r="G3404" s="1292"/>
      <c r="H3404" s="1292"/>
      <c r="I3404" s="1292"/>
      <c r="J3404" s="1292"/>
      <c r="K3404" s="1292"/>
      <c r="L3404" s="1293"/>
      <c r="M3404" s="54"/>
      <c r="N3404" s="54"/>
      <c r="O3404" s="336"/>
      <c r="P3404" s="334"/>
      <c r="Q3404" s="335"/>
      <c r="R3404" s="336"/>
      <c r="S3404" s="337"/>
    </row>
    <row r="3405" spans="1:19" ht="30" customHeight="1" thickBot="1" x14ac:dyDescent="0.3">
      <c r="A3405" s="1180"/>
      <c r="B3405" s="1181"/>
      <c r="C3405" s="1181"/>
      <c r="D3405" s="1181"/>
      <c r="E3405" s="1181"/>
      <c r="F3405" s="1181"/>
      <c r="G3405" s="1181"/>
      <c r="H3405" s="1181"/>
      <c r="I3405" s="1181"/>
      <c r="J3405" s="1181"/>
      <c r="K3405" s="1181"/>
      <c r="L3405" s="1182"/>
      <c r="M3405" s="54"/>
      <c r="N3405" s="54"/>
      <c r="O3405" s="336"/>
      <c r="P3405" s="334"/>
      <c r="Q3405" s="335"/>
      <c r="R3405" s="336"/>
      <c r="S3405" s="337"/>
    </row>
    <row r="3406" spans="1:19" ht="30" customHeight="1" x14ac:dyDescent="0.25">
      <c r="A3406" s="327" t="s">
        <v>5</v>
      </c>
      <c r="B3406" s="328">
        <v>7340</v>
      </c>
      <c r="C3406" s="1251" t="s">
        <v>1949</v>
      </c>
      <c r="D3406" s="1252"/>
      <c r="E3406" s="331" t="s">
        <v>8</v>
      </c>
      <c r="F3406" s="332" t="s">
        <v>205</v>
      </c>
      <c r="G3406" s="342" t="s">
        <v>74</v>
      </c>
      <c r="H3406" s="160">
        <v>5155</v>
      </c>
      <c r="I3406" s="331" t="s">
        <v>10</v>
      </c>
      <c r="J3406" s="1220" t="s">
        <v>3388</v>
      </c>
      <c r="K3406" s="1220"/>
      <c r="L3406" s="1221"/>
      <c r="M3406" s="54"/>
      <c r="N3406" s="54"/>
      <c r="O3406" s="336"/>
      <c r="P3406" s="334"/>
      <c r="Q3406" s="335"/>
      <c r="R3406" s="336"/>
      <c r="S3406" s="337"/>
    </row>
    <row r="3407" spans="1:19" ht="30" customHeight="1" x14ac:dyDescent="0.25">
      <c r="A3407" s="359" t="s">
        <v>295</v>
      </c>
      <c r="B3407" s="1222" t="s">
        <v>326</v>
      </c>
      <c r="C3407" s="1235"/>
      <c r="D3407" s="1223"/>
      <c r="E3407" s="577" t="s">
        <v>116</v>
      </c>
      <c r="F3407" s="577" t="s">
        <v>117</v>
      </c>
      <c r="G3407" s="1194" t="s">
        <v>118</v>
      </c>
      <c r="H3407" s="1195"/>
      <c r="I3407" s="356" t="s">
        <v>296</v>
      </c>
      <c r="J3407" s="356"/>
      <c r="K3407" s="1236" t="s">
        <v>285</v>
      </c>
      <c r="L3407" s="1237"/>
      <c r="M3407" s="54"/>
      <c r="N3407" s="54"/>
      <c r="O3407" s="336"/>
      <c r="P3407" s="334"/>
      <c r="Q3407" s="335"/>
      <c r="R3407" s="336"/>
      <c r="S3407" s="337"/>
    </row>
    <row r="3408" spans="1:19" ht="30" customHeight="1" x14ac:dyDescent="0.25">
      <c r="A3408" s="755" t="s">
        <v>1950</v>
      </c>
      <c r="B3408" s="1214" t="s">
        <v>1951</v>
      </c>
      <c r="C3408" s="1215"/>
      <c r="D3408" s="1216"/>
      <c r="E3408" s="247">
        <v>88</v>
      </c>
      <c r="F3408" s="396" t="s">
        <v>205</v>
      </c>
      <c r="G3408" s="689"/>
      <c r="H3408" s="690"/>
      <c r="I3408" s="365">
        <v>1.04</v>
      </c>
      <c r="J3408" s="365"/>
      <c r="K3408" s="247">
        <f>+E3408*I3408</f>
        <v>91.52000000000001</v>
      </c>
      <c r="L3408" s="365" t="s">
        <v>205</v>
      </c>
      <c r="M3408" s="54"/>
      <c r="N3408" s="54"/>
      <c r="O3408" s="336"/>
      <c r="P3408" s="334"/>
      <c r="Q3408" s="335"/>
      <c r="R3408" s="336"/>
      <c r="S3408" s="337"/>
    </row>
    <row r="3409" spans="1:19" ht="30" customHeight="1" x14ac:dyDescent="0.25">
      <c r="A3409" s="895" t="s">
        <v>1694</v>
      </c>
      <c r="B3409" s="1214" t="s">
        <v>1281</v>
      </c>
      <c r="C3409" s="1215"/>
      <c r="D3409" s="1216"/>
      <c r="E3409" s="247">
        <v>4.09</v>
      </c>
      <c r="F3409" s="396" t="s">
        <v>205</v>
      </c>
      <c r="G3409" s="689"/>
      <c r="H3409" s="690"/>
      <c r="I3409" s="365">
        <v>1.04</v>
      </c>
      <c r="J3409" s="365"/>
      <c r="K3409" s="247">
        <f>+E3409*I3409</f>
        <v>4.2535999999999996</v>
      </c>
      <c r="L3409" s="365" t="s">
        <v>205</v>
      </c>
      <c r="M3409" s="54"/>
      <c r="N3409" s="54"/>
      <c r="O3409" s="336"/>
      <c r="P3409" s="334"/>
      <c r="Q3409" s="335"/>
      <c r="R3409" s="336"/>
      <c r="S3409" s="337"/>
    </row>
    <row r="3410" spans="1:19" ht="30" customHeight="1" x14ac:dyDescent="0.25">
      <c r="A3410" s="365"/>
      <c r="B3410" s="1269"/>
      <c r="C3410" s="1269"/>
      <c r="D3410" s="1269"/>
      <c r="E3410" s="247"/>
      <c r="F3410" s="365"/>
      <c r="G3410" s="365"/>
      <c r="H3410" s="365"/>
      <c r="I3410" s="365"/>
      <c r="J3410" s="365" t="s">
        <v>343</v>
      </c>
      <c r="K3410" s="247">
        <f>SUM(K3408:K3409)</f>
        <v>95.773600000000016</v>
      </c>
      <c r="L3410" s="365" t="s">
        <v>205</v>
      </c>
      <c r="M3410" s="54"/>
      <c r="N3410" s="54"/>
      <c r="O3410" s="336"/>
      <c r="P3410" s="334"/>
      <c r="Q3410" s="335"/>
      <c r="R3410" s="336"/>
      <c r="S3410" s="337"/>
    </row>
    <row r="3411" spans="1:19" ht="30" customHeight="1" x14ac:dyDescent="0.25">
      <c r="A3411" s="365"/>
      <c r="B3411" s="578"/>
      <c r="C3411" s="578"/>
      <c r="D3411" s="578"/>
      <c r="E3411" s="247"/>
      <c r="F3411" s="1272" t="s">
        <v>303</v>
      </c>
      <c r="G3411" s="1283" t="s">
        <v>304</v>
      </c>
      <c r="H3411" s="1283"/>
      <c r="I3411" s="1283"/>
      <c r="J3411" s="1283"/>
      <c r="K3411" s="250">
        <v>1.07</v>
      </c>
      <c r="L3411" s="365"/>
      <c r="M3411" s="54"/>
      <c r="O3411" s="336"/>
      <c r="P3411" s="334"/>
      <c r="Q3411" s="335"/>
      <c r="R3411" s="336"/>
      <c r="S3411" s="337"/>
    </row>
    <row r="3412" spans="1:19" ht="30" customHeight="1" x14ac:dyDescent="0.25">
      <c r="A3412" s="365"/>
      <c r="B3412" s="578"/>
      <c r="C3412" s="578"/>
      <c r="D3412" s="578"/>
      <c r="E3412" s="247"/>
      <c r="F3412" s="1273"/>
      <c r="G3412" s="1284" t="s">
        <v>438</v>
      </c>
      <c r="H3412" s="1284"/>
      <c r="I3412" s="1284"/>
      <c r="J3412" s="1284"/>
      <c r="K3412" s="250">
        <v>1.08</v>
      </c>
      <c r="L3412" s="365"/>
      <c r="M3412" s="54"/>
      <c r="N3412" s="54"/>
      <c r="O3412" s="336"/>
      <c r="P3412" s="334"/>
      <c r="Q3412" s="335"/>
      <c r="R3412" s="336"/>
      <c r="S3412" s="337"/>
    </row>
    <row r="3413" spans="1:19" ht="30" customHeight="1" x14ac:dyDescent="0.25">
      <c r="A3413" s="365"/>
      <c r="B3413" s="365"/>
      <c r="C3413" s="366"/>
      <c r="D3413" s="366"/>
      <c r="E3413" s="366"/>
      <c r="F3413" s="366"/>
      <c r="G3413" s="366"/>
      <c r="H3413" s="366"/>
      <c r="I3413" s="366"/>
      <c r="J3413" s="365" t="s">
        <v>72</v>
      </c>
      <c r="K3413" s="246">
        <f>+K3410*K3411/K3412</f>
        <v>94.886807407407417</v>
      </c>
      <c r="L3413" s="365" t="s">
        <v>205</v>
      </c>
      <c r="M3413" s="54"/>
      <c r="N3413" s="54"/>
      <c r="O3413" s="336"/>
      <c r="P3413" s="334"/>
      <c r="Q3413" s="335"/>
      <c r="R3413" s="336"/>
      <c r="S3413" s="337"/>
    </row>
    <row r="3414" spans="1:19" ht="30" customHeight="1" x14ac:dyDescent="0.25">
      <c r="A3414" s="365"/>
      <c r="B3414" s="365"/>
      <c r="C3414" s="366"/>
      <c r="D3414" s="366"/>
      <c r="E3414" s="366"/>
      <c r="F3414" s="366"/>
      <c r="G3414" s="580" t="s">
        <v>306</v>
      </c>
      <c r="H3414" s="366"/>
      <c r="I3414" s="366"/>
      <c r="J3414" s="521">
        <f>VLOOKUP(B3406,'Mil Cost Premiums for PUCs'!$A$4:$R$277,18,FALSE)</f>
        <v>1.0291833149999998</v>
      </c>
      <c r="K3414" s="246">
        <f>+K3413*J3414</f>
        <v>97.655918997322104</v>
      </c>
      <c r="L3414" s="365" t="s">
        <v>205</v>
      </c>
      <c r="M3414" s="54"/>
      <c r="N3414" s="54"/>
      <c r="O3414" s="336"/>
      <c r="P3414" s="334"/>
      <c r="Q3414" s="335"/>
      <c r="R3414" s="336"/>
      <c r="S3414" s="337"/>
    </row>
    <row r="3415" spans="1:19" ht="30" customHeight="1" thickBot="1" x14ac:dyDescent="0.3">
      <c r="A3415" s="844"/>
      <c r="B3415" s="844"/>
      <c r="C3415" s="471"/>
      <c r="D3415" s="471"/>
      <c r="E3415" s="850"/>
      <c r="F3415" s="1278" t="s">
        <v>1148</v>
      </c>
      <c r="G3415" s="1278"/>
      <c r="H3415" s="1278"/>
      <c r="I3415" s="1278"/>
      <c r="J3415" s="845">
        <v>1.0833999999999999</v>
      </c>
      <c r="K3415" s="544">
        <f>K3414*J3415</f>
        <v>105.80042264169876</v>
      </c>
      <c r="L3415" s="369" t="s">
        <v>205</v>
      </c>
      <c r="N3415" s="54"/>
      <c r="O3415" s="336"/>
      <c r="P3415" s="334"/>
      <c r="Q3415" s="335"/>
      <c r="R3415" s="336"/>
      <c r="S3415" s="337"/>
    </row>
    <row r="3416" spans="1:19" ht="30" customHeight="1" thickBot="1" x14ac:dyDescent="0.3">
      <c r="A3416" s="1180"/>
      <c r="B3416" s="1181"/>
      <c r="C3416" s="1181"/>
      <c r="D3416" s="1181"/>
      <c r="E3416" s="1181"/>
      <c r="F3416" s="1181"/>
      <c r="G3416" s="1181"/>
      <c r="H3416" s="1181"/>
      <c r="I3416" s="1181"/>
      <c r="J3416" s="1181"/>
      <c r="K3416" s="1181"/>
      <c r="L3416" s="1182"/>
      <c r="M3416" s="54"/>
      <c r="N3416" s="54"/>
      <c r="O3416" s="336"/>
      <c r="P3416" s="334"/>
      <c r="Q3416" s="335"/>
      <c r="R3416" s="336"/>
      <c r="S3416" s="337"/>
    </row>
    <row r="3417" spans="1:19" ht="30" customHeight="1" x14ac:dyDescent="0.25">
      <c r="A3417" s="327" t="s">
        <v>5</v>
      </c>
      <c r="B3417" s="328">
        <v>7341</v>
      </c>
      <c r="C3417" s="1251" t="s">
        <v>1952</v>
      </c>
      <c r="D3417" s="1252"/>
      <c r="E3417" s="331" t="s">
        <v>8</v>
      </c>
      <c r="F3417" s="332" t="s">
        <v>205</v>
      </c>
      <c r="G3417" s="342" t="s">
        <v>74</v>
      </c>
      <c r="H3417" s="703">
        <v>973</v>
      </c>
      <c r="I3417" s="331" t="s">
        <v>10</v>
      </c>
      <c r="J3417" s="1220" t="s">
        <v>3388</v>
      </c>
      <c r="K3417" s="1220"/>
      <c r="L3417" s="1221"/>
      <c r="M3417" s="54"/>
      <c r="N3417" s="54"/>
      <c r="O3417" s="336"/>
      <c r="P3417" s="334"/>
      <c r="Q3417" s="335"/>
      <c r="R3417" s="336"/>
      <c r="S3417" s="337"/>
    </row>
    <row r="3418" spans="1:19" ht="30" customHeight="1" x14ac:dyDescent="0.25">
      <c r="A3418" s="359" t="s">
        <v>295</v>
      </c>
      <c r="B3418" s="1222" t="s">
        <v>326</v>
      </c>
      <c r="C3418" s="1235"/>
      <c r="D3418" s="1223"/>
      <c r="E3418" s="577" t="s">
        <v>116</v>
      </c>
      <c r="F3418" s="577" t="s">
        <v>117</v>
      </c>
      <c r="G3418" s="1194" t="s">
        <v>118</v>
      </c>
      <c r="H3418" s="1195"/>
      <c r="I3418" s="356" t="s">
        <v>296</v>
      </c>
      <c r="J3418" s="356"/>
      <c r="K3418" s="581" t="s">
        <v>285</v>
      </c>
      <c r="L3418" s="382"/>
      <c r="M3418" s="54"/>
      <c r="N3418" s="54"/>
      <c r="O3418" s="336"/>
      <c r="P3418" s="334"/>
      <c r="Q3418" s="335"/>
      <c r="R3418" s="336"/>
      <c r="S3418" s="337"/>
    </row>
    <row r="3419" spans="1:19" ht="30" customHeight="1" x14ac:dyDescent="0.25">
      <c r="A3419" s="755" t="s">
        <v>1953</v>
      </c>
      <c r="B3419" s="1214" t="s">
        <v>1954</v>
      </c>
      <c r="C3419" s="1215"/>
      <c r="D3419" s="1216"/>
      <c r="E3419" s="247">
        <v>121</v>
      </c>
      <c r="F3419" s="396" t="s">
        <v>205</v>
      </c>
      <c r="G3419" s="689"/>
      <c r="H3419" s="690"/>
      <c r="I3419" s="365">
        <v>1.03</v>
      </c>
      <c r="J3419" s="365"/>
      <c r="K3419" s="247">
        <f>+E3419*I3419</f>
        <v>124.63000000000001</v>
      </c>
      <c r="L3419" s="365" t="s">
        <v>205</v>
      </c>
      <c r="M3419" s="54"/>
      <c r="N3419" s="54"/>
      <c r="O3419" s="336"/>
      <c r="P3419" s="334"/>
      <c r="Q3419" s="335"/>
      <c r="R3419" s="336"/>
      <c r="S3419" s="337"/>
    </row>
    <row r="3420" spans="1:19" ht="30" customHeight="1" x14ac:dyDescent="0.25">
      <c r="A3420" s="895" t="s">
        <v>406</v>
      </c>
      <c r="B3420" s="1214" t="s">
        <v>1911</v>
      </c>
      <c r="C3420" s="1215"/>
      <c r="D3420" s="1216"/>
      <c r="E3420" s="247">
        <v>4.1500000000000004</v>
      </c>
      <c r="F3420" s="396" t="s">
        <v>205</v>
      </c>
      <c r="G3420" s="689"/>
      <c r="H3420" s="690"/>
      <c r="I3420" s="365">
        <v>1.03</v>
      </c>
      <c r="J3420" s="365"/>
      <c r="K3420" s="247">
        <f>+E3420*I3420</f>
        <v>4.2745000000000006</v>
      </c>
      <c r="L3420" s="365" t="s">
        <v>205</v>
      </c>
      <c r="M3420" s="54"/>
      <c r="N3420" s="54"/>
      <c r="O3420" s="336"/>
      <c r="P3420" s="334"/>
      <c r="Q3420" s="335"/>
      <c r="R3420" s="336"/>
      <c r="S3420" s="337"/>
    </row>
    <row r="3421" spans="1:19" ht="30" customHeight="1" x14ac:dyDescent="0.25">
      <c r="A3421" s="365"/>
      <c r="B3421" s="1269"/>
      <c r="C3421" s="1269"/>
      <c r="D3421" s="1269"/>
      <c r="E3421" s="247"/>
      <c r="F3421" s="365"/>
      <c r="G3421" s="365"/>
      <c r="H3421" s="365"/>
      <c r="I3421" s="365"/>
      <c r="J3421" s="365" t="s">
        <v>343</v>
      </c>
      <c r="K3421" s="247">
        <f>SUM(K3419:K3420)</f>
        <v>128.90450000000001</v>
      </c>
      <c r="L3421" s="365" t="s">
        <v>205</v>
      </c>
      <c r="M3421" s="54"/>
      <c r="N3421" s="54"/>
      <c r="O3421" s="336"/>
      <c r="P3421" s="334"/>
      <c r="Q3421" s="335"/>
      <c r="R3421" s="336"/>
      <c r="S3421" s="337"/>
    </row>
    <row r="3422" spans="1:19" ht="30" customHeight="1" x14ac:dyDescent="0.25">
      <c r="A3422" s="365"/>
      <c r="B3422" s="578"/>
      <c r="C3422" s="578"/>
      <c r="D3422" s="578"/>
      <c r="E3422" s="247"/>
      <c r="F3422" s="1272" t="s">
        <v>303</v>
      </c>
      <c r="G3422" s="1283" t="s">
        <v>304</v>
      </c>
      <c r="H3422" s="1283"/>
      <c r="I3422" s="1283"/>
      <c r="J3422" s="1283"/>
      <c r="K3422" s="250">
        <v>1.07</v>
      </c>
      <c r="L3422" s="365"/>
      <c r="M3422" s="54"/>
      <c r="N3422" s="54"/>
      <c r="O3422" s="336"/>
      <c r="P3422" s="334"/>
      <c r="Q3422" s="335"/>
      <c r="R3422" s="336"/>
      <c r="S3422" s="337"/>
    </row>
    <row r="3423" spans="1:19" ht="30" customHeight="1" x14ac:dyDescent="0.25">
      <c r="A3423" s="365"/>
      <c r="B3423" s="578"/>
      <c r="C3423" s="578"/>
      <c r="D3423" s="578"/>
      <c r="E3423" s="247"/>
      <c r="F3423" s="1273"/>
      <c r="G3423" s="1284" t="s">
        <v>438</v>
      </c>
      <c r="H3423" s="1284"/>
      <c r="I3423" s="1284"/>
      <c r="J3423" s="1284"/>
      <c r="K3423" s="250">
        <v>1.08</v>
      </c>
      <c r="L3423" s="365"/>
      <c r="M3423" s="54"/>
      <c r="N3423" s="54"/>
      <c r="O3423" s="336"/>
      <c r="P3423" s="334"/>
      <c r="Q3423" s="335"/>
      <c r="R3423" s="336"/>
      <c r="S3423" s="337"/>
    </row>
    <row r="3424" spans="1:19" ht="30" customHeight="1" x14ac:dyDescent="0.25">
      <c r="A3424" s="365"/>
      <c r="B3424" s="365"/>
      <c r="C3424" s="366"/>
      <c r="D3424" s="366"/>
      <c r="E3424" s="366"/>
      <c r="F3424" s="366"/>
      <c r="G3424" s="366"/>
      <c r="H3424" s="366"/>
      <c r="I3424" s="366"/>
      <c r="J3424" s="365" t="s">
        <v>72</v>
      </c>
      <c r="K3424" s="246">
        <f>+K3421*K3422/K3423</f>
        <v>127.71093981481482</v>
      </c>
      <c r="L3424" s="365" t="s">
        <v>205</v>
      </c>
      <c r="M3424" s="54"/>
      <c r="O3424" s="336"/>
      <c r="P3424" s="334"/>
      <c r="Q3424" s="335"/>
      <c r="R3424" s="336"/>
      <c r="S3424" s="337"/>
    </row>
    <row r="3425" spans="1:19" ht="30" customHeight="1" x14ac:dyDescent="0.25">
      <c r="A3425" s="365"/>
      <c r="B3425" s="365"/>
      <c r="C3425" s="366"/>
      <c r="D3425" s="366"/>
      <c r="E3425" s="366"/>
      <c r="F3425" s="366"/>
      <c r="G3425" s="580" t="s">
        <v>306</v>
      </c>
      <c r="H3425" s="366"/>
      <c r="I3425" s="366"/>
      <c r="J3425" s="521">
        <f>VLOOKUP(B3417,'Mil Cost Premiums for PUCs'!$A$4:$R$277,18,FALSE)</f>
        <v>1.1345642417967394</v>
      </c>
      <c r="K3425" s="246">
        <f>+K3424*J3425</f>
        <v>144.8962656001444</v>
      </c>
      <c r="L3425" s="365" t="s">
        <v>205</v>
      </c>
      <c r="M3425" s="54"/>
      <c r="N3425" s="54"/>
      <c r="O3425" s="336"/>
      <c r="P3425" s="334"/>
      <c r="Q3425" s="335"/>
      <c r="R3425" s="336"/>
      <c r="S3425" s="337"/>
    </row>
    <row r="3426" spans="1:19" ht="30" customHeight="1" thickBot="1" x14ac:dyDescent="0.3">
      <c r="A3426" s="844"/>
      <c r="B3426" s="844"/>
      <c r="C3426" s="471"/>
      <c r="D3426" s="471"/>
      <c r="E3426" s="850"/>
      <c r="F3426" s="1278" t="s">
        <v>1148</v>
      </c>
      <c r="G3426" s="1278"/>
      <c r="H3426" s="1278"/>
      <c r="I3426" s="1278"/>
      <c r="J3426" s="845">
        <v>1.0833999999999999</v>
      </c>
      <c r="K3426" s="544">
        <f>K3425*J3426</f>
        <v>156.98061415119645</v>
      </c>
      <c r="L3426" s="369" t="s">
        <v>205</v>
      </c>
      <c r="N3426" s="54"/>
      <c r="O3426" s="336"/>
      <c r="P3426" s="334"/>
      <c r="Q3426" s="335"/>
      <c r="R3426" s="336"/>
      <c r="S3426" s="337"/>
    </row>
    <row r="3427" spans="1:19" ht="30" customHeight="1" thickBot="1" x14ac:dyDescent="0.3">
      <c r="A3427" s="1180"/>
      <c r="B3427" s="1181"/>
      <c r="C3427" s="1181"/>
      <c r="D3427" s="1181"/>
      <c r="E3427" s="1181"/>
      <c r="F3427" s="1181"/>
      <c r="G3427" s="1181"/>
      <c r="H3427" s="1181"/>
      <c r="I3427" s="1181"/>
      <c r="J3427" s="1181"/>
      <c r="K3427" s="1181"/>
      <c r="L3427" s="1182"/>
      <c r="M3427" s="54"/>
      <c r="N3427" s="54"/>
      <c r="O3427" s="336"/>
      <c r="P3427" s="334"/>
      <c r="Q3427" s="335"/>
      <c r="R3427" s="336"/>
      <c r="S3427" s="337"/>
    </row>
    <row r="3428" spans="1:19" ht="30" customHeight="1" x14ac:dyDescent="0.25">
      <c r="A3428" s="327" t="s">
        <v>5</v>
      </c>
      <c r="B3428" s="328">
        <v>7342</v>
      </c>
      <c r="C3428" s="1251" t="s">
        <v>1955</v>
      </c>
      <c r="D3428" s="1252"/>
      <c r="E3428" s="331" t="s">
        <v>8</v>
      </c>
      <c r="F3428" s="332" t="s">
        <v>205</v>
      </c>
      <c r="G3428" s="342" t="s">
        <v>74</v>
      </c>
      <c r="H3428" s="859">
        <v>3505</v>
      </c>
      <c r="I3428" s="331" t="s">
        <v>10</v>
      </c>
      <c r="J3428" s="1220" t="s">
        <v>3388</v>
      </c>
      <c r="K3428" s="1220"/>
      <c r="L3428" s="1221"/>
      <c r="M3428" s="54"/>
      <c r="N3428" s="54"/>
      <c r="O3428" s="336"/>
      <c r="P3428" s="334"/>
      <c r="Q3428" s="335"/>
      <c r="R3428" s="336"/>
      <c r="S3428" s="337"/>
    </row>
    <row r="3429" spans="1:19" ht="30" customHeight="1" x14ac:dyDescent="0.25">
      <c r="A3429" s="359" t="s">
        <v>295</v>
      </c>
      <c r="B3429" s="1222" t="s">
        <v>326</v>
      </c>
      <c r="C3429" s="1235"/>
      <c r="D3429" s="1223"/>
      <c r="E3429" s="577" t="s">
        <v>116</v>
      </c>
      <c r="F3429" s="577" t="s">
        <v>117</v>
      </c>
      <c r="G3429" s="1194" t="s">
        <v>118</v>
      </c>
      <c r="H3429" s="1195"/>
      <c r="I3429" s="356" t="s">
        <v>296</v>
      </c>
      <c r="J3429" s="356" t="s">
        <v>284</v>
      </c>
      <c r="K3429" s="1236" t="s">
        <v>285</v>
      </c>
      <c r="L3429" s="1237"/>
      <c r="M3429" s="54"/>
      <c r="N3429" s="54"/>
      <c r="O3429" s="336"/>
      <c r="P3429" s="334"/>
      <c r="Q3429" s="335"/>
      <c r="R3429" s="336"/>
      <c r="S3429" s="337"/>
    </row>
    <row r="3430" spans="1:19" ht="30" customHeight="1" x14ac:dyDescent="0.25">
      <c r="A3430" s="755" t="s">
        <v>1904</v>
      </c>
      <c r="B3430" s="1209" t="s">
        <v>1956</v>
      </c>
      <c r="C3430" s="1210"/>
      <c r="D3430" s="1211"/>
      <c r="E3430" s="247">
        <v>73</v>
      </c>
      <c r="F3430" s="396" t="s">
        <v>205</v>
      </c>
      <c r="G3430" s="689"/>
      <c r="H3430" s="690"/>
      <c r="I3430" s="365">
        <v>1.03</v>
      </c>
      <c r="J3430" s="933">
        <f>+'2022 MILCON Inflation Table'!$F$14</f>
        <v>1.2075096234029197</v>
      </c>
      <c r="K3430" s="247">
        <f>+E3430*I3430*J3430</f>
        <v>90.792648583665525</v>
      </c>
      <c r="L3430" s="365" t="s">
        <v>205</v>
      </c>
      <c r="M3430" s="54"/>
      <c r="N3430" s="54"/>
      <c r="O3430" s="336"/>
      <c r="P3430" s="334"/>
      <c r="Q3430" s="335"/>
      <c r="R3430" s="336"/>
      <c r="S3430" s="337"/>
    </row>
    <row r="3431" spans="1:19" ht="30" customHeight="1" x14ac:dyDescent="0.25">
      <c r="A3431" s="895" t="s">
        <v>436</v>
      </c>
      <c r="B3431" s="1214" t="s">
        <v>1957</v>
      </c>
      <c r="C3431" s="1215"/>
      <c r="D3431" s="1216"/>
      <c r="E3431" s="7">
        <v>24.7</v>
      </c>
      <c r="F3431" s="396" t="s">
        <v>205</v>
      </c>
      <c r="G3431" s="689"/>
      <c r="H3431" s="690"/>
      <c r="I3431" s="365">
        <v>1.03</v>
      </c>
      <c r="J3431" s="365"/>
      <c r="K3431" s="247">
        <f>+E3431*I3431</f>
        <v>25.440999999999999</v>
      </c>
      <c r="L3431" s="365" t="s">
        <v>205</v>
      </c>
      <c r="M3431" s="54"/>
      <c r="N3431" s="54"/>
      <c r="O3431" s="336"/>
      <c r="P3431" s="334"/>
      <c r="Q3431" s="335"/>
      <c r="R3431" s="336"/>
      <c r="S3431" s="337"/>
    </row>
    <row r="3432" spans="1:19" ht="30" customHeight="1" x14ac:dyDescent="0.25">
      <c r="A3432" s="895" t="s">
        <v>436</v>
      </c>
      <c r="B3432" s="1209" t="s">
        <v>1958</v>
      </c>
      <c r="C3432" s="1210"/>
      <c r="D3432" s="1211"/>
      <c r="E3432" s="7">
        <f>+(13.25+18.1)/2</f>
        <v>15.675000000000001</v>
      </c>
      <c r="F3432" s="396" t="s">
        <v>205</v>
      </c>
      <c r="G3432" s="689"/>
      <c r="H3432" s="690"/>
      <c r="I3432" s="365">
        <v>1.03</v>
      </c>
      <c r="J3432" s="365"/>
      <c r="K3432" s="247">
        <f>+E3432*I3432</f>
        <v>16.145250000000001</v>
      </c>
      <c r="L3432" s="365" t="s">
        <v>205</v>
      </c>
      <c r="M3432" s="54"/>
      <c r="N3432" s="54"/>
      <c r="O3432" s="336"/>
      <c r="P3432" s="334"/>
      <c r="Q3432" s="335"/>
      <c r="R3432" s="336"/>
      <c r="S3432" s="337"/>
    </row>
    <row r="3433" spans="1:19" ht="30" customHeight="1" x14ac:dyDescent="0.25">
      <c r="A3433" s="895" t="s">
        <v>406</v>
      </c>
      <c r="B3433" s="1214" t="s">
        <v>1959</v>
      </c>
      <c r="C3433" s="1215"/>
      <c r="D3433" s="1216"/>
      <c r="E3433" s="247">
        <v>3.71</v>
      </c>
      <c r="F3433" s="396" t="s">
        <v>205</v>
      </c>
      <c r="G3433" s="689"/>
      <c r="H3433" s="690"/>
      <c r="I3433" s="365">
        <v>1.03</v>
      </c>
      <c r="J3433" s="365"/>
      <c r="K3433" s="247">
        <f>+E3433*I3433</f>
        <v>3.8212999999999999</v>
      </c>
      <c r="L3433" s="365" t="s">
        <v>205</v>
      </c>
      <c r="M3433" s="54"/>
      <c r="N3433" s="54"/>
      <c r="O3433" s="336"/>
      <c r="P3433" s="334"/>
      <c r="Q3433" s="335"/>
      <c r="R3433" s="336"/>
      <c r="S3433" s="337"/>
    </row>
    <row r="3434" spans="1:19" ht="30" customHeight="1" x14ac:dyDescent="0.25">
      <c r="A3434" s="365"/>
      <c r="B3434" s="1269"/>
      <c r="C3434" s="1269"/>
      <c r="D3434" s="1269"/>
      <c r="E3434" s="247"/>
      <c r="F3434" s="365"/>
      <c r="G3434" s="365"/>
      <c r="H3434" s="365"/>
      <c r="I3434" s="365"/>
      <c r="J3434" s="365" t="s">
        <v>343</v>
      </c>
      <c r="K3434" s="247">
        <f>SUM(K3430:K3433)</f>
        <v>136.20019858366553</v>
      </c>
      <c r="L3434" s="365" t="s">
        <v>205</v>
      </c>
      <c r="M3434" s="54"/>
      <c r="N3434" s="54"/>
      <c r="O3434" s="336"/>
      <c r="P3434" s="334"/>
      <c r="Q3434" s="335"/>
      <c r="R3434" s="336"/>
      <c r="S3434" s="337"/>
    </row>
    <row r="3435" spans="1:19" ht="30" customHeight="1" x14ac:dyDescent="0.25">
      <c r="A3435" s="365"/>
      <c r="B3435" s="578"/>
      <c r="C3435" s="578"/>
      <c r="D3435" s="578"/>
      <c r="E3435" s="247"/>
      <c r="F3435" s="1272" t="s">
        <v>303</v>
      </c>
      <c r="G3435" s="1283" t="s">
        <v>304</v>
      </c>
      <c r="H3435" s="1283"/>
      <c r="I3435" s="1283"/>
      <c r="J3435" s="1283"/>
      <c r="K3435" s="250">
        <v>1.07</v>
      </c>
      <c r="L3435" s="365"/>
      <c r="M3435" s="54"/>
      <c r="N3435" s="54"/>
      <c r="O3435" s="336"/>
      <c r="P3435" s="334"/>
      <c r="Q3435" s="335"/>
      <c r="R3435" s="336"/>
      <c r="S3435" s="337"/>
    </row>
    <row r="3436" spans="1:19" ht="30" customHeight="1" x14ac:dyDescent="0.25">
      <c r="A3436" s="365"/>
      <c r="B3436" s="578"/>
      <c r="C3436" s="578"/>
      <c r="D3436" s="578"/>
      <c r="E3436" s="247"/>
      <c r="F3436" s="1273"/>
      <c r="G3436" s="1316" t="s">
        <v>438</v>
      </c>
      <c r="H3436" s="1317"/>
      <c r="I3436" s="1317"/>
      <c r="J3436" s="1318"/>
      <c r="K3436" s="250">
        <v>1.08</v>
      </c>
      <c r="L3436" s="365"/>
      <c r="M3436" s="54"/>
      <c r="N3436" s="54"/>
      <c r="O3436" s="336"/>
      <c r="P3436" s="334"/>
      <c r="Q3436" s="335"/>
      <c r="R3436" s="336"/>
      <c r="S3436" s="337"/>
    </row>
    <row r="3437" spans="1:19" ht="30" customHeight="1" x14ac:dyDescent="0.25">
      <c r="A3437" s="365"/>
      <c r="B3437" s="365"/>
      <c r="C3437" s="366"/>
      <c r="D3437" s="366"/>
      <c r="E3437" s="366"/>
      <c r="F3437" s="366"/>
      <c r="G3437" s="366"/>
      <c r="H3437" s="366"/>
      <c r="I3437" s="366"/>
      <c r="J3437" s="365" t="s">
        <v>72</v>
      </c>
      <c r="K3437" s="246">
        <f>+K3434*K3435/K3436</f>
        <v>134.93908563381677</v>
      </c>
      <c r="L3437" s="365" t="s">
        <v>205</v>
      </c>
      <c r="M3437" s="54"/>
      <c r="N3437" s="54"/>
      <c r="O3437" s="336"/>
      <c r="P3437" s="334"/>
      <c r="Q3437" s="335"/>
      <c r="R3437" s="336"/>
      <c r="S3437" s="337"/>
    </row>
    <row r="3438" spans="1:19" ht="30" customHeight="1" x14ac:dyDescent="0.25">
      <c r="A3438" s="365"/>
      <c r="B3438" s="365"/>
      <c r="C3438" s="366"/>
      <c r="D3438" s="366"/>
      <c r="E3438" s="366"/>
      <c r="F3438" s="366"/>
      <c r="G3438" s="580" t="s">
        <v>306</v>
      </c>
      <c r="H3438" s="366"/>
      <c r="I3438" s="366"/>
      <c r="J3438" s="521">
        <f>VLOOKUP(B3428,'Mil Cost Premiums for PUCs'!$A$4:$R$277,18,FALSE)</f>
        <v>1.1113659853696505</v>
      </c>
      <c r="K3438" s="246">
        <f>+K3437*J3438</f>
        <v>149.96670987030643</v>
      </c>
      <c r="L3438" s="365" t="s">
        <v>205</v>
      </c>
      <c r="M3438" s="54"/>
      <c r="N3438" s="54"/>
      <c r="O3438" s="336"/>
      <c r="P3438" s="334"/>
      <c r="Q3438" s="335"/>
      <c r="R3438" s="336"/>
      <c r="S3438" s="337"/>
    </row>
    <row r="3439" spans="1:19" ht="30" customHeight="1" thickBot="1" x14ac:dyDescent="0.3">
      <c r="A3439" s="844"/>
      <c r="B3439" s="844"/>
      <c r="C3439" s="471"/>
      <c r="D3439" s="471"/>
      <c r="E3439" s="850"/>
      <c r="F3439" s="1278" t="s">
        <v>1148</v>
      </c>
      <c r="G3439" s="1278"/>
      <c r="H3439" s="1278"/>
      <c r="I3439" s="1278"/>
      <c r="J3439" s="845">
        <v>1.0833999999999999</v>
      </c>
      <c r="K3439" s="544">
        <f>K3438*J3439</f>
        <v>162.47393347348998</v>
      </c>
      <c r="L3439" s="369" t="s">
        <v>205</v>
      </c>
      <c r="O3439" s="336"/>
      <c r="P3439" s="334"/>
      <c r="Q3439" s="335"/>
      <c r="R3439" s="336"/>
      <c r="S3439" s="337"/>
    </row>
    <row r="3440" spans="1:19" ht="30" customHeight="1" thickBot="1" x14ac:dyDescent="0.3">
      <c r="A3440" s="1180"/>
      <c r="B3440" s="1181"/>
      <c r="C3440" s="1181"/>
      <c r="D3440" s="1181"/>
      <c r="E3440" s="1181"/>
      <c r="F3440" s="1181"/>
      <c r="G3440" s="1181"/>
      <c r="H3440" s="1181"/>
      <c r="I3440" s="1181"/>
      <c r="J3440" s="1181"/>
      <c r="K3440" s="1181"/>
      <c r="L3440" s="1182"/>
      <c r="M3440" s="54"/>
      <c r="N3440" s="60"/>
      <c r="O3440" s="1739"/>
      <c r="P3440" s="334"/>
      <c r="Q3440" s="335"/>
      <c r="R3440" s="336"/>
      <c r="S3440" s="337"/>
    </row>
    <row r="3441" spans="1:26" ht="30" customHeight="1" x14ac:dyDescent="0.25">
      <c r="A3441" s="327" t="s">
        <v>5</v>
      </c>
      <c r="B3441" s="328">
        <v>7343</v>
      </c>
      <c r="C3441" s="1294" t="s">
        <v>1960</v>
      </c>
      <c r="D3441" s="1295"/>
      <c r="E3441" s="1122" t="s">
        <v>8</v>
      </c>
      <c r="F3441" s="332" t="s">
        <v>205</v>
      </c>
      <c r="G3441" s="1115" t="s">
        <v>74</v>
      </c>
      <c r="H3441" s="347">
        <v>7927</v>
      </c>
      <c r="I3441" s="331" t="s">
        <v>10</v>
      </c>
      <c r="J3441" s="1253" t="s">
        <v>1961</v>
      </c>
      <c r="K3441" s="1254"/>
      <c r="L3441" s="1255"/>
      <c r="M3441" s="112"/>
      <c r="N3441" s="60"/>
      <c r="O3441" s="1739"/>
      <c r="P3441" s="334"/>
      <c r="Q3441" s="335"/>
      <c r="R3441" s="336"/>
      <c r="S3441" s="337"/>
    </row>
    <row r="3442" spans="1:26" ht="30" customHeight="1" x14ac:dyDescent="0.25">
      <c r="A3442" s="356"/>
      <c r="B3442" s="1163" t="s">
        <v>13</v>
      </c>
      <c r="C3442" s="1163"/>
      <c r="D3442" s="1163"/>
      <c r="E3442" s="356" t="s">
        <v>116</v>
      </c>
      <c r="F3442" s="356" t="s">
        <v>117</v>
      </c>
      <c r="G3442" s="1194" t="s">
        <v>118</v>
      </c>
      <c r="H3442" s="1195"/>
      <c r="I3442" s="356" t="s">
        <v>119</v>
      </c>
      <c r="J3442" s="356" t="s">
        <v>120</v>
      </c>
      <c r="K3442" s="1236" t="s">
        <v>72</v>
      </c>
      <c r="L3442" s="1237"/>
      <c r="M3442" s="54"/>
      <c r="N3442" s="1754"/>
      <c r="O3442" s="1755"/>
      <c r="P3442" s="334"/>
      <c r="Q3442" s="335"/>
      <c r="R3442" s="336"/>
      <c r="S3442" s="337"/>
    </row>
    <row r="3443" spans="1:26" ht="30" customHeight="1" thickBot="1" x14ac:dyDescent="0.3">
      <c r="A3443" s="360"/>
      <c r="B3443" s="1179" t="str">
        <f>C3467</f>
        <v>Exchange Sales Facility</v>
      </c>
      <c r="C3443" s="1179"/>
      <c r="D3443" s="1179"/>
      <c r="E3443" s="694">
        <f>K3482</f>
        <v>127.13485705743096</v>
      </c>
      <c r="F3443" s="486"/>
      <c r="G3443" s="1183"/>
      <c r="H3443" s="1184"/>
      <c r="I3443" s="486"/>
      <c r="J3443" s="487"/>
      <c r="K3443" s="488">
        <f>E3443</f>
        <v>127.13485705743096</v>
      </c>
      <c r="L3443" s="486" t="s">
        <v>205</v>
      </c>
      <c r="M3443" s="54"/>
      <c r="N3443" s="1124"/>
      <c r="O3443" s="1739"/>
      <c r="P3443" s="334"/>
      <c r="Q3443" s="335"/>
      <c r="R3443" s="336"/>
      <c r="S3443" s="337"/>
    </row>
    <row r="3444" spans="1:26" ht="30" customHeight="1" thickBot="1" x14ac:dyDescent="0.3">
      <c r="A3444" s="1180"/>
      <c r="B3444" s="1181"/>
      <c r="C3444" s="1181"/>
      <c r="D3444" s="1181"/>
      <c r="E3444" s="1181"/>
      <c r="F3444" s="1181"/>
      <c r="G3444" s="1181"/>
      <c r="H3444" s="1181"/>
      <c r="I3444" s="1181"/>
      <c r="J3444" s="1181"/>
      <c r="K3444" s="1181"/>
      <c r="L3444" s="1182"/>
      <c r="M3444" s="54"/>
      <c r="N3444" s="54"/>
      <c r="O3444" s="336"/>
      <c r="P3444" s="334"/>
      <c r="Q3444" s="335"/>
      <c r="R3444" s="336"/>
      <c r="S3444" s="337"/>
    </row>
    <row r="3445" spans="1:26" ht="30" customHeight="1" x14ac:dyDescent="0.25">
      <c r="A3445" s="327" t="s">
        <v>5</v>
      </c>
      <c r="B3445" s="328">
        <v>7344</v>
      </c>
      <c r="C3445" s="1251" t="s">
        <v>1962</v>
      </c>
      <c r="D3445" s="1252"/>
      <c r="E3445" s="331" t="s">
        <v>8</v>
      </c>
      <c r="F3445" s="332" t="s">
        <v>205</v>
      </c>
      <c r="G3445" s="342" t="s">
        <v>74</v>
      </c>
      <c r="H3445" s="156">
        <v>4518</v>
      </c>
      <c r="I3445" s="331" t="s">
        <v>10</v>
      </c>
      <c r="J3445" s="1220" t="s">
        <v>3388</v>
      </c>
      <c r="K3445" s="1220"/>
      <c r="L3445" s="1221"/>
      <c r="M3445" s="54"/>
      <c r="N3445" s="54"/>
      <c r="P3445" s="334"/>
      <c r="Q3445" s="335"/>
      <c r="R3445" s="336"/>
      <c r="S3445" s="337"/>
    </row>
    <row r="3446" spans="1:26" ht="30" customHeight="1" x14ac:dyDescent="0.25">
      <c r="A3446" s="359" t="s">
        <v>295</v>
      </c>
      <c r="B3446" s="1222" t="s">
        <v>326</v>
      </c>
      <c r="C3446" s="1235"/>
      <c r="D3446" s="1223"/>
      <c r="E3446" s="577" t="s">
        <v>116</v>
      </c>
      <c r="F3446" s="577" t="s">
        <v>117</v>
      </c>
      <c r="G3446" s="1194" t="s">
        <v>118</v>
      </c>
      <c r="H3446" s="1195"/>
      <c r="I3446" s="356" t="s">
        <v>296</v>
      </c>
      <c r="J3446" s="356"/>
      <c r="K3446" s="1236" t="s">
        <v>285</v>
      </c>
      <c r="L3446" s="1237"/>
      <c r="M3446" s="54"/>
      <c r="N3446" s="54"/>
      <c r="P3446" s="334"/>
      <c r="Q3446" s="335"/>
      <c r="R3446" s="336"/>
      <c r="S3446" s="337"/>
    </row>
    <row r="3447" spans="1:26" ht="30" customHeight="1" x14ac:dyDescent="0.25">
      <c r="A3447" s="755" t="s">
        <v>1963</v>
      </c>
      <c r="B3447" s="1214" t="s">
        <v>1964</v>
      </c>
      <c r="C3447" s="1215"/>
      <c r="D3447" s="1216"/>
      <c r="E3447" s="247">
        <v>145</v>
      </c>
      <c r="F3447" s="396" t="s">
        <v>205</v>
      </c>
      <c r="G3447" s="689"/>
      <c r="H3447" s="690"/>
      <c r="I3447" s="365">
        <v>1.03</v>
      </c>
      <c r="J3447" s="365"/>
      <c r="K3447" s="247">
        <f>+E3447*I3447</f>
        <v>149.35</v>
      </c>
      <c r="L3447" s="365" t="s">
        <v>205</v>
      </c>
      <c r="M3447" s="54"/>
      <c r="N3447" s="54"/>
      <c r="O3447" s="336"/>
      <c r="P3447" s="334"/>
      <c r="Q3447" s="335"/>
      <c r="R3447" s="336"/>
      <c r="S3447" s="337"/>
    </row>
    <row r="3448" spans="1:26" ht="30" customHeight="1" x14ac:dyDescent="0.25">
      <c r="A3448" s="895" t="s">
        <v>406</v>
      </c>
      <c r="B3448" s="1214" t="s">
        <v>1281</v>
      </c>
      <c r="C3448" s="1215"/>
      <c r="D3448" s="1216"/>
      <c r="E3448" s="247">
        <v>3.71</v>
      </c>
      <c r="F3448" s="396" t="s">
        <v>205</v>
      </c>
      <c r="G3448" s="689"/>
      <c r="H3448" s="690"/>
      <c r="I3448" s="365">
        <v>1.03</v>
      </c>
      <c r="J3448" s="365"/>
      <c r="K3448" s="247">
        <f>+E3448*I3448</f>
        <v>3.8212999999999999</v>
      </c>
      <c r="L3448" s="365" t="s">
        <v>205</v>
      </c>
      <c r="M3448" s="54"/>
      <c r="N3448" s="54"/>
      <c r="O3448" s="340"/>
      <c r="P3448" s="334"/>
      <c r="Q3448" s="335"/>
      <c r="R3448" s="336"/>
      <c r="S3448" s="337"/>
    </row>
    <row r="3449" spans="1:26" ht="30" customHeight="1" x14ac:dyDescent="0.25">
      <c r="A3449" s="365"/>
      <c r="B3449" s="1269"/>
      <c r="C3449" s="1269"/>
      <c r="D3449" s="1269"/>
      <c r="E3449" s="247"/>
      <c r="F3449" s="365"/>
      <c r="G3449" s="365"/>
      <c r="H3449" s="365"/>
      <c r="I3449" s="365"/>
      <c r="J3449" s="365" t="s">
        <v>343</v>
      </c>
      <c r="K3449" s="247">
        <f>SUM(K3447:K3448)</f>
        <v>153.1713</v>
      </c>
      <c r="L3449" s="365" t="s">
        <v>205</v>
      </c>
      <c r="M3449" s="54"/>
      <c r="N3449" s="54"/>
      <c r="O3449" s="340"/>
      <c r="P3449" s="334"/>
      <c r="Q3449" s="335"/>
      <c r="R3449" s="336"/>
      <c r="S3449" s="337"/>
    </row>
    <row r="3450" spans="1:26" ht="30" customHeight="1" x14ac:dyDescent="0.25">
      <c r="A3450" s="365"/>
      <c r="B3450" s="578"/>
      <c r="C3450" s="578"/>
      <c r="D3450" s="578"/>
      <c r="E3450" s="247"/>
      <c r="F3450" s="1272" t="s">
        <v>303</v>
      </c>
      <c r="G3450" s="1283" t="s">
        <v>304</v>
      </c>
      <c r="H3450" s="1283"/>
      <c r="I3450" s="1283"/>
      <c r="J3450" s="1283"/>
      <c r="K3450" s="250">
        <v>1.07</v>
      </c>
      <c r="L3450" s="365"/>
      <c r="M3450" s="54"/>
      <c r="O3450" s="336"/>
      <c r="P3450" s="334"/>
      <c r="Q3450" s="335"/>
      <c r="R3450" s="336"/>
      <c r="S3450" s="337"/>
    </row>
    <row r="3451" spans="1:26" ht="30" customHeight="1" x14ac:dyDescent="0.25">
      <c r="A3451" s="365"/>
      <c r="B3451" s="578"/>
      <c r="C3451" s="578"/>
      <c r="D3451" s="578"/>
      <c r="E3451" s="247"/>
      <c r="F3451" s="1273"/>
      <c r="G3451" s="1316" t="s">
        <v>438</v>
      </c>
      <c r="H3451" s="1317"/>
      <c r="I3451" s="1317"/>
      <c r="J3451" s="1318"/>
      <c r="K3451" s="250">
        <v>1.08</v>
      </c>
      <c r="L3451" s="365"/>
      <c r="M3451" s="54"/>
      <c r="N3451" s="54"/>
      <c r="O3451" s="336"/>
      <c r="P3451" s="334"/>
      <c r="Q3451" s="335"/>
      <c r="R3451" s="336"/>
      <c r="S3451" s="337"/>
    </row>
    <row r="3452" spans="1:26" ht="30" customHeight="1" x14ac:dyDescent="0.25">
      <c r="A3452" s="365"/>
      <c r="B3452" s="365"/>
      <c r="C3452" s="366"/>
      <c r="D3452" s="366"/>
      <c r="E3452" s="366"/>
      <c r="F3452" s="366"/>
      <c r="G3452" s="366"/>
      <c r="H3452" s="366"/>
      <c r="I3452" s="366"/>
      <c r="J3452" s="365" t="s">
        <v>72</v>
      </c>
      <c r="K3452" s="246">
        <f>+K3449*K3450/K3451</f>
        <v>151.75304722222222</v>
      </c>
      <c r="L3452" s="365" t="s">
        <v>205</v>
      </c>
      <c r="M3452" s="54"/>
      <c r="N3452" s="54"/>
      <c r="O3452" s="336"/>
      <c r="P3452" s="334"/>
      <c r="Q3452" s="335"/>
      <c r="R3452" s="336"/>
      <c r="S3452" s="337"/>
    </row>
    <row r="3453" spans="1:26" ht="30" customHeight="1" x14ac:dyDescent="0.25">
      <c r="A3453" s="365"/>
      <c r="B3453" s="365"/>
      <c r="C3453" s="366"/>
      <c r="D3453" s="366"/>
      <c r="E3453" s="366"/>
      <c r="F3453" s="366"/>
      <c r="G3453" s="580" t="s">
        <v>306</v>
      </c>
      <c r="H3453" s="366"/>
      <c r="I3453" s="366"/>
      <c r="J3453" s="521">
        <f>VLOOKUP(B3445,'Mil Cost Premiums for PUCs'!$A$4:$R$277,18,FALSE)</f>
        <v>1.3319480854780448</v>
      </c>
      <c r="K3453" s="246">
        <f>+K3452*J3453</f>
        <v>202.1271807130982</v>
      </c>
      <c r="L3453" s="365" t="s">
        <v>205</v>
      </c>
      <c r="M3453" s="54"/>
      <c r="N3453" s="54"/>
      <c r="O3453" s="336"/>
      <c r="U3453" s="345"/>
    </row>
    <row r="3454" spans="1:26" ht="30" customHeight="1" thickBot="1" x14ac:dyDescent="0.3">
      <c r="A3454" s="844"/>
      <c r="B3454" s="844"/>
      <c r="C3454" s="471"/>
      <c r="D3454" s="471"/>
      <c r="E3454" s="850"/>
      <c r="F3454" s="1278" t="s">
        <v>1148</v>
      </c>
      <c r="G3454" s="1278"/>
      <c r="H3454" s="1278"/>
      <c r="I3454" s="1278"/>
      <c r="J3454" s="845">
        <v>1.0833999999999999</v>
      </c>
      <c r="K3454" s="544">
        <f>K3453*J3454</f>
        <v>218.98458758457056</v>
      </c>
      <c r="L3454" s="369" t="s">
        <v>205</v>
      </c>
      <c r="N3454" s="54"/>
      <c r="O3454" s="336"/>
    </row>
    <row r="3455" spans="1:26" ht="30" customHeight="1" thickBot="1" x14ac:dyDescent="0.3">
      <c r="A3455" s="1180"/>
      <c r="B3455" s="1181"/>
      <c r="C3455" s="1181"/>
      <c r="D3455" s="1181"/>
      <c r="E3455" s="1181"/>
      <c r="F3455" s="1181"/>
      <c r="G3455" s="1181"/>
      <c r="H3455" s="1181"/>
      <c r="I3455" s="1181"/>
      <c r="J3455" s="1181"/>
      <c r="K3455" s="1181"/>
      <c r="L3455" s="1182"/>
      <c r="M3455" s="54"/>
      <c r="N3455" s="54"/>
      <c r="O3455" s="336"/>
      <c r="P3455" s="344"/>
      <c r="Q3455" s="345"/>
      <c r="R3455" s="345"/>
      <c r="S3455" s="345"/>
      <c r="T3455" s="345"/>
      <c r="V3455" s="345"/>
      <c r="W3455" s="345"/>
      <c r="X3455" s="345"/>
      <c r="Y3455" s="345"/>
    </row>
    <row r="3456" spans="1:26" ht="30" customHeight="1" x14ac:dyDescent="0.25">
      <c r="A3456" s="1111" t="s">
        <v>5</v>
      </c>
      <c r="B3456" s="1112">
        <v>7345</v>
      </c>
      <c r="C3456" s="1151" t="s">
        <v>1965</v>
      </c>
      <c r="D3456" s="1152"/>
      <c r="E3456" s="1110" t="s">
        <v>8</v>
      </c>
      <c r="F3456" s="352" t="s">
        <v>205</v>
      </c>
      <c r="G3456" s="353" t="s">
        <v>74</v>
      </c>
      <c r="H3456" s="1130">
        <v>4346</v>
      </c>
      <c r="I3456" s="1110" t="s">
        <v>10</v>
      </c>
      <c r="J3456" s="1529" t="s">
        <v>3388</v>
      </c>
      <c r="K3456" s="1529"/>
      <c r="L3456" s="1529"/>
      <c r="M3456" s="60"/>
      <c r="N3456" s="60"/>
      <c r="O3456" s="336"/>
      <c r="U3456" s="60"/>
      <c r="Z3456" s="345"/>
    </row>
    <row r="3457" spans="1:26" ht="30" customHeight="1" x14ac:dyDescent="0.25">
      <c r="A3457" s="359" t="s">
        <v>295</v>
      </c>
      <c r="B3457" s="1222" t="s">
        <v>326</v>
      </c>
      <c r="C3457" s="1235"/>
      <c r="D3457" s="1223"/>
      <c r="E3457" s="577" t="s">
        <v>116</v>
      </c>
      <c r="F3457" s="577" t="s">
        <v>117</v>
      </c>
      <c r="G3457" s="1583" t="s">
        <v>118</v>
      </c>
      <c r="H3457" s="1583"/>
      <c r="I3457" s="1125" t="s">
        <v>296</v>
      </c>
      <c r="J3457" s="1125"/>
      <c r="K3457" s="1126" t="s">
        <v>285</v>
      </c>
      <c r="L3457" s="1126"/>
      <c r="M3457" s="60"/>
      <c r="N3457" s="60"/>
      <c r="O3457" s="336"/>
      <c r="U3457" s="10"/>
    </row>
    <row r="3458" spans="1:26" ht="30" customHeight="1" x14ac:dyDescent="0.25">
      <c r="A3458" s="755" t="s">
        <v>1966</v>
      </c>
      <c r="B3458" s="1214" t="s">
        <v>1967</v>
      </c>
      <c r="C3458" s="1215"/>
      <c r="D3458" s="1216"/>
      <c r="E3458" s="247">
        <v>133</v>
      </c>
      <c r="F3458" s="396" t="s">
        <v>205</v>
      </c>
      <c r="G3458" s="1127"/>
      <c r="H3458" s="1127"/>
      <c r="I3458" s="1127">
        <v>1.05</v>
      </c>
      <c r="J3458" s="1127"/>
      <c r="K3458" s="1128">
        <f>+E3458*I3458</f>
        <v>139.65</v>
      </c>
      <c r="L3458" s="1127" t="s">
        <v>205</v>
      </c>
      <c r="M3458" s="1124"/>
      <c r="N3458" s="60"/>
      <c r="O3458" s="336"/>
      <c r="T3458" s="60"/>
    </row>
    <row r="3459" spans="1:26" s="345" customFormat="1" ht="30" customHeight="1" x14ac:dyDescent="0.25">
      <c r="A3459" s="895" t="s">
        <v>406</v>
      </c>
      <c r="B3459" s="1214" t="s">
        <v>1281</v>
      </c>
      <c r="C3459" s="1215"/>
      <c r="D3459" s="1216"/>
      <c r="E3459" s="247">
        <v>3.71</v>
      </c>
      <c r="F3459" s="396" t="s">
        <v>205</v>
      </c>
      <c r="G3459" s="1127"/>
      <c r="H3459" s="1127"/>
      <c r="I3459" s="1127">
        <v>1.05</v>
      </c>
      <c r="J3459" s="1127"/>
      <c r="K3459" s="1128">
        <f>+E3459*I3459</f>
        <v>3.8955000000000002</v>
      </c>
      <c r="L3459" s="1127" t="s">
        <v>205</v>
      </c>
      <c r="M3459" s="60"/>
      <c r="N3459" s="60"/>
      <c r="O3459" s="336"/>
      <c r="P3459" s="340"/>
      <c r="Q3459" s="334"/>
      <c r="R3459" s="334"/>
      <c r="S3459" s="334"/>
      <c r="T3459" s="10"/>
      <c r="U3459" s="334"/>
      <c r="V3459" s="334"/>
      <c r="W3459" s="334"/>
      <c r="X3459" s="334"/>
      <c r="Y3459" s="334"/>
      <c r="Z3459" s="334"/>
    </row>
    <row r="3460" spans="1:26" ht="30" customHeight="1" x14ac:dyDescent="0.25">
      <c r="A3460" s="365"/>
      <c r="B3460" s="1269"/>
      <c r="C3460" s="1269"/>
      <c r="D3460" s="1269"/>
      <c r="E3460" s="247"/>
      <c r="F3460" s="365"/>
      <c r="G3460" s="1127"/>
      <c r="H3460" s="1127"/>
      <c r="I3460" s="1127"/>
      <c r="J3460" s="1127" t="s">
        <v>343</v>
      </c>
      <c r="K3460" s="1128">
        <f>SUM(K3458:K3459)</f>
        <v>143.5455</v>
      </c>
      <c r="L3460" s="1127" t="s">
        <v>205</v>
      </c>
      <c r="M3460" s="60"/>
      <c r="N3460" s="60"/>
      <c r="P3460" s="334"/>
      <c r="Q3460" s="335"/>
      <c r="R3460" s="336"/>
      <c r="S3460" s="337"/>
    </row>
    <row r="3461" spans="1:26" ht="30" customHeight="1" x14ac:dyDescent="0.25">
      <c r="A3461" s="365"/>
      <c r="B3461" s="578"/>
      <c r="C3461" s="578"/>
      <c r="D3461" s="578"/>
      <c r="E3461" s="247"/>
      <c r="F3461" s="1272" t="s">
        <v>303</v>
      </c>
      <c r="G3461" s="1582" t="s">
        <v>304</v>
      </c>
      <c r="H3461" s="1582"/>
      <c r="I3461" s="1582"/>
      <c r="J3461" s="1582"/>
      <c r="K3461" s="1129">
        <v>1.07</v>
      </c>
      <c r="L3461" s="1127"/>
      <c r="M3461" s="54"/>
      <c r="N3461" s="54"/>
      <c r="P3461" s="334"/>
      <c r="Q3461" s="335"/>
      <c r="R3461" s="336"/>
      <c r="S3461" s="337"/>
    </row>
    <row r="3462" spans="1:26" ht="30" customHeight="1" x14ac:dyDescent="0.25">
      <c r="A3462" s="365"/>
      <c r="B3462" s="578"/>
      <c r="C3462" s="578"/>
      <c r="D3462" s="578"/>
      <c r="E3462" s="247"/>
      <c r="F3462" s="1273"/>
      <c r="G3462" s="1316" t="s">
        <v>438</v>
      </c>
      <c r="H3462" s="1317"/>
      <c r="I3462" s="1317"/>
      <c r="J3462" s="1318"/>
      <c r="K3462" s="250">
        <v>1.08</v>
      </c>
      <c r="L3462" s="365"/>
      <c r="M3462" s="54"/>
      <c r="N3462" s="54"/>
      <c r="O3462" s="543"/>
      <c r="P3462" s="334"/>
      <c r="Q3462" s="335"/>
      <c r="R3462" s="336"/>
      <c r="S3462" s="337"/>
    </row>
    <row r="3463" spans="1:26" ht="30" customHeight="1" x14ac:dyDescent="0.25">
      <c r="A3463" s="365"/>
      <c r="B3463" s="365"/>
      <c r="C3463" s="366"/>
      <c r="D3463" s="366"/>
      <c r="E3463" s="366"/>
      <c r="F3463" s="366"/>
      <c r="G3463" s="366"/>
      <c r="H3463" s="366"/>
      <c r="I3463" s="366"/>
      <c r="J3463" s="365" t="s">
        <v>72</v>
      </c>
      <c r="K3463" s="246">
        <f>+K3460*K3461/K3462</f>
        <v>142.216375</v>
      </c>
      <c r="L3463" s="365" t="s">
        <v>205</v>
      </c>
      <c r="M3463" s="54"/>
      <c r="N3463" s="54"/>
      <c r="O3463" s="543"/>
      <c r="P3463" s="334"/>
      <c r="Q3463" s="335"/>
      <c r="R3463" s="336"/>
      <c r="S3463" s="337"/>
    </row>
    <row r="3464" spans="1:26" ht="30" customHeight="1" x14ac:dyDescent="0.25">
      <c r="A3464" s="365"/>
      <c r="B3464" s="365"/>
      <c r="C3464" s="366"/>
      <c r="D3464" s="366"/>
      <c r="E3464" s="366"/>
      <c r="F3464" s="366"/>
      <c r="G3464" s="580" t="s">
        <v>306</v>
      </c>
      <c r="H3464" s="366"/>
      <c r="I3464" s="366"/>
      <c r="J3464" s="521">
        <f>VLOOKUP(B3456,'Mil Cost Premiums for PUCs'!$A$4:$R$277,18,FALSE)</f>
        <v>1.1651974763252515</v>
      </c>
      <c r="K3464" s="246">
        <f>+K3463*J3464</f>
        <v>165.71016124212559</v>
      </c>
      <c r="L3464" s="365" t="s">
        <v>205</v>
      </c>
      <c r="M3464" s="54"/>
      <c r="N3464" s="54"/>
      <c r="P3464" s="334"/>
      <c r="Q3464" s="335"/>
      <c r="R3464" s="336"/>
      <c r="S3464" s="337"/>
    </row>
    <row r="3465" spans="1:26" ht="30" customHeight="1" thickBot="1" x14ac:dyDescent="0.3">
      <c r="A3465" s="844"/>
      <c r="B3465" s="844"/>
      <c r="C3465" s="471"/>
      <c r="D3465" s="471"/>
      <c r="E3465" s="850"/>
      <c r="F3465" s="1278" t="s">
        <v>1148</v>
      </c>
      <c r="G3465" s="1278"/>
      <c r="H3465" s="1278"/>
      <c r="I3465" s="1278"/>
      <c r="J3465" s="845">
        <v>1.0833999999999999</v>
      </c>
      <c r="K3465" s="544">
        <f>K3464*J3465</f>
        <v>179.53038868971885</v>
      </c>
      <c r="L3465" s="369" t="s">
        <v>205</v>
      </c>
      <c r="N3465" s="54"/>
      <c r="P3465" s="334"/>
      <c r="Q3465" s="335"/>
      <c r="R3465" s="336"/>
      <c r="S3465" s="337"/>
    </row>
    <row r="3466" spans="1:26" ht="30" customHeight="1" thickBot="1" x14ac:dyDescent="0.3">
      <c r="A3466" s="1180"/>
      <c r="B3466" s="1181"/>
      <c r="C3466" s="1181"/>
      <c r="D3466" s="1181"/>
      <c r="E3466" s="1181"/>
      <c r="F3466" s="1181"/>
      <c r="G3466" s="1181"/>
      <c r="H3466" s="1181"/>
      <c r="I3466" s="1181"/>
      <c r="J3466" s="1181"/>
      <c r="K3466" s="1181"/>
      <c r="L3466" s="1182"/>
      <c r="M3466" s="54"/>
      <c r="N3466" s="54"/>
      <c r="O3466" s="543"/>
      <c r="P3466" s="334"/>
      <c r="Q3466" s="335"/>
      <c r="R3466" s="336"/>
      <c r="S3466" s="337"/>
    </row>
    <row r="3467" spans="1:26" ht="30" customHeight="1" x14ac:dyDescent="0.25">
      <c r="A3467" s="327" t="s">
        <v>5</v>
      </c>
      <c r="B3467" s="328">
        <v>7346</v>
      </c>
      <c r="C3467" s="1294" t="s">
        <v>1968</v>
      </c>
      <c r="D3467" s="1295"/>
      <c r="E3467" s="331" t="s">
        <v>8</v>
      </c>
      <c r="F3467" s="332" t="s">
        <v>205</v>
      </c>
      <c r="G3467" s="342" t="s">
        <v>74</v>
      </c>
      <c r="H3467" s="156">
        <v>14611</v>
      </c>
      <c r="I3467" s="331" t="s">
        <v>10</v>
      </c>
      <c r="J3467" s="1220" t="s">
        <v>3388</v>
      </c>
      <c r="K3467" s="1220"/>
      <c r="L3467" s="1221"/>
      <c r="M3467" s="54"/>
      <c r="O3467" s="336"/>
      <c r="P3467" s="334"/>
      <c r="Q3467" s="335"/>
      <c r="R3467" s="336"/>
      <c r="S3467" s="337"/>
    </row>
    <row r="3468" spans="1:26" ht="30" customHeight="1" x14ac:dyDescent="0.25">
      <c r="A3468" s="359" t="s">
        <v>295</v>
      </c>
      <c r="B3468" s="1222" t="s">
        <v>326</v>
      </c>
      <c r="C3468" s="1235"/>
      <c r="D3468" s="1223"/>
      <c r="E3468" s="577" t="s">
        <v>116</v>
      </c>
      <c r="F3468" s="577" t="s">
        <v>117</v>
      </c>
      <c r="G3468" s="1194" t="s">
        <v>118</v>
      </c>
      <c r="H3468" s="1195"/>
      <c r="I3468" s="356" t="s">
        <v>296</v>
      </c>
      <c r="J3468" s="356"/>
      <c r="K3468" s="1236" t="s">
        <v>285</v>
      </c>
      <c r="L3468" s="1237"/>
      <c r="M3468" s="54"/>
      <c r="N3468" s="54"/>
      <c r="O3468" s="867"/>
      <c r="P3468" s="334"/>
      <c r="Q3468" s="335"/>
      <c r="R3468" s="336"/>
      <c r="S3468" s="337"/>
    </row>
    <row r="3469" spans="1:26" ht="30" customHeight="1" x14ac:dyDescent="0.25">
      <c r="A3469" s="755" t="s">
        <v>1950</v>
      </c>
      <c r="B3469" s="1214" t="s">
        <v>1969</v>
      </c>
      <c r="C3469" s="1215"/>
      <c r="D3469" s="1216"/>
      <c r="E3469" s="247">
        <v>88</v>
      </c>
      <c r="F3469" s="396" t="s">
        <v>205</v>
      </c>
      <c r="G3469" s="689"/>
      <c r="H3469" s="690"/>
      <c r="I3469" s="365">
        <v>1.04</v>
      </c>
      <c r="J3469" s="365"/>
      <c r="K3469" s="247">
        <f>+E3469*I3469</f>
        <v>91.52000000000001</v>
      </c>
      <c r="L3469" s="365" t="s">
        <v>205</v>
      </c>
      <c r="M3469" s="54"/>
      <c r="N3469" s="54"/>
      <c r="P3469" s="334"/>
      <c r="Q3469" s="335"/>
      <c r="R3469" s="336"/>
      <c r="S3469" s="337"/>
    </row>
    <row r="3470" spans="1:26" ht="30" customHeight="1" x14ac:dyDescent="0.25">
      <c r="A3470" s="927" t="s">
        <v>1694</v>
      </c>
      <c r="B3470" s="1214" t="s">
        <v>457</v>
      </c>
      <c r="C3470" s="1215"/>
      <c r="D3470" s="1215"/>
      <c r="E3470" s="247">
        <v>3.42</v>
      </c>
      <c r="F3470" s="396" t="s">
        <v>205</v>
      </c>
      <c r="G3470" s="689"/>
      <c r="H3470" s="690"/>
      <c r="I3470" s="365">
        <v>1.04</v>
      </c>
      <c r="J3470" s="365"/>
      <c r="K3470" s="247">
        <f>+E3470*I3470</f>
        <v>3.5568</v>
      </c>
      <c r="L3470" s="365" t="s">
        <v>205</v>
      </c>
      <c r="M3470" s="54"/>
      <c r="N3470" s="54"/>
      <c r="P3470" s="334"/>
      <c r="Q3470" s="335"/>
      <c r="R3470" s="336"/>
      <c r="S3470" s="337"/>
    </row>
    <row r="3471" spans="1:26" ht="30" customHeight="1" x14ac:dyDescent="0.25">
      <c r="A3471" s="927" t="s">
        <v>426</v>
      </c>
      <c r="B3471" s="1214" t="s">
        <v>1970</v>
      </c>
      <c r="C3471" s="1215"/>
      <c r="D3471" s="1216"/>
      <c r="E3471" s="247">
        <f>(20.3+31.5)/2</f>
        <v>25.9</v>
      </c>
      <c r="F3471" s="396" t="s">
        <v>1157</v>
      </c>
      <c r="G3471" s="804">
        <f>81*E3471*2/H3467</f>
        <v>0.2871672027924167</v>
      </c>
      <c r="H3471" s="690" t="s">
        <v>1882</v>
      </c>
      <c r="I3471" s="365">
        <v>1.03</v>
      </c>
      <c r="J3471" s="365"/>
      <c r="K3471" s="247">
        <f t="shared" ref="K3471:K3476" si="60">+G3471*I3471</f>
        <v>0.29578221887618922</v>
      </c>
      <c r="L3471" s="365" t="s">
        <v>205</v>
      </c>
      <c r="M3471" s="54"/>
      <c r="N3471" s="54"/>
      <c r="P3471" s="334"/>
      <c r="Q3471" s="335"/>
      <c r="R3471" s="336"/>
      <c r="S3471" s="337"/>
    </row>
    <row r="3472" spans="1:26" ht="30" customHeight="1" x14ac:dyDescent="0.25">
      <c r="A3472" s="927" t="s">
        <v>426</v>
      </c>
      <c r="B3472" s="1214" t="s">
        <v>1971</v>
      </c>
      <c r="C3472" s="1215"/>
      <c r="D3472" s="1216"/>
      <c r="E3472" s="247">
        <f>(1710+2420)/2</f>
        <v>2065</v>
      </c>
      <c r="F3472" s="396" t="s">
        <v>1274</v>
      </c>
      <c r="G3472" s="804">
        <f>+E3472*2/H3467</f>
        <v>0.28266374649236875</v>
      </c>
      <c r="H3472" s="690" t="s">
        <v>1882</v>
      </c>
      <c r="I3472" s="365">
        <v>1.03</v>
      </c>
      <c r="J3472" s="365"/>
      <c r="K3472" s="247">
        <f t="shared" si="60"/>
        <v>0.29114365888713983</v>
      </c>
      <c r="L3472" s="365" t="s">
        <v>205</v>
      </c>
      <c r="M3472" s="54"/>
      <c r="N3472" s="111"/>
      <c r="O3472" s="554"/>
      <c r="P3472" s="334"/>
      <c r="Q3472" s="335"/>
      <c r="R3472" s="336"/>
      <c r="S3472" s="337"/>
    </row>
    <row r="3473" spans="1:26" ht="30" customHeight="1" x14ac:dyDescent="0.25">
      <c r="A3473" s="927" t="s">
        <v>430</v>
      </c>
      <c r="B3473" s="1214" t="s">
        <v>1972</v>
      </c>
      <c r="C3473" s="1215"/>
      <c r="D3473" s="1216"/>
      <c r="E3473" s="247">
        <f>+(34.5+82)/2</f>
        <v>58.25</v>
      </c>
      <c r="F3473" s="396" t="s">
        <v>1885</v>
      </c>
      <c r="G3473" s="804">
        <f>10*E3473*2/H3467</f>
        <v>7.9734446649784407E-2</v>
      </c>
      <c r="H3473" s="690" t="s">
        <v>1882</v>
      </c>
      <c r="I3473" s="365">
        <v>1.03</v>
      </c>
      <c r="J3473" s="365"/>
      <c r="K3473" s="247">
        <f t="shared" si="60"/>
        <v>8.2126480049277945E-2</v>
      </c>
      <c r="L3473" s="365" t="s">
        <v>205</v>
      </c>
      <c r="M3473" s="54"/>
      <c r="N3473" s="54"/>
      <c r="O3473" s="336"/>
      <c r="P3473" s="334"/>
      <c r="Q3473" s="335"/>
      <c r="R3473" s="336"/>
      <c r="S3473" s="337"/>
    </row>
    <row r="3474" spans="1:26" ht="30" customHeight="1" x14ac:dyDescent="0.25">
      <c r="A3474" s="927" t="s">
        <v>430</v>
      </c>
      <c r="B3474" s="1214" t="s">
        <v>1160</v>
      </c>
      <c r="C3474" s="1215"/>
      <c r="D3474" s="1216"/>
      <c r="E3474" s="247">
        <f>+(6450+12300)/2</f>
        <v>9375</v>
      </c>
      <c r="F3474" s="396" t="s">
        <v>76</v>
      </c>
      <c r="G3474" s="804">
        <f>+E3474*2/H3467</f>
        <v>1.2832797207583329</v>
      </c>
      <c r="H3474" s="690" t="s">
        <v>1882</v>
      </c>
      <c r="I3474" s="365">
        <v>1.03</v>
      </c>
      <c r="J3474" s="365"/>
      <c r="K3474" s="247">
        <f t="shared" si="60"/>
        <v>1.3217781123810828</v>
      </c>
      <c r="L3474" s="365" t="s">
        <v>205</v>
      </c>
      <c r="M3474" s="54"/>
      <c r="N3474" s="54"/>
      <c r="O3474" s="343"/>
      <c r="P3474" s="334"/>
      <c r="Q3474" s="335"/>
      <c r="R3474" s="336"/>
      <c r="S3474" s="337"/>
    </row>
    <row r="3475" spans="1:26" ht="30" customHeight="1" x14ac:dyDescent="0.25">
      <c r="A3475" s="927" t="s">
        <v>430</v>
      </c>
      <c r="B3475" s="1214" t="s">
        <v>1161</v>
      </c>
      <c r="C3475" s="1215"/>
      <c r="D3475" s="1216"/>
      <c r="E3475" s="247">
        <f>+(660+1010)/2</f>
        <v>835</v>
      </c>
      <c r="F3475" s="396" t="s">
        <v>76</v>
      </c>
      <c r="G3475" s="804">
        <f>+E3475*2/H3467</f>
        <v>0.1142974471288755</v>
      </c>
      <c r="H3475" s="690" t="s">
        <v>1882</v>
      </c>
      <c r="I3475" s="365">
        <v>1.03</v>
      </c>
      <c r="J3475" s="365"/>
      <c r="K3475" s="247">
        <f t="shared" si="60"/>
        <v>0.11772637054274178</v>
      </c>
      <c r="L3475" s="365" t="s">
        <v>205</v>
      </c>
      <c r="M3475" s="54"/>
      <c r="N3475" s="54"/>
      <c r="O3475" s="343"/>
      <c r="P3475" s="334"/>
      <c r="Q3475" s="335"/>
      <c r="R3475" s="336"/>
      <c r="S3475" s="337"/>
    </row>
    <row r="3476" spans="1:26" ht="30" customHeight="1" x14ac:dyDescent="0.25">
      <c r="A3476" s="927" t="s">
        <v>430</v>
      </c>
      <c r="B3476" s="1214" t="s">
        <v>1162</v>
      </c>
      <c r="C3476" s="1215"/>
      <c r="D3476" s="1216"/>
      <c r="E3476" s="247">
        <f>+(1160+3475)/2</f>
        <v>2317.5</v>
      </c>
      <c r="F3476" s="396" t="s">
        <v>76</v>
      </c>
      <c r="G3476" s="804">
        <f>+E3476*2/H3467</f>
        <v>0.31722674697145986</v>
      </c>
      <c r="H3476" s="690" t="s">
        <v>1882</v>
      </c>
      <c r="I3476" s="365">
        <v>1.03</v>
      </c>
      <c r="J3476" s="365"/>
      <c r="K3476" s="247">
        <f t="shared" si="60"/>
        <v>0.32674354938060368</v>
      </c>
      <c r="L3476" s="365" t="s">
        <v>205</v>
      </c>
      <c r="M3476" s="54"/>
      <c r="N3476" s="73"/>
      <c r="O3476" s="336"/>
      <c r="P3476" s="334"/>
      <c r="Q3476" s="335"/>
      <c r="R3476" s="336"/>
      <c r="S3476" s="337"/>
      <c r="U3476" s="345"/>
    </row>
    <row r="3477" spans="1:26" ht="30" customHeight="1" x14ac:dyDescent="0.25">
      <c r="A3477" s="895"/>
      <c r="B3477" s="1269"/>
      <c r="C3477" s="1269"/>
      <c r="D3477" s="1269"/>
      <c r="E3477" s="247"/>
      <c r="F3477" s="365"/>
      <c r="G3477" s="365"/>
      <c r="H3477" s="365"/>
      <c r="I3477" s="365"/>
      <c r="J3477" s="365" t="s">
        <v>343</v>
      </c>
      <c r="K3477" s="247">
        <f>SUM(K3469:K3476)</f>
        <v>97.512100390117041</v>
      </c>
      <c r="L3477" s="365" t="s">
        <v>205</v>
      </c>
      <c r="M3477" s="54"/>
      <c r="N3477" s="114"/>
      <c r="O3477" s="469"/>
      <c r="P3477" s="334"/>
      <c r="Q3477" s="335"/>
      <c r="R3477" s="336"/>
      <c r="S3477" s="337"/>
    </row>
    <row r="3478" spans="1:26" ht="30" customHeight="1" x14ac:dyDescent="0.25">
      <c r="A3478" s="365"/>
      <c r="B3478" s="578"/>
      <c r="C3478" s="578"/>
      <c r="D3478" s="578"/>
      <c r="E3478" s="247"/>
      <c r="F3478" s="1272" t="s">
        <v>303</v>
      </c>
      <c r="G3478" s="1283" t="s">
        <v>304</v>
      </c>
      <c r="H3478" s="1283"/>
      <c r="I3478" s="1283"/>
      <c r="J3478" s="1283"/>
      <c r="K3478" s="250">
        <v>1.07</v>
      </c>
      <c r="L3478" s="365"/>
      <c r="M3478" s="54"/>
      <c r="N3478" s="54"/>
      <c r="O3478" s="336"/>
      <c r="P3478" s="344"/>
      <c r="Q3478" s="345"/>
      <c r="R3478" s="345"/>
      <c r="S3478" s="345"/>
      <c r="T3478" s="345"/>
      <c r="V3478" s="345"/>
      <c r="W3478" s="345"/>
      <c r="X3478" s="345"/>
      <c r="Y3478" s="345"/>
    </row>
    <row r="3479" spans="1:26" ht="30" customHeight="1" x14ac:dyDescent="0.25">
      <c r="A3479" s="365"/>
      <c r="B3479" s="578"/>
      <c r="C3479" s="578"/>
      <c r="D3479" s="578"/>
      <c r="E3479" s="247"/>
      <c r="F3479" s="1273"/>
      <c r="G3479" s="1316" t="s">
        <v>438</v>
      </c>
      <c r="H3479" s="1317"/>
      <c r="I3479" s="1317"/>
      <c r="J3479" s="1318"/>
      <c r="K3479" s="250">
        <v>1.08</v>
      </c>
      <c r="L3479" s="365"/>
      <c r="M3479" s="54"/>
      <c r="N3479" s="54"/>
      <c r="O3479" s="61"/>
      <c r="V3479" s="345"/>
      <c r="W3479" s="345"/>
      <c r="X3479" s="345"/>
      <c r="Y3479" s="345"/>
    </row>
    <row r="3480" spans="1:26" ht="30" customHeight="1" x14ac:dyDescent="0.25">
      <c r="A3480" s="365"/>
      <c r="B3480" s="365"/>
      <c r="C3480" s="366"/>
      <c r="D3480" s="366"/>
      <c r="E3480" s="366"/>
      <c r="F3480" s="366"/>
      <c r="G3480" s="366"/>
      <c r="H3480" s="366"/>
      <c r="I3480" s="366"/>
      <c r="J3480" s="365" t="s">
        <v>72</v>
      </c>
      <c r="K3480" s="246">
        <f>+K3477*K3478/K3479</f>
        <v>96.609210571690028</v>
      </c>
      <c r="L3480" s="365" t="s">
        <v>205</v>
      </c>
      <c r="M3480" s="54"/>
      <c r="N3480" s="54"/>
      <c r="O3480" s="72"/>
      <c r="U3480" s="60"/>
      <c r="Z3480" s="345"/>
    </row>
    <row r="3481" spans="1:26" ht="30" customHeight="1" x14ac:dyDescent="0.25">
      <c r="A3481" s="365"/>
      <c r="B3481" s="365"/>
      <c r="C3481" s="366"/>
      <c r="D3481" s="366"/>
      <c r="E3481" s="366"/>
      <c r="F3481" s="366"/>
      <c r="G3481" s="1584" t="s">
        <v>414</v>
      </c>
      <c r="H3481" s="1585"/>
      <c r="I3481" s="1586"/>
      <c r="J3481" s="521">
        <f>VLOOKUP(B3467,'Mil Cost Premiums for PUCs'!$A$4:$R$277,18,FALSE)</f>
        <v>1.2146671166928804</v>
      </c>
      <c r="K3481" s="246">
        <f>+K3480*J3481</f>
        <v>117.34803125109006</v>
      </c>
      <c r="L3481" s="365" t="s">
        <v>205</v>
      </c>
      <c r="M3481" s="54"/>
      <c r="N3481" s="54"/>
      <c r="O3481" s="336"/>
      <c r="U3481" s="10"/>
    </row>
    <row r="3482" spans="1:26" ht="30" customHeight="1" x14ac:dyDescent="0.25">
      <c r="A3482" s="844"/>
      <c r="B3482" s="844"/>
      <c r="C3482" s="471"/>
      <c r="D3482" s="471"/>
      <c r="E3482" s="850"/>
      <c r="F3482" s="1278" t="s">
        <v>1148</v>
      </c>
      <c r="G3482" s="1278"/>
      <c r="H3482" s="1278"/>
      <c r="I3482" s="1278"/>
      <c r="J3482" s="845">
        <v>1.0833999999999999</v>
      </c>
      <c r="K3482" s="544">
        <f>K3481*J3482</f>
        <v>127.13485705743096</v>
      </c>
      <c r="L3482" s="369" t="s">
        <v>205</v>
      </c>
      <c r="N3482" s="54"/>
      <c r="O3482" s="336"/>
      <c r="T3482" s="60"/>
    </row>
    <row r="3483" spans="1:26" s="345" customFormat="1" ht="75" customHeight="1" x14ac:dyDescent="0.25">
      <c r="A3483" s="1230" t="s">
        <v>307</v>
      </c>
      <c r="B3483" s="1231"/>
      <c r="C3483" s="1231"/>
      <c r="D3483" s="1231"/>
      <c r="E3483" s="1231"/>
      <c r="F3483" s="1231"/>
      <c r="G3483" s="1231"/>
      <c r="H3483" s="1231"/>
      <c r="I3483" s="1231"/>
      <c r="J3483" s="1231"/>
      <c r="K3483" s="1231"/>
      <c r="L3483" s="1232"/>
      <c r="M3483" s="54"/>
      <c r="N3483" s="54"/>
      <c r="O3483" s="348"/>
      <c r="P3483" s="340"/>
      <c r="Q3483" s="334"/>
      <c r="R3483" s="334"/>
      <c r="S3483" s="334"/>
      <c r="T3483" s="10"/>
      <c r="U3483" s="334"/>
      <c r="V3483" s="334"/>
      <c r="W3483" s="334"/>
      <c r="X3483" s="334"/>
      <c r="Y3483" s="334"/>
      <c r="Z3483" s="334"/>
    </row>
    <row r="3484" spans="1:26" ht="45" customHeight="1" x14ac:dyDescent="0.25">
      <c r="A3484" s="1268" t="s">
        <v>308</v>
      </c>
      <c r="B3484" s="1167"/>
      <c r="C3484" s="1168"/>
      <c r="D3484" s="1230" t="s">
        <v>1973</v>
      </c>
      <c r="E3484" s="1231"/>
      <c r="F3484" s="1231"/>
      <c r="G3484" s="1231"/>
      <c r="H3484" s="1231"/>
      <c r="I3484" s="1231"/>
      <c r="J3484" s="1231"/>
      <c r="K3484" s="1231"/>
      <c r="L3484" s="1232"/>
      <c r="M3484" s="54"/>
      <c r="N3484" s="54"/>
      <c r="O3484" s="348"/>
      <c r="P3484" s="334"/>
      <c r="Q3484" s="335"/>
      <c r="R3484" s="336"/>
      <c r="S3484" s="337"/>
    </row>
    <row r="3485" spans="1:26" ht="30" customHeight="1" x14ac:dyDescent="0.25">
      <c r="A3485" s="1268" t="s">
        <v>310</v>
      </c>
      <c r="B3485" s="1167"/>
      <c r="C3485" s="1168"/>
      <c r="D3485" s="1230" t="s">
        <v>1944</v>
      </c>
      <c r="E3485" s="1231"/>
      <c r="F3485" s="1231"/>
      <c r="G3485" s="1231"/>
      <c r="H3485" s="1231"/>
      <c r="I3485" s="1231"/>
      <c r="J3485" s="1231"/>
      <c r="K3485" s="1231"/>
      <c r="L3485" s="1232"/>
      <c r="M3485" s="54"/>
      <c r="N3485" s="54"/>
      <c r="O3485" s="336"/>
      <c r="P3485" s="334"/>
      <c r="Q3485" s="335"/>
      <c r="R3485" s="336"/>
      <c r="S3485" s="337"/>
    </row>
    <row r="3486" spans="1:26" ht="30" customHeight="1" x14ac:dyDescent="0.25">
      <c r="A3486" s="1268" t="s">
        <v>312</v>
      </c>
      <c r="B3486" s="1167"/>
      <c r="C3486" s="1168"/>
      <c r="D3486" s="1230" t="s">
        <v>1974</v>
      </c>
      <c r="E3486" s="1231"/>
      <c r="F3486" s="1231"/>
      <c r="G3486" s="1231"/>
      <c r="H3486" s="1231"/>
      <c r="I3486" s="1231"/>
      <c r="J3486" s="1231"/>
      <c r="K3486" s="1231"/>
      <c r="L3486" s="1232"/>
      <c r="M3486" s="54"/>
      <c r="N3486" s="54"/>
      <c r="O3486" s="867"/>
      <c r="P3486" s="334"/>
      <c r="Q3486" s="335"/>
      <c r="R3486" s="336"/>
      <c r="S3486" s="337"/>
    </row>
    <row r="3487" spans="1:26" ht="30" customHeight="1" x14ac:dyDescent="0.25">
      <c r="A3487" s="1268" t="s">
        <v>314</v>
      </c>
      <c r="B3487" s="1167"/>
      <c r="C3487" s="1168"/>
      <c r="D3487" s="1230" t="s">
        <v>1975</v>
      </c>
      <c r="E3487" s="1231"/>
      <c r="F3487" s="1231"/>
      <c r="G3487" s="1231"/>
      <c r="H3487" s="1231"/>
      <c r="I3487" s="1231"/>
      <c r="J3487" s="1231"/>
      <c r="K3487" s="1231"/>
      <c r="L3487" s="1232"/>
      <c r="M3487" s="111"/>
      <c r="N3487" s="54"/>
      <c r="O3487" s="336"/>
      <c r="P3487" s="334"/>
      <c r="Q3487" s="335"/>
      <c r="R3487" s="336"/>
      <c r="S3487" s="337"/>
    </row>
    <row r="3488" spans="1:26" ht="45" customHeight="1" x14ac:dyDescent="0.25">
      <c r="A3488" s="1268" t="s">
        <v>316</v>
      </c>
      <c r="B3488" s="1167"/>
      <c r="C3488" s="1168"/>
      <c r="D3488" s="1230" t="s">
        <v>1976</v>
      </c>
      <c r="E3488" s="1231"/>
      <c r="F3488" s="1231"/>
      <c r="G3488" s="1231"/>
      <c r="H3488" s="1231"/>
      <c r="I3488" s="1231"/>
      <c r="J3488" s="1231"/>
      <c r="K3488" s="1231"/>
      <c r="L3488" s="1232"/>
      <c r="M3488" s="54"/>
      <c r="O3488" s="336"/>
      <c r="P3488" s="334"/>
      <c r="Q3488" s="335"/>
      <c r="R3488" s="336"/>
      <c r="S3488" s="337"/>
    </row>
    <row r="3489" spans="1:21" ht="30" customHeight="1" x14ac:dyDescent="0.25">
      <c r="A3489" s="1268" t="s">
        <v>318</v>
      </c>
      <c r="B3489" s="1167"/>
      <c r="C3489" s="1168"/>
      <c r="D3489" s="1230" t="s">
        <v>1841</v>
      </c>
      <c r="E3489" s="1231"/>
      <c r="F3489" s="1231"/>
      <c r="G3489" s="1231"/>
      <c r="H3489" s="1231"/>
      <c r="I3489" s="1231"/>
      <c r="J3489" s="1231"/>
      <c r="K3489" s="1231"/>
      <c r="L3489" s="1232"/>
      <c r="M3489" s="54"/>
      <c r="N3489" s="54"/>
      <c r="O3489" s="336"/>
      <c r="P3489" s="334"/>
      <c r="Q3489" s="335"/>
      <c r="R3489" s="336"/>
      <c r="S3489" s="337"/>
    </row>
    <row r="3490" spans="1:21" ht="30" customHeight="1" x14ac:dyDescent="0.25">
      <c r="A3490" s="1268" t="s">
        <v>320</v>
      </c>
      <c r="B3490" s="1167"/>
      <c r="C3490" s="1168"/>
      <c r="D3490" s="1230" t="s">
        <v>1977</v>
      </c>
      <c r="E3490" s="1231"/>
      <c r="F3490" s="1231"/>
      <c r="G3490" s="1231"/>
      <c r="H3490" s="1231"/>
      <c r="I3490" s="1231"/>
      <c r="J3490" s="1231"/>
      <c r="K3490" s="1231"/>
      <c r="L3490" s="1232"/>
      <c r="M3490" s="54"/>
      <c r="N3490" s="54"/>
      <c r="O3490" s="336"/>
      <c r="P3490" s="334"/>
      <c r="Q3490" s="335"/>
      <c r="R3490" s="336"/>
      <c r="S3490" s="337"/>
    </row>
    <row r="3491" spans="1:21" ht="75" customHeight="1" x14ac:dyDescent="0.25">
      <c r="A3491" s="1268" t="s">
        <v>322</v>
      </c>
      <c r="B3491" s="1167"/>
      <c r="C3491" s="1168"/>
      <c r="D3491" s="1230" t="s">
        <v>422</v>
      </c>
      <c r="E3491" s="1231"/>
      <c r="F3491" s="1231"/>
      <c r="G3491" s="1231"/>
      <c r="H3491" s="1231"/>
      <c r="I3491" s="1231"/>
      <c r="J3491" s="1231"/>
      <c r="K3491" s="1231"/>
      <c r="L3491" s="1232"/>
      <c r="M3491" s="210"/>
      <c r="N3491" s="54"/>
      <c r="O3491" s="543"/>
      <c r="P3491" s="334"/>
      <c r="Q3491" s="335"/>
      <c r="R3491" s="336"/>
      <c r="S3491" s="337"/>
    </row>
    <row r="3492" spans="1:21" ht="30" customHeight="1" thickBot="1" x14ac:dyDescent="0.3">
      <c r="A3492" s="1268" t="s">
        <v>350</v>
      </c>
      <c r="B3492" s="1167"/>
      <c r="C3492" s="1168"/>
      <c r="D3492" s="1291" t="s">
        <v>3433</v>
      </c>
      <c r="E3492" s="1292"/>
      <c r="F3492" s="1292"/>
      <c r="G3492" s="1292"/>
      <c r="H3492" s="1292"/>
      <c r="I3492" s="1292"/>
      <c r="J3492" s="1292"/>
      <c r="K3492" s="1292"/>
      <c r="L3492" s="1293"/>
      <c r="M3492" s="114"/>
      <c r="N3492" s="54"/>
      <c r="P3492" s="334"/>
      <c r="Q3492" s="335"/>
      <c r="R3492" s="336"/>
      <c r="S3492" s="337"/>
    </row>
    <row r="3493" spans="1:21" ht="30" customHeight="1" thickBot="1" x14ac:dyDescent="0.3">
      <c r="A3493" s="1180"/>
      <c r="B3493" s="1181"/>
      <c r="C3493" s="1181"/>
      <c r="D3493" s="1181"/>
      <c r="E3493" s="1181"/>
      <c r="F3493" s="1181"/>
      <c r="G3493" s="1181"/>
      <c r="H3493" s="1181"/>
      <c r="I3493" s="1181"/>
      <c r="J3493" s="1181"/>
      <c r="K3493" s="1181"/>
      <c r="L3493" s="1182"/>
      <c r="M3493" s="54"/>
      <c r="N3493" s="54"/>
      <c r="P3493" s="334"/>
      <c r="Q3493" s="335"/>
      <c r="R3493" s="336"/>
      <c r="S3493" s="337"/>
    </row>
    <row r="3494" spans="1:21" ht="30" customHeight="1" x14ac:dyDescent="0.25">
      <c r="A3494" s="327" t="s">
        <v>5</v>
      </c>
      <c r="B3494" s="328">
        <v>7347</v>
      </c>
      <c r="C3494" s="1251" t="s">
        <v>1978</v>
      </c>
      <c r="D3494" s="1252"/>
      <c r="E3494" s="331" t="s">
        <v>8</v>
      </c>
      <c r="F3494" s="332" t="s">
        <v>205</v>
      </c>
      <c r="G3494" s="342" t="s">
        <v>74</v>
      </c>
      <c r="H3494" s="156">
        <v>2402</v>
      </c>
      <c r="I3494" s="331" t="s">
        <v>10</v>
      </c>
      <c r="J3494" s="1220" t="s">
        <v>3388</v>
      </c>
      <c r="K3494" s="1220"/>
      <c r="L3494" s="1221"/>
      <c r="M3494" s="54"/>
      <c r="N3494" s="54"/>
      <c r="P3494" s="334"/>
      <c r="Q3494" s="335"/>
      <c r="R3494" s="336"/>
      <c r="S3494" s="337"/>
    </row>
    <row r="3495" spans="1:21" ht="30" customHeight="1" x14ac:dyDescent="0.25">
      <c r="A3495" s="359" t="s">
        <v>295</v>
      </c>
      <c r="B3495" s="1222" t="s">
        <v>326</v>
      </c>
      <c r="C3495" s="1235"/>
      <c r="D3495" s="1223"/>
      <c r="E3495" s="577" t="s">
        <v>116</v>
      </c>
      <c r="F3495" s="577" t="s">
        <v>117</v>
      </c>
      <c r="G3495" s="1194" t="s">
        <v>118</v>
      </c>
      <c r="H3495" s="1195"/>
      <c r="I3495" s="356" t="s">
        <v>296</v>
      </c>
      <c r="J3495" s="356"/>
      <c r="K3495" s="1236" t="s">
        <v>285</v>
      </c>
      <c r="L3495" s="1237"/>
      <c r="M3495" s="54"/>
      <c r="N3495" s="54"/>
      <c r="P3495" s="334"/>
      <c r="Q3495" s="335"/>
      <c r="R3495" s="336"/>
      <c r="S3495" s="337"/>
    </row>
    <row r="3496" spans="1:21" ht="30" customHeight="1" x14ac:dyDescent="0.25">
      <c r="A3496" s="755" t="s">
        <v>1979</v>
      </c>
      <c r="B3496" s="1209" t="s">
        <v>1980</v>
      </c>
      <c r="C3496" s="1210"/>
      <c r="D3496" s="1211"/>
      <c r="E3496" s="247">
        <f>178-2.67</f>
        <v>175.33</v>
      </c>
      <c r="F3496" s="396" t="s">
        <v>205</v>
      </c>
      <c r="G3496" s="689"/>
      <c r="H3496" s="690"/>
      <c r="I3496" s="365">
        <v>1.05</v>
      </c>
      <c r="J3496" s="365"/>
      <c r="K3496" s="247">
        <f>+E3496*I3496</f>
        <v>184.09650000000002</v>
      </c>
      <c r="L3496" s="365" t="s">
        <v>205</v>
      </c>
      <c r="M3496" s="54"/>
      <c r="N3496" s="54"/>
      <c r="O3496" s="336"/>
      <c r="P3496" s="334"/>
      <c r="Q3496" s="335"/>
      <c r="R3496" s="336"/>
      <c r="S3496" s="337"/>
    </row>
    <row r="3497" spans="1:21" ht="30" customHeight="1" x14ac:dyDescent="0.25">
      <c r="A3497" s="895" t="s">
        <v>456</v>
      </c>
      <c r="B3497" s="1214" t="s">
        <v>1799</v>
      </c>
      <c r="C3497" s="1215"/>
      <c r="D3497" s="1216"/>
      <c r="E3497" s="247">
        <v>4.8600000000000003</v>
      </c>
      <c r="F3497" s="396" t="s">
        <v>205</v>
      </c>
      <c r="G3497" s="689"/>
      <c r="H3497" s="690"/>
      <c r="I3497" s="365">
        <v>1.05</v>
      </c>
      <c r="J3497" s="365"/>
      <c r="K3497" s="247">
        <f>+E3497*I3497</f>
        <v>5.1030000000000006</v>
      </c>
      <c r="L3497" s="365" t="s">
        <v>205</v>
      </c>
      <c r="M3497" s="54"/>
      <c r="O3497" s="336"/>
      <c r="P3497" s="334"/>
      <c r="Q3497" s="335"/>
      <c r="R3497" s="336"/>
      <c r="S3497" s="337"/>
    </row>
    <row r="3498" spans="1:21" ht="30" customHeight="1" x14ac:dyDescent="0.25">
      <c r="A3498" s="365"/>
      <c r="B3498" s="1269"/>
      <c r="C3498" s="1269"/>
      <c r="D3498" s="1269"/>
      <c r="E3498" s="247"/>
      <c r="F3498" s="365"/>
      <c r="G3498" s="365"/>
      <c r="H3498" s="365"/>
      <c r="I3498" s="365"/>
      <c r="J3498" s="365" t="s">
        <v>343</v>
      </c>
      <c r="K3498" s="247">
        <f>SUM(K3496:K3497)</f>
        <v>189.19950000000003</v>
      </c>
      <c r="L3498" s="365" t="s">
        <v>205</v>
      </c>
      <c r="M3498" s="54"/>
      <c r="N3498" s="54"/>
      <c r="O3498" s="839"/>
      <c r="P3498" s="334"/>
      <c r="Q3498" s="335"/>
      <c r="R3498" s="336"/>
      <c r="S3498" s="337"/>
    </row>
    <row r="3499" spans="1:21" ht="30" customHeight="1" x14ac:dyDescent="0.25">
      <c r="A3499" s="365"/>
      <c r="B3499" s="578"/>
      <c r="C3499" s="578"/>
      <c r="D3499" s="578"/>
      <c r="E3499" s="247"/>
      <c r="F3499" s="1272" t="s">
        <v>303</v>
      </c>
      <c r="G3499" s="1283" t="s">
        <v>304</v>
      </c>
      <c r="H3499" s="1283"/>
      <c r="I3499" s="1283"/>
      <c r="J3499" s="1283"/>
      <c r="K3499" s="250">
        <v>1.07</v>
      </c>
      <c r="L3499" s="365"/>
      <c r="M3499" s="54"/>
      <c r="N3499" s="54"/>
      <c r="O3499" s="340"/>
      <c r="P3499" s="334"/>
      <c r="Q3499" s="335"/>
      <c r="R3499" s="336"/>
      <c r="S3499" s="337"/>
    </row>
    <row r="3500" spans="1:21" ht="30" customHeight="1" x14ac:dyDescent="0.25">
      <c r="A3500" s="365"/>
      <c r="B3500" s="578"/>
      <c r="C3500" s="578"/>
      <c r="D3500" s="578"/>
      <c r="E3500" s="247"/>
      <c r="F3500" s="1273"/>
      <c r="G3500" s="1284" t="s">
        <v>438</v>
      </c>
      <c r="H3500" s="1284"/>
      <c r="I3500" s="1284"/>
      <c r="J3500" s="1284"/>
      <c r="K3500" s="250">
        <v>1.08</v>
      </c>
      <c r="L3500" s="365"/>
      <c r="M3500" s="54"/>
      <c r="N3500" s="54"/>
      <c r="O3500" s="340"/>
      <c r="P3500" s="334"/>
      <c r="Q3500" s="335"/>
      <c r="R3500" s="336"/>
      <c r="S3500" s="337"/>
    </row>
    <row r="3501" spans="1:21" ht="30" customHeight="1" x14ac:dyDescent="0.25">
      <c r="A3501" s="365"/>
      <c r="B3501" s="365"/>
      <c r="C3501" s="366"/>
      <c r="D3501" s="366"/>
      <c r="E3501" s="366"/>
      <c r="F3501" s="366"/>
      <c r="G3501" s="366"/>
      <c r="H3501" s="366"/>
      <c r="I3501" s="366"/>
      <c r="J3501" s="365" t="s">
        <v>72</v>
      </c>
      <c r="K3501" s="246">
        <f>+K3498*K3499/K3500</f>
        <v>187.44765277777779</v>
      </c>
      <c r="L3501" s="365" t="s">
        <v>205</v>
      </c>
      <c r="M3501" s="54"/>
      <c r="N3501" s="54"/>
      <c r="O3501" s="336"/>
      <c r="P3501" s="334"/>
      <c r="Q3501" s="335"/>
      <c r="R3501" s="336"/>
      <c r="S3501" s="337"/>
    </row>
    <row r="3502" spans="1:21" ht="30" customHeight="1" x14ac:dyDescent="0.25">
      <c r="A3502" s="365"/>
      <c r="B3502" s="365"/>
      <c r="C3502" s="366"/>
      <c r="D3502" s="366"/>
      <c r="E3502" s="366"/>
      <c r="F3502" s="366"/>
      <c r="G3502" s="580" t="s">
        <v>306</v>
      </c>
      <c r="H3502" s="366"/>
      <c r="I3502" s="366"/>
      <c r="J3502" s="521">
        <f>VLOOKUP(B3494,'Mil Cost Premiums for PUCs'!$A$4:$R$277,18,FALSE)</f>
        <v>1.3148549708569053</v>
      </c>
      <c r="K3502" s="246">
        <f>+K3501*J3502</f>
        <v>246.4664780303203</v>
      </c>
      <c r="L3502" s="365" t="s">
        <v>205</v>
      </c>
      <c r="M3502" s="54"/>
      <c r="N3502" s="54"/>
      <c r="O3502" s="336"/>
      <c r="P3502" s="334"/>
      <c r="Q3502" s="335"/>
      <c r="R3502" s="336"/>
      <c r="S3502" s="337"/>
    </row>
    <row r="3503" spans="1:21" ht="30" customHeight="1" thickBot="1" x14ac:dyDescent="0.3">
      <c r="A3503" s="844"/>
      <c r="B3503" s="844"/>
      <c r="C3503" s="471"/>
      <c r="D3503" s="471"/>
      <c r="E3503" s="850"/>
      <c r="F3503" s="1278" t="s">
        <v>1148</v>
      </c>
      <c r="G3503" s="1278"/>
      <c r="H3503" s="1278"/>
      <c r="I3503" s="1278"/>
      <c r="J3503" s="845">
        <v>1.0833999999999999</v>
      </c>
      <c r="K3503" s="544">
        <f>K3502*J3503</f>
        <v>267.021782298049</v>
      </c>
      <c r="L3503" s="369" t="s">
        <v>205</v>
      </c>
      <c r="N3503" s="54"/>
      <c r="O3503" s="336"/>
      <c r="P3503" s="334"/>
      <c r="Q3503" s="335"/>
      <c r="R3503" s="336"/>
      <c r="S3503" s="337"/>
    </row>
    <row r="3504" spans="1:21" ht="30" customHeight="1" thickBot="1" x14ac:dyDescent="0.3">
      <c r="A3504" s="1180"/>
      <c r="B3504" s="1181"/>
      <c r="C3504" s="1181"/>
      <c r="D3504" s="1181"/>
      <c r="E3504" s="1181"/>
      <c r="F3504" s="1181"/>
      <c r="G3504" s="1181"/>
      <c r="H3504" s="1181"/>
      <c r="I3504" s="1181"/>
      <c r="J3504" s="1181"/>
      <c r="K3504" s="1181"/>
      <c r="L3504" s="1182"/>
      <c r="M3504" s="54"/>
      <c r="N3504" s="111"/>
      <c r="O3504" s="336"/>
      <c r="P3504" s="334"/>
      <c r="Q3504" s="335"/>
      <c r="R3504" s="336"/>
      <c r="S3504" s="337"/>
      <c r="U3504" s="345"/>
    </row>
    <row r="3505" spans="1:26" ht="30" customHeight="1" x14ac:dyDescent="0.25">
      <c r="A3505" s="327" t="s">
        <v>5</v>
      </c>
      <c r="B3505" s="328">
        <v>7348</v>
      </c>
      <c r="C3505" s="1251" t="s">
        <v>1981</v>
      </c>
      <c r="D3505" s="1252"/>
      <c r="E3505" s="331" t="s">
        <v>8</v>
      </c>
      <c r="F3505" s="341" t="s">
        <v>205</v>
      </c>
      <c r="G3505" s="338" t="s">
        <v>1982</v>
      </c>
      <c r="H3505" s="156">
        <v>1803</v>
      </c>
      <c r="I3505" s="331" t="s">
        <v>10</v>
      </c>
      <c r="J3505" s="1220" t="s">
        <v>3388</v>
      </c>
      <c r="K3505" s="1220"/>
      <c r="L3505" s="1221"/>
      <c r="M3505" s="54"/>
      <c r="N3505" s="54"/>
      <c r="O3505" s="336"/>
      <c r="P3505" s="334"/>
      <c r="Q3505" s="335"/>
      <c r="R3505" s="336"/>
      <c r="S3505" s="337"/>
    </row>
    <row r="3506" spans="1:26" ht="30" customHeight="1" x14ac:dyDescent="0.25">
      <c r="A3506" s="359" t="s">
        <v>295</v>
      </c>
      <c r="B3506" s="1222" t="s">
        <v>326</v>
      </c>
      <c r="C3506" s="1235"/>
      <c r="D3506" s="1223"/>
      <c r="E3506" s="577" t="s">
        <v>116</v>
      </c>
      <c r="F3506" s="577" t="s">
        <v>117</v>
      </c>
      <c r="G3506" s="1194" t="s">
        <v>118</v>
      </c>
      <c r="H3506" s="1195"/>
      <c r="I3506" s="356" t="s">
        <v>296</v>
      </c>
      <c r="J3506" s="356"/>
      <c r="K3506" s="1236" t="s">
        <v>285</v>
      </c>
      <c r="L3506" s="1237"/>
      <c r="M3506" s="54"/>
      <c r="N3506" s="54"/>
      <c r="O3506" s="336"/>
      <c r="P3506" s="344"/>
      <c r="Q3506" s="345"/>
      <c r="R3506" s="345"/>
      <c r="S3506" s="345"/>
      <c r="T3506" s="345"/>
      <c r="V3506" s="345"/>
      <c r="W3506" s="345"/>
      <c r="X3506" s="345"/>
      <c r="Y3506" s="345"/>
    </row>
    <row r="3507" spans="1:26" ht="30" customHeight="1" x14ac:dyDescent="0.25">
      <c r="A3507" s="755" t="s">
        <v>1983</v>
      </c>
      <c r="B3507" s="1214" t="s">
        <v>1984</v>
      </c>
      <c r="C3507" s="1215"/>
      <c r="D3507" s="1216"/>
      <c r="E3507" s="247">
        <v>78</v>
      </c>
      <c r="F3507" s="396" t="s">
        <v>205</v>
      </c>
      <c r="G3507" s="689"/>
      <c r="H3507" s="690"/>
      <c r="I3507" s="365">
        <v>1.05</v>
      </c>
      <c r="J3507" s="365"/>
      <c r="K3507" s="247">
        <f>+E3507*I3507</f>
        <v>81.900000000000006</v>
      </c>
      <c r="L3507" s="365" t="s">
        <v>205</v>
      </c>
      <c r="M3507" s="54"/>
      <c r="N3507" s="54"/>
      <c r="O3507" s="336"/>
      <c r="U3507" s="60"/>
      <c r="Z3507" s="345"/>
    </row>
    <row r="3508" spans="1:26" ht="30" customHeight="1" x14ac:dyDescent="0.25">
      <c r="A3508" s="365"/>
      <c r="B3508" s="578"/>
      <c r="C3508" s="578"/>
      <c r="D3508" s="578"/>
      <c r="E3508" s="247"/>
      <c r="F3508" s="1272" t="s">
        <v>303</v>
      </c>
      <c r="G3508" s="1283" t="s">
        <v>304</v>
      </c>
      <c r="H3508" s="1283"/>
      <c r="I3508" s="1283"/>
      <c r="J3508" s="1283"/>
      <c r="K3508" s="250">
        <v>1.07</v>
      </c>
      <c r="L3508" s="365"/>
      <c r="M3508" s="54"/>
      <c r="N3508" s="54"/>
      <c r="O3508" s="336"/>
      <c r="U3508" s="10"/>
    </row>
    <row r="3509" spans="1:26" ht="30" customHeight="1" x14ac:dyDescent="0.25">
      <c r="A3509" s="365"/>
      <c r="B3509" s="578"/>
      <c r="C3509" s="578"/>
      <c r="D3509" s="578"/>
      <c r="E3509" s="247"/>
      <c r="F3509" s="1273"/>
      <c r="G3509" s="1284" t="s">
        <v>438</v>
      </c>
      <c r="H3509" s="1284"/>
      <c r="I3509" s="1284"/>
      <c r="J3509" s="1284"/>
      <c r="K3509" s="250">
        <v>1.08</v>
      </c>
      <c r="L3509" s="365"/>
      <c r="M3509" s="54"/>
      <c r="N3509" s="54"/>
      <c r="O3509" s="336"/>
      <c r="T3509" s="60"/>
    </row>
    <row r="3510" spans="1:26" s="345" customFormat="1" ht="30" customHeight="1" x14ac:dyDescent="0.25">
      <c r="A3510" s="365"/>
      <c r="B3510" s="365"/>
      <c r="C3510" s="366"/>
      <c r="D3510" s="366"/>
      <c r="E3510" s="366"/>
      <c r="F3510" s="366"/>
      <c r="G3510" s="366"/>
      <c r="H3510" s="366"/>
      <c r="I3510" s="366"/>
      <c r="J3510" s="365" t="s">
        <v>72</v>
      </c>
      <c r="K3510" s="246">
        <f>+K3507*K3508/K3509</f>
        <v>81.141666666666666</v>
      </c>
      <c r="L3510" s="365" t="s">
        <v>205</v>
      </c>
      <c r="M3510" s="54"/>
      <c r="N3510" s="54"/>
      <c r="O3510" s="336"/>
      <c r="P3510" s="340"/>
      <c r="Q3510" s="334"/>
      <c r="R3510" s="334"/>
      <c r="S3510" s="334"/>
      <c r="T3510" s="10"/>
      <c r="U3510" s="334"/>
      <c r="V3510" s="334"/>
      <c r="W3510" s="334"/>
      <c r="X3510" s="334"/>
      <c r="Y3510" s="334"/>
      <c r="Z3510" s="334"/>
    </row>
    <row r="3511" spans="1:26" ht="30" customHeight="1" x14ac:dyDescent="0.25">
      <c r="A3511" s="365"/>
      <c r="B3511" s="365"/>
      <c r="C3511" s="366"/>
      <c r="D3511" s="366"/>
      <c r="E3511" s="366"/>
      <c r="F3511" s="366"/>
      <c r="G3511" s="580" t="s">
        <v>306</v>
      </c>
      <c r="H3511" s="366"/>
      <c r="I3511" s="366"/>
      <c r="J3511" s="521">
        <f>VLOOKUP(B3505,'Mil Cost Premiums for PUCs'!$A$4:$R$277,18,FALSE)</f>
        <v>1.1080418597902797</v>
      </c>
      <c r="K3511" s="246">
        <f>+K3510*J3511</f>
        <v>89.908363239816282</v>
      </c>
      <c r="L3511" s="365" t="s">
        <v>205</v>
      </c>
      <c r="M3511" s="54"/>
      <c r="N3511" s="54"/>
      <c r="O3511" s="336"/>
      <c r="P3511" s="334"/>
      <c r="Q3511" s="335"/>
      <c r="R3511" s="336"/>
      <c r="S3511" s="337"/>
    </row>
    <row r="3512" spans="1:26" ht="30" customHeight="1" thickBot="1" x14ac:dyDescent="0.3">
      <c r="A3512" s="844"/>
      <c r="B3512" s="844"/>
      <c r="C3512" s="471"/>
      <c r="D3512" s="471"/>
      <c r="E3512" s="850"/>
      <c r="F3512" s="1278" t="s">
        <v>1148</v>
      </c>
      <c r="G3512" s="1278"/>
      <c r="H3512" s="1278"/>
      <c r="I3512" s="1278"/>
      <c r="J3512" s="845">
        <v>1.0833999999999999</v>
      </c>
      <c r="K3512" s="544">
        <f>K3511*J3512</f>
        <v>97.406720734016957</v>
      </c>
      <c r="L3512" s="369" t="s">
        <v>205</v>
      </c>
      <c r="N3512" s="54"/>
      <c r="O3512" s="336"/>
      <c r="P3512" s="334"/>
      <c r="Q3512" s="335"/>
      <c r="R3512" s="336"/>
      <c r="S3512" s="337"/>
    </row>
    <row r="3513" spans="1:26" ht="30" customHeight="1" thickBot="1" x14ac:dyDescent="0.3">
      <c r="A3513" s="1180"/>
      <c r="B3513" s="1181"/>
      <c r="C3513" s="1181"/>
      <c r="D3513" s="1181"/>
      <c r="E3513" s="1181"/>
      <c r="F3513" s="1181"/>
      <c r="G3513" s="1181"/>
      <c r="H3513" s="1181"/>
      <c r="I3513" s="1181"/>
      <c r="J3513" s="1181"/>
      <c r="K3513" s="1181"/>
      <c r="L3513" s="1182"/>
      <c r="M3513" s="54"/>
      <c r="N3513" s="54"/>
      <c r="O3513" s="336"/>
      <c r="P3513" s="334"/>
      <c r="Q3513" s="335"/>
      <c r="R3513" s="336"/>
      <c r="S3513" s="337"/>
    </row>
    <row r="3514" spans="1:26" ht="30" customHeight="1" x14ac:dyDescent="0.25">
      <c r="A3514" s="327" t="s">
        <v>5</v>
      </c>
      <c r="B3514" s="328">
        <v>7349</v>
      </c>
      <c r="C3514" s="1364" t="s">
        <v>1985</v>
      </c>
      <c r="D3514" s="1365"/>
      <c r="E3514" s="331" t="s">
        <v>8</v>
      </c>
      <c r="F3514" s="332" t="s">
        <v>205</v>
      </c>
      <c r="G3514" s="342" t="s">
        <v>74</v>
      </c>
      <c r="H3514" s="156">
        <v>60755</v>
      </c>
      <c r="I3514" s="331" t="s">
        <v>10</v>
      </c>
      <c r="J3514" s="1220" t="s">
        <v>3388</v>
      </c>
      <c r="K3514" s="1220"/>
      <c r="L3514" s="1221"/>
      <c r="M3514" s="54"/>
      <c r="N3514" s="54"/>
      <c r="O3514" s="336"/>
      <c r="P3514" s="334"/>
      <c r="Q3514" s="335"/>
      <c r="R3514" s="336"/>
      <c r="S3514" s="337"/>
    </row>
    <row r="3515" spans="1:26" ht="30" customHeight="1" x14ac:dyDescent="0.25">
      <c r="A3515" s="359" t="s">
        <v>295</v>
      </c>
      <c r="B3515" s="1222" t="s">
        <v>326</v>
      </c>
      <c r="C3515" s="1235"/>
      <c r="D3515" s="1223"/>
      <c r="E3515" s="577" t="s">
        <v>116</v>
      </c>
      <c r="F3515" s="577" t="s">
        <v>117</v>
      </c>
      <c r="G3515" s="1194" t="s">
        <v>118</v>
      </c>
      <c r="H3515" s="1195"/>
      <c r="I3515" s="356" t="s">
        <v>296</v>
      </c>
      <c r="J3515" s="356"/>
      <c r="K3515" s="1236" t="s">
        <v>285</v>
      </c>
      <c r="L3515" s="1237"/>
      <c r="M3515" s="54"/>
      <c r="O3515" s="336"/>
      <c r="P3515" s="334"/>
      <c r="Q3515" s="335"/>
      <c r="R3515" s="336"/>
      <c r="S3515" s="337"/>
    </row>
    <row r="3516" spans="1:26" ht="30" customHeight="1" x14ac:dyDescent="0.25">
      <c r="A3516" s="755" t="s">
        <v>1986</v>
      </c>
      <c r="B3516" s="1214" t="s">
        <v>1987</v>
      </c>
      <c r="C3516" s="1215"/>
      <c r="D3516" s="1216"/>
      <c r="E3516" s="247">
        <v>91.5</v>
      </c>
      <c r="F3516" s="396" t="s">
        <v>205</v>
      </c>
      <c r="G3516" s="935">
        <f>+E3516</f>
        <v>91.5</v>
      </c>
      <c r="H3516" s="690" t="s">
        <v>1882</v>
      </c>
      <c r="I3516" s="365">
        <v>1.04</v>
      </c>
      <c r="J3516" s="365"/>
      <c r="K3516" s="247">
        <f t="shared" ref="K3516:K3524" si="61">+G3516*I3516</f>
        <v>95.16</v>
      </c>
      <c r="L3516" s="365" t="s">
        <v>205</v>
      </c>
      <c r="M3516" s="54"/>
      <c r="N3516" s="54"/>
      <c r="O3516" s="336"/>
      <c r="P3516" s="334"/>
      <c r="Q3516" s="335"/>
      <c r="R3516" s="336"/>
      <c r="S3516" s="337"/>
    </row>
    <row r="3517" spans="1:26" ht="30" customHeight="1" x14ac:dyDescent="0.25">
      <c r="A3517" s="755" t="s">
        <v>1937</v>
      </c>
      <c r="B3517" s="1209" t="s">
        <v>1988</v>
      </c>
      <c r="C3517" s="1210"/>
      <c r="D3517" s="1211"/>
      <c r="E3517" s="247">
        <f>55250+(7800*2)</f>
        <v>70850</v>
      </c>
      <c r="F3517" s="396" t="s">
        <v>76</v>
      </c>
      <c r="G3517" s="935">
        <f>E3517/H3514</f>
        <v>1.1661591638548268</v>
      </c>
      <c r="H3517" s="690" t="s">
        <v>1882</v>
      </c>
      <c r="I3517" s="365">
        <v>1.04</v>
      </c>
      <c r="J3517" s="365"/>
      <c r="K3517" s="247">
        <f>G3517*I3517</f>
        <v>1.2128055304090199</v>
      </c>
      <c r="L3517" s="365" t="s">
        <v>205</v>
      </c>
      <c r="M3517" s="54"/>
      <c r="N3517" s="54"/>
      <c r="O3517" s="336"/>
      <c r="P3517" s="334"/>
      <c r="Q3517" s="335"/>
      <c r="R3517" s="336"/>
      <c r="S3517" s="337"/>
    </row>
    <row r="3518" spans="1:26" ht="30" customHeight="1" x14ac:dyDescent="0.25">
      <c r="A3518" s="755" t="s">
        <v>426</v>
      </c>
      <c r="B3518" s="1214" t="s">
        <v>1989</v>
      </c>
      <c r="C3518" s="1215"/>
      <c r="D3518" s="1216"/>
      <c r="E3518" s="247">
        <f>(20.3+31.5)/2</f>
        <v>25.9</v>
      </c>
      <c r="F3518" s="396" t="s">
        <v>205</v>
      </c>
      <c r="G3518" s="71">
        <f>8*81*E3518/H3514</f>
        <v>0.27624393054069624</v>
      </c>
      <c r="H3518" s="690" t="s">
        <v>1882</v>
      </c>
      <c r="I3518" s="365">
        <v>1.03</v>
      </c>
      <c r="J3518" s="365"/>
      <c r="K3518" s="247">
        <f t="shared" si="61"/>
        <v>0.28453124845691713</v>
      </c>
      <c r="L3518" s="365" t="s">
        <v>205</v>
      </c>
      <c r="M3518" s="54"/>
      <c r="N3518" s="54"/>
      <c r="O3518" s="543"/>
      <c r="P3518" s="334"/>
      <c r="Q3518" s="335"/>
      <c r="R3518" s="336"/>
      <c r="S3518" s="337"/>
    </row>
    <row r="3519" spans="1:26" ht="30" customHeight="1" x14ac:dyDescent="0.25">
      <c r="A3519" s="755" t="s">
        <v>426</v>
      </c>
      <c r="B3519" s="1214" t="s">
        <v>1990</v>
      </c>
      <c r="C3519" s="1215"/>
      <c r="D3519" s="1216"/>
      <c r="E3519" s="247">
        <f>(1710+2420)/2</f>
        <v>2065</v>
      </c>
      <c r="F3519" s="396" t="s">
        <v>76</v>
      </c>
      <c r="G3519" s="71">
        <f>8*E3519/H3514</f>
        <v>0.27191177680849316</v>
      </c>
      <c r="H3519" s="690" t="s">
        <v>1882</v>
      </c>
      <c r="I3519" s="365">
        <v>1.03</v>
      </c>
      <c r="J3519" s="365"/>
      <c r="K3519" s="247">
        <f t="shared" si="61"/>
        <v>0.28006913011274798</v>
      </c>
      <c r="L3519" s="365" t="s">
        <v>205</v>
      </c>
      <c r="M3519" s="111"/>
      <c r="N3519" s="54"/>
      <c r="P3519" s="334"/>
      <c r="Q3519" s="335"/>
      <c r="R3519" s="336"/>
      <c r="S3519" s="337"/>
    </row>
    <row r="3520" spans="1:26" ht="30" customHeight="1" x14ac:dyDescent="0.25">
      <c r="A3520" s="755" t="s">
        <v>430</v>
      </c>
      <c r="B3520" s="1214" t="s">
        <v>1991</v>
      </c>
      <c r="C3520" s="1215"/>
      <c r="D3520" s="1216"/>
      <c r="E3520" s="247">
        <f>+(34.5+82)/2</f>
        <v>58.25</v>
      </c>
      <c r="F3520" s="396" t="s">
        <v>40</v>
      </c>
      <c r="G3520" s="71">
        <f>+E3520*10*8/H3514</f>
        <v>7.6701506048884871E-2</v>
      </c>
      <c r="H3520" s="690" t="s">
        <v>1882</v>
      </c>
      <c r="I3520" s="365">
        <v>1.03</v>
      </c>
      <c r="J3520" s="365"/>
      <c r="K3520" s="247">
        <f t="shared" si="61"/>
        <v>7.9002551230351423E-2</v>
      </c>
      <c r="L3520" s="365" t="s">
        <v>205</v>
      </c>
      <c r="M3520" s="54"/>
      <c r="N3520" s="54"/>
      <c r="O3520" s="348"/>
      <c r="P3520" s="334"/>
      <c r="Q3520" s="335"/>
      <c r="R3520" s="336"/>
      <c r="S3520" s="337"/>
    </row>
    <row r="3521" spans="1:19" ht="30" customHeight="1" x14ac:dyDescent="0.25">
      <c r="A3521" s="755" t="s">
        <v>430</v>
      </c>
      <c r="B3521" s="1214" t="s">
        <v>1992</v>
      </c>
      <c r="C3521" s="1215"/>
      <c r="D3521" s="1216"/>
      <c r="E3521" s="247">
        <f>+(6450+12300)/2</f>
        <v>9375</v>
      </c>
      <c r="F3521" s="396" t="s">
        <v>76</v>
      </c>
      <c r="G3521" s="71">
        <f>+E3521*8/H3514</f>
        <v>1.2344662990700355</v>
      </c>
      <c r="H3521" s="690" t="s">
        <v>1882</v>
      </c>
      <c r="I3521" s="365">
        <v>1.03</v>
      </c>
      <c r="J3521" s="365"/>
      <c r="K3521" s="247">
        <f t="shared" si="61"/>
        <v>1.2715002880421367</v>
      </c>
      <c r="L3521" s="365" t="s">
        <v>205</v>
      </c>
      <c r="M3521" s="54"/>
      <c r="N3521" s="54"/>
      <c r="P3521" s="334"/>
      <c r="Q3521" s="335"/>
      <c r="R3521" s="336"/>
      <c r="S3521" s="337"/>
    </row>
    <row r="3522" spans="1:19" ht="30" customHeight="1" x14ac:dyDescent="0.25">
      <c r="A3522" s="755" t="s">
        <v>430</v>
      </c>
      <c r="B3522" s="1214" t="s">
        <v>1993</v>
      </c>
      <c r="C3522" s="1215"/>
      <c r="D3522" s="1216"/>
      <c r="E3522" s="247">
        <f>+(660+1010)/2</f>
        <v>835</v>
      </c>
      <c r="F3522" s="396" t="s">
        <v>76</v>
      </c>
      <c r="G3522" s="71">
        <f>+E3522*8/H3514</f>
        <v>0.10994979837050449</v>
      </c>
      <c r="H3522" s="690" t="s">
        <v>1882</v>
      </c>
      <c r="I3522" s="365">
        <v>1.03</v>
      </c>
      <c r="J3522" s="365"/>
      <c r="K3522" s="247">
        <f t="shared" si="61"/>
        <v>0.11324829232161963</v>
      </c>
      <c r="L3522" s="365" t="s">
        <v>205</v>
      </c>
      <c r="M3522" s="54"/>
      <c r="N3522" s="54"/>
      <c r="P3522" s="334"/>
      <c r="Q3522" s="335"/>
      <c r="R3522" s="336"/>
      <c r="S3522" s="337"/>
    </row>
    <row r="3523" spans="1:19" ht="30" customHeight="1" x14ac:dyDescent="0.25">
      <c r="A3523" s="755" t="s">
        <v>430</v>
      </c>
      <c r="B3523" s="1214" t="s">
        <v>1994</v>
      </c>
      <c r="C3523" s="1215"/>
      <c r="D3523" s="1216"/>
      <c r="E3523" s="247">
        <f>+(1160+3475)/2</f>
        <v>2317.5</v>
      </c>
      <c r="F3523" s="396" t="s">
        <v>76</v>
      </c>
      <c r="G3523" s="71">
        <f>+E3523*8/H3514</f>
        <v>0.30516006913011273</v>
      </c>
      <c r="H3523" s="690" t="s">
        <v>1882</v>
      </c>
      <c r="I3523" s="365">
        <v>1.03</v>
      </c>
      <c r="J3523" s="365"/>
      <c r="K3523" s="247">
        <f t="shared" si="61"/>
        <v>0.31431487120401613</v>
      </c>
      <c r="L3523" s="365" t="s">
        <v>205</v>
      </c>
      <c r="M3523" s="54"/>
      <c r="N3523" s="54"/>
      <c r="O3523" s="867"/>
      <c r="P3523" s="334"/>
      <c r="Q3523" s="335"/>
      <c r="R3523" s="336"/>
      <c r="S3523" s="337"/>
    </row>
    <row r="3524" spans="1:19" ht="30" customHeight="1" x14ac:dyDescent="0.25">
      <c r="A3524" s="755" t="s">
        <v>1694</v>
      </c>
      <c r="B3524" s="1214" t="s">
        <v>1995</v>
      </c>
      <c r="C3524" s="1215"/>
      <c r="D3524" s="1216"/>
      <c r="E3524" s="247">
        <v>2.83</v>
      </c>
      <c r="F3524" s="396" t="s">
        <v>205</v>
      </c>
      <c r="G3524" s="71">
        <f>+E3524</f>
        <v>2.83</v>
      </c>
      <c r="H3524" s="690" t="s">
        <v>1882</v>
      </c>
      <c r="I3524" s="365">
        <v>1.04</v>
      </c>
      <c r="J3524" s="365"/>
      <c r="K3524" s="247">
        <f t="shared" si="61"/>
        <v>2.9432</v>
      </c>
      <c r="L3524" s="365" t="s">
        <v>205</v>
      </c>
      <c r="M3524" s="54"/>
      <c r="N3524" s="111"/>
      <c r="O3524" s="336"/>
      <c r="P3524" s="334"/>
      <c r="Q3524" s="335"/>
      <c r="R3524" s="336"/>
      <c r="S3524" s="337"/>
    </row>
    <row r="3525" spans="1:19" ht="30" customHeight="1" x14ac:dyDescent="0.25">
      <c r="A3525" s="755"/>
      <c r="B3525" s="1214"/>
      <c r="C3525" s="1215"/>
      <c r="D3525" s="1216"/>
      <c r="E3525" s="247"/>
      <c r="F3525" s="396"/>
      <c r="G3525" s="689"/>
      <c r="H3525" s="690"/>
      <c r="I3525" s="365"/>
      <c r="J3525" s="365" t="s">
        <v>343</v>
      </c>
      <c r="K3525" s="247">
        <f>SUM(K3516:K3524)</f>
        <v>101.65867191177679</v>
      </c>
      <c r="L3525" s="365"/>
      <c r="M3525" s="54"/>
      <c r="N3525" s="54"/>
      <c r="O3525" s="336"/>
      <c r="P3525" s="334"/>
      <c r="Q3525" s="335"/>
      <c r="R3525" s="336"/>
      <c r="S3525" s="337"/>
    </row>
    <row r="3526" spans="1:19" ht="30" customHeight="1" x14ac:dyDescent="0.25">
      <c r="A3526" s="365"/>
      <c r="B3526" s="578"/>
      <c r="C3526" s="578"/>
      <c r="D3526" s="578"/>
      <c r="E3526" s="247"/>
      <c r="F3526" s="1272" t="s">
        <v>303</v>
      </c>
      <c r="G3526" s="1283" t="s">
        <v>304</v>
      </c>
      <c r="H3526" s="1283"/>
      <c r="I3526" s="1283"/>
      <c r="J3526" s="1283"/>
      <c r="K3526" s="250">
        <v>1.07</v>
      </c>
      <c r="L3526" s="365"/>
      <c r="M3526" s="54"/>
      <c r="N3526" s="54"/>
      <c r="O3526" s="336"/>
      <c r="P3526" s="334"/>
      <c r="Q3526" s="335"/>
      <c r="R3526" s="336"/>
      <c r="S3526" s="337"/>
    </row>
    <row r="3527" spans="1:19" ht="30" customHeight="1" x14ac:dyDescent="0.25">
      <c r="A3527" s="365"/>
      <c r="B3527" s="578"/>
      <c r="C3527" s="578"/>
      <c r="D3527" s="578"/>
      <c r="E3527" s="247"/>
      <c r="F3527" s="1273"/>
      <c r="G3527" s="1284" t="s">
        <v>438</v>
      </c>
      <c r="H3527" s="1284"/>
      <c r="I3527" s="1284"/>
      <c r="J3527" s="1284"/>
      <c r="K3527" s="250">
        <v>1.08</v>
      </c>
      <c r="L3527" s="365"/>
      <c r="M3527" s="54"/>
      <c r="N3527" s="54"/>
      <c r="O3527" s="336"/>
      <c r="P3527" s="334"/>
      <c r="Q3527" s="335"/>
      <c r="R3527" s="336"/>
      <c r="S3527" s="337"/>
    </row>
    <row r="3528" spans="1:19" ht="30" customHeight="1" x14ac:dyDescent="0.25">
      <c r="A3528" s="365"/>
      <c r="B3528" s="365"/>
      <c r="C3528" s="366"/>
      <c r="D3528" s="366"/>
      <c r="E3528" s="366"/>
      <c r="F3528" s="366"/>
      <c r="G3528" s="366"/>
      <c r="H3528" s="366"/>
      <c r="I3528" s="366"/>
      <c r="J3528" s="365" t="s">
        <v>72</v>
      </c>
      <c r="K3528" s="246">
        <f>+K3525*K3526/K3527</f>
        <v>100.71738791259367</v>
      </c>
      <c r="L3528" s="365" t="s">
        <v>205</v>
      </c>
      <c r="M3528" s="54"/>
      <c r="N3528" s="54"/>
      <c r="O3528" s="336"/>
      <c r="P3528" s="334"/>
      <c r="Q3528" s="335"/>
      <c r="R3528" s="336"/>
      <c r="S3528" s="337"/>
    </row>
    <row r="3529" spans="1:19" ht="30" customHeight="1" x14ac:dyDescent="0.25">
      <c r="A3529" s="366"/>
      <c r="B3529" s="366"/>
      <c r="C3529" s="366"/>
      <c r="D3529" s="366"/>
      <c r="E3529" s="366"/>
      <c r="F3529" s="366"/>
      <c r="G3529" s="580" t="s">
        <v>306</v>
      </c>
      <c r="H3529" s="366"/>
      <c r="I3529" s="366"/>
      <c r="J3529" s="521">
        <f>VLOOKUP(B3514,'Mil Cost Premiums for PUCs'!$A$4:$R$277,18,FALSE)</f>
        <v>1.2981950150858137</v>
      </c>
      <c r="K3529" s="246">
        <f>+K3528*J3529</f>
        <v>130.7508109205933</v>
      </c>
      <c r="L3529" s="365" t="s">
        <v>205</v>
      </c>
      <c r="M3529" s="54"/>
      <c r="N3529" s="111"/>
      <c r="O3529" s="336"/>
      <c r="P3529" s="334"/>
      <c r="Q3529" s="335"/>
      <c r="R3529" s="336"/>
      <c r="S3529" s="337"/>
    </row>
    <row r="3530" spans="1:19" ht="30" customHeight="1" x14ac:dyDescent="0.25">
      <c r="A3530" s="844"/>
      <c r="B3530" s="844"/>
      <c r="C3530" s="471"/>
      <c r="D3530" s="471"/>
      <c r="E3530" s="850"/>
      <c r="F3530" s="1278" t="s">
        <v>1148</v>
      </c>
      <c r="G3530" s="1278"/>
      <c r="H3530" s="1278"/>
      <c r="I3530" s="1278"/>
      <c r="J3530" s="845">
        <v>1.0833999999999999</v>
      </c>
      <c r="K3530" s="544">
        <f>K3529*J3530</f>
        <v>141.65542855137076</v>
      </c>
      <c r="L3530" s="369" t="s">
        <v>205</v>
      </c>
      <c r="N3530" s="54"/>
      <c r="O3530" s="336"/>
      <c r="P3530" s="334"/>
      <c r="Q3530" s="335"/>
      <c r="R3530" s="336"/>
      <c r="S3530" s="337"/>
    </row>
    <row r="3531" spans="1:19" ht="75" customHeight="1" x14ac:dyDescent="0.25">
      <c r="A3531" s="1230" t="s">
        <v>307</v>
      </c>
      <c r="B3531" s="1231"/>
      <c r="C3531" s="1231"/>
      <c r="D3531" s="1231"/>
      <c r="E3531" s="1231"/>
      <c r="F3531" s="1231"/>
      <c r="G3531" s="1231"/>
      <c r="H3531" s="1231"/>
      <c r="I3531" s="1231"/>
      <c r="J3531" s="1231"/>
      <c r="K3531" s="1231"/>
      <c r="L3531" s="1232"/>
      <c r="M3531" s="54"/>
      <c r="N3531" s="54"/>
      <c r="O3531" s="336"/>
      <c r="P3531" s="334"/>
      <c r="Q3531" s="335"/>
      <c r="R3531" s="336"/>
      <c r="S3531" s="337"/>
    </row>
    <row r="3532" spans="1:19" ht="60" customHeight="1" x14ac:dyDescent="0.25">
      <c r="A3532" s="1268" t="s">
        <v>308</v>
      </c>
      <c r="B3532" s="1167"/>
      <c r="C3532" s="1168"/>
      <c r="D3532" s="1230" t="s">
        <v>1996</v>
      </c>
      <c r="E3532" s="1231"/>
      <c r="F3532" s="1231"/>
      <c r="G3532" s="1231"/>
      <c r="H3532" s="1231"/>
      <c r="I3532" s="1231"/>
      <c r="J3532" s="1231"/>
      <c r="K3532" s="1231"/>
      <c r="L3532" s="1232"/>
      <c r="M3532" s="54"/>
      <c r="N3532" s="54"/>
      <c r="O3532" s="336"/>
      <c r="P3532" s="334"/>
      <c r="Q3532" s="335"/>
      <c r="R3532" s="336"/>
      <c r="S3532" s="337"/>
    </row>
    <row r="3533" spans="1:19" ht="30" customHeight="1" x14ac:dyDescent="0.25">
      <c r="A3533" s="1268" t="s">
        <v>310</v>
      </c>
      <c r="B3533" s="1167"/>
      <c r="C3533" s="1168"/>
      <c r="D3533" s="1230" t="s">
        <v>1944</v>
      </c>
      <c r="E3533" s="1231"/>
      <c r="F3533" s="1231"/>
      <c r="G3533" s="1231"/>
      <c r="H3533" s="1231"/>
      <c r="I3533" s="1231"/>
      <c r="J3533" s="1231"/>
      <c r="K3533" s="1231"/>
      <c r="L3533" s="1232"/>
      <c r="M3533" s="54"/>
      <c r="N3533" s="54"/>
      <c r="O3533" s="336"/>
      <c r="P3533" s="334"/>
      <c r="Q3533" s="335"/>
      <c r="R3533" s="336"/>
      <c r="S3533" s="337"/>
    </row>
    <row r="3534" spans="1:19" ht="30" customHeight="1" x14ac:dyDescent="0.25">
      <c r="A3534" s="1268" t="s">
        <v>312</v>
      </c>
      <c r="B3534" s="1167"/>
      <c r="C3534" s="1168"/>
      <c r="D3534" s="1230" t="s">
        <v>1997</v>
      </c>
      <c r="E3534" s="1231"/>
      <c r="F3534" s="1231"/>
      <c r="G3534" s="1231"/>
      <c r="H3534" s="1231"/>
      <c r="I3534" s="1231"/>
      <c r="J3534" s="1231"/>
      <c r="K3534" s="1231"/>
      <c r="L3534" s="1232"/>
      <c r="M3534" s="54"/>
      <c r="O3534" s="336"/>
      <c r="P3534" s="334"/>
      <c r="Q3534" s="335"/>
      <c r="R3534" s="336"/>
      <c r="S3534" s="337"/>
    </row>
    <row r="3535" spans="1:19" ht="30" customHeight="1" x14ac:dyDescent="0.25">
      <c r="A3535" s="1268" t="s">
        <v>314</v>
      </c>
      <c r="B3535" s="1167"/>
      <c r="C3535" s="1168"/>
      <c r="D3535" s="1230" t="s">
        <v>1998</v>
      </c>
      <c r="E3535" s="1231"/>
      <c r="F3535" s="1231"/>
      <c r="G3535" s="1231"/>
      <c r="H3535" s="1231"/>
      <c r="I3535" s="1231"/>
      <c r="J3535" s="1231"/>
      <c r="K3535" s="1231"/>
      <c r="L3535" s="1232"/>
      <c r="M3535" s="54"/>
      <c r="N3535" s="54"/>
      <c r="O3535" s="336"/>
      <c r="P3535" s="334"/>
      <c r="Q3535" s="335"/>
      <c r="R3535" s="336"/>
      <c r="S3535" s="337"/>
    </row>
    <row r="3536" spans="1:19" ht="90" customHeight="1" x14ac:dyDescent="0.25">
      <c r="A3536" s="1268" t="s">
        <v>316</v>
      </c>
      <c r="B3536" s="1167"/>
      <c r="C3536" s="1168"/>
      <c r="D3536" s="1230" t="s">
        <v>1999</v>
      </c>
      <c r="E3536" s="1231"/>
      <c r="F3536" s="1231"/>
      <c r="G3536" s="1231"/>
      <c r="H3536" s="1231"/>
      <c r="I3536" s="1231"/>
      <c r="J3536" s="1231"/>
      <c r="K3536" s="1231"/>
      <c r="L3536" s="1232"/>
      <c r="M3536" s="54"/>
      <c r="N3536" s="54"/>
      <c r="O3536" s="336"/>
      <c r="P3536" s="334"/>
      <c r="Q3536" s="335"/>
      <c r="R3536" s="336"/>
      <c r="S3536" s="337"/>
    </row>
    <row r="3537" spans="1:26" ht="30" customHeight="1" x14ac:dyDescent="0.25">
      <c r="A3537" s="1268" t="s">
        <v>318</v>
      </c>
      <c r="B3537" s="1167"/>
      <c r="C3537" s="1168"/>
      <c r="D3537" s="1230" t="s">
        <v>1841</v>
      </c>
      <c r="E3537" s="1231"/>
      <c r="F3537" s="1231"/>
      <c r="G3537" s="1231"/>
      <c r="H3537" s="1231"/>
      <c r="I3537" s="1231"/>
      <c r="J3537" s="1231"/>
      <c r="K3537" s="1231"/>
      <c r="L3537" s="1232"/>
      <c r="M3537" s="54"/>
      <c r="N3537" s="54"/>
      <c r="O3537" s="336"/>
      <c r="P3537" s="334"/>
      <c r="Q3537" s="335"/>
      <c r="R3537" s="336"/>
      <c r="S3537" s="337"/>
    </row>
    <row r="3538" spans="1:26" ht="30" customHeight="1" x14ac:dyDescent="0.25">
      <c r="A3538" s="1268" t="s">
        <v>320</v>
      </c>
      <c r="B3538" s="1167"/>
      <c r="C3538" s="1168"/>
      <c r="D3538" s="1230" t="s">
        <v>1977</v>
      </c>
      <c r="E3538" s="1231"/>
      <c r="F3538" s="1231"/>
      <c r="G3538" s="1231"/>
      <c r="H3538" s="1231"/>
      <c r="I3538" s="1231"/>
      <c r="J3538" s="1231"/>
      <c r="K3538" s="1231"/>
      <c r="L3538" s="1232"/>
      <c r="M3538" s="54"/>
      <c r="N3538" s="54"/>
      <c r="O3538" s="336"/>
      <c r="P3538" s="334"/>
      <c r="Q3538" s="335"/>
      <c r="R3538" s="336"/>
      <c r="S3538" s="337"/>
    </row>
    <row r="3539" spans="1:26" ht="75" customHeight="1" x14ac:dyDescent="0.25">
      <c r="A3539" s="1268" t="s">
        <v>322</v>
      </c>
      <c r="B3539" s="1167"/>
      <c r="C3539" s="1168"/>
      <c r="D3539" s="1230" t="s">
        <v>422</v>
      </c>
      <c r="E3539" s="1231"/>
      <c r="F3539" s="1231"/>
      <c r="G3539" s="1231"/>
      <c r="H3539" s="1231"/>
      <c r="I3539" s="1231"/>
      <c r="J3539" s="1231"/>
      <c r="K3539" s="1231"/>
      <c r="L3539" s="1232"/>
      <c r="M3539" s="111"/>
      <c r="N3539" s="111"/>
      <c r="O3539" s="336"/>
      <c r="P3539" s="334"/>
      <c r="Q3539" s="335"/>
      <c r="R3539" s="336"/>
      <c r="S3539" s="337"/>
    </row>
    <row r="3540" spans="1:26" ht="45" customHeight="1" thickBot="1" x14ac:dyDescent="0.3">
      <c r="A3540" s="1268" t="s">
        <v>350</v>
      </c>
      <c r="B3540" s="1167"/>
      <c r="C3540" s="1168"/>
      <c r="D3540" s="1291" t="s">
        <v>3434</v>
      </c>
      <c r="E3540" s="1292"/>
      <c r="F3540" s="1292"/>
      <c r="G3540" s="1292"/>
      <c r="H3540" s="1292"/>
      <c r="I3540" s="1292"/>
      <c r="J3540" s="1292"/>
      <c r="K3540" s="1292"/>
      <c r="L3540" s="1293"/>
      <c r="M3540" s="54"/>
      <c r="N3540" s="54"/>
      <c r="O3540" s="336"/>
      <c r="P3540" s="334"/>
      <c r="Q3540" s="335"/>
      <c r="R3540" s="336"/>
      <c r="S3540" s="337"/>
    </row>
    <row r="3541" spans="1:26" ht="30" customHeight="1" thickBot="1" x14ac:dyDescent="0.3">
      <c r="A3541" s="1180"/>
      <c r="B3541" s="1181"/>
      <c r="C3541" s="1181"/>
      <c r="D3541" s="1181"/>
      <c r="E3541" s="1181"/>
      <c r="F3541" s="1181"/>
      <c r="G3541" s="1181"/>
      <c r="H3541" s="1181"/>
      <c r="I3541" s="1181"/>
      <c r="J3541" s="1181"/>
      <c r="K3541" s="1181"/>
      <c r="L3541" s="1182"/>
      <c r="M3541" s="54"/>
      <c r="N3541" s="54"/>
      <c r="O3541" s="336"/>
      <c r="P3541" s="334"/>
      <c r="Q3541" s="335"/>
      <c r="R3541" s="336"/>
      <c r="S3541" s="337"/>
    </row>
    <row r="3542" spans="1:26" ht="30" customHeight="1" x14ac:dyDescent="0.25">
      <c r="A3542" s="327" t="s">
        <v>5</v>
      </c>
      <c r="B3542" s="328">
        <v>7350</v>
      </c>
      <c r="C3542" s="1251" t="s">
        <v>2000</v>
      </c>
      <c r="D3542" s="1252"/>
      <c r="E3542" s="331" t="s">
        <v>8</v>
      </c>
      <c r="F3542" s="332" t="s">
        <v>205</v>
      </c>
      <c r="G3542" s="338" t="s">
        <v>1982</v>
      </c>
      <c r="H3542" s="156">
        <v>1472</v>
      </c>
      <c r="I3542" s="331" t="s">
        <v>10</v>
      </c>
      <c r="J3542" s="1220" t="s">
        <v>3388</v>
      </c>
      <c r="K3542" s="1220"/>
      <c r="L3542" s="1221"/>
      <c r="M3542" s="54"/>
      <c r="N3542" s="54"/>
      <c r="O3542" s="336"/>
      <c r="P3542" s="334"/>
      <c r="Q3542" s="335"/>
      <c r="R3542" s="336"/>
      <c r="S3542" s="337"/>
      <c r="V3542" s="345"/>
      <c r="W3542" s="345"/>
      <c r="X3542" s="345"/>
      <c r="Y3542" s="345"/>
    </row>
    <row r="3543" spans="1:26" ht="30" customHeight="1" x14ac:dyDescent="0.25">
      <c r="A3543" s="359" t="s">
        <v>295</v>
      </c>
      <c r="B3543" s="1222" t="s">
        <v>326</v>
      </c>
      <c r="C3543" s="1235"/>
      <c r="D3543" s="1223"/>
      <c r="E3543" s="577" t="s">
        <v>116</v>
      </c>
      <c r="F3543" s="577" t="s">
        <v>117</v>
      </c>
      <c r="G3543" s="1194" t="s">
        <v>118</v>
      </c>
      <c r="H3543" s="1195"/>
      <c r="I3543" s="356" t="s">
        <v>296</v>
      </c>
      <c r="J3543" s="356"/>
      <c r="K3543" s="1236" t="s">
        <v>285</v>
      </c>
      <c r="L3543" s="1237"/>
      <c r="M3543" s="54"/>
      <c r="N3543" s="54"/>
      <c r="O3543" s="336"/>
      <c r="P3543" s="334"/>
      <c r="Q3543" s="335"/>
      <c r="R3543" s="336"/>
      <c r="S3543" s="337"/>
      <c r="U3543" s="60"/>
      <c r="Z3543" s="345"/>
    </row>
    <row r="3544" spans="1:26" ht="30" customHeight="1" x14ac:dyDescent="0.25">
      <c r="A3544" s="755" t="s">
        <v>1983</v>
      </c>
      <c r="B3544" s="1214" t="s">
        <v>1984</v>
      </c>
      <c r="C3544" s="1215"/>
      <c r="D3544" s="1216"/>
      <c r="E3544" s="247">
        <v>78</v>
      </c>
      <c r="F3544" s="396" t="s">
        <v>205</v>
      </c>
      <c r="G3544" s="689"/>
      <c r="H3544" s="690"/>
      <c r="I3544" s="365">
        <v>1.05</v>
      </c>
      <c r="J3544" s="365"/>
      <c r="K3544" s="247">
        <f>+E3544*I3544</f>
        <v>81.900000000000006</v>
      </c>
      <c r="L3544" s="365" t="s">
        <v>205</v>
      </c>
      <c r="M3544" s="111"/>
      <c r="N3544" s="117"/>
      <c r="O3544" s="336"/>
      <c r="U3544" s="10"/>
    </row>
    <row r="3545" spans="1:26" ht="30" customHeight="1" x14ac:dyDescent="0.25">
      <c r="A3545" s="365"/>
      <c r="B3545" s="578"/>
      <c r="C3545" s="578"/>
      <c r="D3545" s="578"/>
      <c r="E3545" s="247"/>
      <c r="F3545" s="1272" t="s">
        <v>303</v>
      </c>
      <c r="G3545" s="1283" t="s">
        <v>304</v>
      </c>
      <c r="H3545" s="1283"/>
      <c r="I3545" s="1283"/>
      <c r="J3545" s="1283"/>
      <c r="K3545" s="250">
        <v>1.07</v>
      </c>
      <c r="L3545" s="365"/>
      <c r="M3545" s="54"/>
      <c r="N3545" s="54"/>
      <c r="O3545" s="336"/>
      <c r="T3545" s="60"/>
      <c r="U3545" s="10"/>
    </row>
    <row r="3546" spans="1:26" ht="30" customHeight="1" x14ac:dyDescent="0.25">
      <c r="A3546" s="365"/>
      <c r="B3546" s="578"/>
      <c r="C3546" s="578"/>
      <c r="D3546" s="578"/>
      <c r="E3546" s="247"/>
      <c r="F3546" s="1273"/>
      <c r="G3546" s="1284" t="s">
        <v>438</v>
      </c>
      <c r="H3546" s="1284"/>
      <c r="I3546" s="1284"/>
      <c r="J3546" s="1284"/>
      <c r="K3546" s="250">
        <v>1.08</v>
      </c>
      <c r="L3546" s="365"/>
      <c r="M3546" s="54"/>
      <c r="O3546" s="336"/>
      <c r="P3546" s="334"/>
      <c r="Q3546" s="335"/>
      <c r="R3546" s="336"/>
      <c r="S3546" s="337"/>
    </row>
    <row r="3547" spans="1:26" s="345" customFormat="1" ht="30" customHeight="1" x14ac:dyDescent="0.25">
      <c r="A3547" s="365"/>
      <c r="B3547" s="365"/>
      <c r="C3547" s="366"/>
      <c r="D3547" s="366"/>
      <c r="E3547" s="366"/>
      <c r="F3547" s="366"/>
      <c r="G3547" s="366"/>
      <c r="H3547" s="366"/>
      <c r="I3547" s="366"/>
      <c r="J3547" s="365" t="s">
        <v>72</v>
      </c>
      <c r="K3547" s="246">
        <f>+K3544*K3545/K3546</f>
        <v>81.141666666666666</v>
      </c>
      <c r="L3547" s="365" t="s">
        <v>205</v>
      </c>
      <c r="M3547" s="54"/>
      <c r="N3547" s="54"/>
      <c r="O3547" s="336"/>
      <c r="P3547" s="340"/>
      <c r="Q3547" s="334"/>
      <c r="R3547" s="334"/>
      <c r="S3547" s="334"/>
      <c r="T3547" s="10"/>
      <c r="V3547" s="334"/>
      <c r="W3547" s="334"/>
      <c r="X3547" s="334"/>
      <c r="Y3547" s="334"/>
      <c r="Z3547" s="334"/>
    </row>
    <row r="3548" spans="1:26" ht="30" customHeight="1" x14ac:dyDescent="0.25">
      <c r="A3548" s="365"/>
      <c r="B3548" s="365"/>
      <c r="C3548" s="366"/>
      <c r="D3548" s="366"/>
      <c r="E3548" s="366"/>
      <c r="F3548" s="366"/>
      <c r="G3548" s="580" t="s">
        <v>306</v>
      </c>
      <c r="H3548" s="366"/>
      <c r="I3548" s="366"/>
      <c r="J3548" s="521">
        <f>VLOOKUP(B3542,'Mil Cost Premiums for PUCs'!$A$4:$R$277,18,FALSE)</f>
        <v>1.1080418597902797</v>
      </c>
      <c r="K3548" s="246">
        <f>+K3547*J3548</f>
        <v>89.908363239816282</v>
      </c>
      <c r="L3548" s="365" t="s">
        <v>205</v>
      </c>
      <c r="M3548" s="54"/>
      <c r="N3548" s="54"/>
      <c r="O3548" s="336"/>
      <c r="T3548" s="10"/>
    </row>
    <row r="3549" spans="1:26" ht="30" customHeight="1" thickBot="1" x14ac:dyDescent="0.3">
      <c r="A3549" s="844"/>
      <c r="B3549" s="844"/>
      <c r="C3549" s="471"/>
      <c r="D3549" s="471"/>
      <c r="E3549" s="850"/>
      <c r="F3549" s="1278" t="s">
        <v>1148</v>
      </c>
      <c r="G3549" s="1278"/>
      <c r="H3549" s="1278"/>
      <c r="I3549" s="1278"/>
      <c r="J3549" s="845">
        <v>1.0833999999999999</v>
      </c>
      <c r="K3549" s="544">
        <f>K3548*J3549</f>
        <v>97.406720734016957</v>
      </c>
      <c r="L3549" s="369" t="s">
        <v>205</v>
      </c>
      <c r="N3549" s="54"/>
      <c r="O3549" s="867"/>
      <c r="P3549" s="344"/>
      <c r="Q3549" s="345"/>
      <c r="R3549" s="345"/>
      <c r="S3549" s="345"/>
      <c r="T3549" s="345"/>
    </row>
    <row r="3550" spans="1:26" ht="30" customHeight="1" thickBot="1" x14ac:dyDescent="0.3">
      <c r="A3550" s="1180"/>
      <c r="B3550" s="1181"/>
      <c r="C3550" s="1181"/>
      <c r="D3550" s="1181"/>
      <c r="E3550" s="1181"/>
      <c r="F3550" s="1181"/>
      <c r="G3550" s="1181"/>
      <c r="H3550" s="1181"/>
      <c r="I3550" s="1181"/>
      <c r="J3550" s="1181"/>
      <c r="K3550" s="1181"/>
      <c r="L3550" s="1182"/>
      <c r="M3550" s="54"/>
      <c r="N3550" s="54"/>
      <c r="O3550" s="336"/>
      <c r="P3550" s="334"/>
      <c r="Q3550" s="335"/>
      <c r="R3550" s="336"/>
      <c r="S3550" s="337"/>
    </row>
    <row r="3551" spans="1:26" ht="30" customHeight="1" x14ac:dyDescent="0.25">
      <c r="A3551" s="402" t="s">
        <v>5</v>
      </c>
      <c r="B3551" s="403">
        <v>7351</v>
      </c>
      <c r="C3551" s="1600" t="s">
        <v>2001</v>
      </c>
      <c r="D3551" s="1601"/>
      <c r="E3551" s="939" t="s">
        <v>8</v>
      </c>
      <c r="F3551" s="407" t="s">
        <v>205</v>
      </c>
      <c r="G3551" s="342" t="s">
        <v>74</v>
      </c>
      <c r="H3551" s="940">
        <v>12279</v>
      </c>
      <c r="I3551" s="331" t="s">
        <v>10</v>
      </c>
      <c r="J3551" s="1220" t="s">
        <v>3388</v>
      </c>
      <c r="K3551" s="1220"/>
      <c r="L3551" s="1221"/>
      <c r="M3551" s="54"/>
      <c r="N3551" s="54"/>
      <c r="O3551" s="655"/>
      <c r="P3551" s="655"/>
      <c r="Q3551" s="795"/>
      <c r="R3551" s="655"/>
      <c r="S3551" s="655"/>
      <c r="T3551" s="655"/>
      <c r="U3551" s="655"/>
      <c r="V3551" s="655"/>
      <c r="W3551" s="655"/>
      <c r="X3551" s="655"/>
      <c r="Y3551" s="655"/>
      <c r="Z3551" s="655"/>
    </row>
    <row r="3552" spans="1:26" ht="30" customHeight="1" x14ac:dyDescent="0.25">
      <c r="A3552" s="941" t="s">
        <v>295</v>
      </c>
      <c r="B3552" s="1592" t="s">
        <v>326</v>
      </c>
      <c r="C3552" s="1593"/>
      <c r="D3552" s="1594"/>
      <c r="E3552" s="942" t="s">
        <v>116</v>
      </c>
      <c r="F3552" s="942" t="s">
        <v>117</v>
      </c>
      <c r="G3552" s="1595" t="s">
        <v>118</v>
      </c>
      <c r="H3552" s="1596"/>
      <c r="I3552" s="943" t="s">
        <v>2002</v>
      </c>
      <c r="J3552" s="943"/>
      <c r="K3552" s="1236" t="s">
        <v>285</v>
      </c>
      <c r="L3552" s="1237"/>
      <c r="M3552" s="54"/>
      <c r="N3552" s="54"/>
      <c r="O3552" s="336"/>
      <c r="P3552" s="334"/>
      <c r="Q3552" s="335"/>
      <c r="R3552" s="336"/>
      <c r="S3552" s="337"/>
    </row>
    <row r="3553" spans="1:26" ht="30" customHeight="1" x14ac:dyDescent="0.25">
      <c r="A3553" s="944" t="s">
        <v>2003</v>
      </c>
      <c r="B3553" s="1589" t="s">
        <v>2004</v>
      </c>
      <c r="C3553" s="1590"/>
      <c r="D3553" s="1591"/>
      <c r="E3553" s="945">
        <v>128</v>
      </c>
      <c r="F3553" s="946" t="s">
        <v>205</v>
      </c>
      <c r="G3553" s="947"/>
      <c r="H3553" s="948"/>
      <c r="I3553" s="447">
        <v>1.04</v>
      </c>
      <c r="J3553" s="447"/>
      <c r="K3553" s="945">
        <f>+E3553*I3553</f>
        <v>133.12</v>
      </c>
      <c r="L3553" s="447" t="s">
        <v>205</v>
      </c>
      <c r="M3553" s="54"/>
      <c r="N3553" s="54"/>
      <c r="O3553" s="336"/>
      <c r="P3553" s="334"/>
      <c r="Q3553" s="335"/>
      <c r="R3553" s="336"/>
      <c r="S3553" s="337"/>
    </row>
    <row r="3554" spans="1:26" s="655" customFormat="1" ht="30" customHeight="1" x14ac:dyDescent="0.25">
      <c r="A3554" s="949" t="s">
        <v>649</v>
      </c>
      <c r="B3554" s="1589" t="s">
        <v>2005</v>
      </c>
      <c r="C3554" s="1590"/>
      <c r="D3554" s="1591"/>
      <c r="E3554" s="945">
        <v>3.74</v>
      </c>
      <c r="F3554" s="447" t="s">
        <v>205</v>
      </c>
      <c r="G3554" s="950">
        <v>0.32500000000000001</v>
      </c>
      <c r="H3554" s="447" t="s">
        <v>2006</v>
      </c>
      <c r="I3554" s="447">
        <v>1.04</v>
      </c>
      <c r="J3554" s="447"/>
      <c r="K3554" s="945">
        <f>+E3554*G3554*I3554</f>
        <v>1.2641200000000001</v>
      </c>
      <c r="L3554" s="447" t="s">
        <v>205</v>
      </c>
      <c r="M3554" s="111"/>
      <c r="N3554" s="54"/>
      <c r="O3554" s="336"/>
      <c r="P3554" s="334"/>
      <c r="Q3554" s="335"/>
      <c r="R3554" s="336"/>
      <c r="S3554" s="337"/>
      <c r="T3554" s="334"/>
      <c r="U3554" s="334"/>
      <c r="V3554" s="334"/>
      <c r="W3554" s="334"/>
      <c r="X3554" s="334"/>
      <c r="Y3554" s="334"/>
      <c r="Z3554" s="334"/>
    </row>
    <row r="3555" spans="1:26" ht="30" customHeight="1" x14ac:dyDescent="0.25">
      <c r="A3555" s="949" t="s">
        <v>2007</v>
      </c>
      <c r="B3555" s="1609" t="s">
        <v>2008</v>
      </c>
      <c r="C3555" s="1610"/>
      <c r="D3555" s="1611"/>
      <c r="E3555" s="945">
        <f>(58250+(7900*2))</f>
        <v>74050</v>
      </c>
      <c r="F3555" s="447" t="s">
        <v>76</v>
      </c>
      <c r="G3555" s="950">
        <f>+(E3555/H3551)*2</f>
        <v>12.06124277221272</v>
      </c>
      <c r="H3555" s="447" t="s">
        <v>2009</v>
      </c>
      <c r="I3555" s="447">
        <v>1.04</v>
      </c>
      <c r="J3555" s="447"/>
      <c r="K3555" s="945">
        <f>+G3555*I3555</f>
        <v>12.54369248310123</v>
      </c>
      <c r="L3555" s="447" t="s">
        <v>205</v>
      </c>
      <c r="M3555" s="54"/>
      <c r="N3555" s="111"/>
      <c r="O3555" s="336"/>
      <c r="P3555" s="334"/>
      <c r="Q3555" s="335"/>
      <c r="R3555" s="336"/>
      <c r="S3555" s="337"/>
    </row>
    <row r="3556" spans="1:26" ht="30" customHeight="1" x14ac:dyDescent="0.25">
      <c r="A3556" s="447"/>
      <c r="B3556" s="1589"/>
      <c r="C3556" s="1590"/>
      <c r="D3556" s="1591"/>
      <c r="E3556" s="945"/>
      <c r="F3556" s="447"/>
      <c r="G3556" s="447"/>
      <c r="H3556" s="447"/>
      <c r="I3556" s="447"/>
      <c r="J3556" s="447"/>
      <c r="K3556" s="945">
        <f>SUM(K3553:K3555)</f>
        <v>146.92781248310123</v>
      </c>
      <c r="L3556" s="447" t="s">
        <v>205</v>
      </c>
      <c r="M3556" s="54"/>
      <c r="P3556" s="334"/>
      <c r="Q3556" s="335"/>
      <c r="R3556" s="336"/>
      <c r="S3556" s="337"/>
    </row>
    <row r="3557" spans="1:26" ht="30" customHeight="1" x14ac:dyDescent="0.25">
      <c r="A3557" s="365"/>
      <c r="B3557" s="578"/>
      <c r="C3557" s="578"/>
      <c r="D3557" s="578"/>
      <c r="E3557" s="247"/>
      <c r="F3557" s="1272" t="s">
        <v>303</v>
      </c>
      <c r="G3557" s="1283" t="s">
        <v>304</v>
      </c>
      <c r="H3557" s="1283"/>
      <c r="I3557" s="1283"/>
      <c r="J3557" s="1283"/>
      <c r="K3557" s="250">
        <v>1.07</v>
      </c>
      <c r="L3557" s="365"/>
      <c r="M3557" s="54"/>
      <c r="N3557" s="54"/>
      <c r="P3557" s="334"/>
      <c r="Q3557" s="335"/>
      <c r="R3557" s="336"/>
      <c r="S3557" s="337"/>
    </row>
    <row r="3558" spans="1:26" ht="30" customHeight="1" x14ac:dyDescent="0.25">
      <c r="A3558" s="365"/>
      <c r="B3558" s="578"/>
      <c r="C3558" s="578"/>
      <c r="D3558" s="578"/>
      <c r="E3558" s="247"/>
      <c r="F3558" s="1273"/>
      <c r="G3558" s="1284" t="s">
        <v>438</v>
      </c>
      <c r="H3558" s="1284"/>
      <c r="I3558" s="1284"/>
      <c r="J3558" s="1284"/>
      <c r="K3558" s="250">
        <v>1.08</v>
      </c>
      <c r="L3558" s="365"/>
      <c r="M3558" s="54"/>
      <c r="N3558" s="54"/>
      <c r="P3558" s="334"/>
      <c r="Q3558" s="335"/>
      <c r="R3558" s="336"/>
      <c r="S3558" s="337"/>
    </row>
    <row r="3559" spans="1:26" ht="30" customHeight="1" x14ac:dyDescent="0.25">
      <c r="A3559" s="447"/>
      <c r="B3559" s="447"/>
      <c r="C3559" s="442"/>
      <c r="D3559" s="442"/>
      <c r="E3559" s="442"/>
      <c r="F3559" s="442"/>
      <c r="G3559" s="442"/>
      <c r="H3559" s="442"/>
      <c r="I3559" s="442"/>
      <c r="J3559" s="442" t="s">
        <v>72</v>
      </c>
      <c r="K3559" s="951">
        <f>+K3556*K3557/K3558</f>
        <v>145.56736977492437</v>
      </c>
      <c r="L3559" s="447" t="s">
        <v>205</v>
      </c>
      <c r="M3559" s="117"/>
      <c r="N3559" s="54"/>
      <c r="P3559" s="334"/>
      <c r="Q3559" s="335"/>
      <c r="R3559" s="336"/>
      <c r="S3559" s="337"/>
    </row>
    <row r="3560" spans="1:26" ht="30" customHeight="1" x14ac:dyDescent="0.25">
      <c r="A3560" s="447"/>
      <c r="B3560" s="447"/>
      <c r="C3560" s="442"/>
      <c r="D3560" s="442"/>
      <c r="E3560" s="442"/>
      <c r="F3560" s="442"/>
      <c r="G3560" s="580" t="s">
        <v>306</v>
      </c>
      <c r="H3560" s="442"/>
      <c r="I3560" s="442"/>
      <c r="J3560" s="521">
        <f>VLOOKUP(B3551,'Mil Cost Premiums for PUCs'!$A$4:$R$277,18,FALSE)</f>
        <v>1.3319480854780448</v>
      </c>
      <c r="K3560" s="951">
        <f>+K3559*J3560</f>
        <v>193.88817947978512</v>
      </c>
      <c r="L3560" s="447" t="s">
        <v>205</v>
      </c>
      <c r="M3560" s="54"/>
      <c r="N3560" s="54"/>
      <c r="O3560" s="544"/>
      <c r="P3560" s="334"/>
      <c r="Q3560" s="335"/>
      <c r="R3560" s="336"/>
      <c r="S3560" s="337"/>
    </row>
    <row r="3561" spans="1:26" ht="30" customHeight="1" x14ac:dyDescent="0.25">
      <c r="A3561" s="844"/>
      <c r="B3561" s="844"/>
      <c r="C3561" s="471"/>
      <c r="D3561" s="471"/>
      <c r="E3561" s="850"/>
      <c r="F3561" s="1278" t="s">
        <v>1148</v>
      </c>
      <c r="G3561" s="1278"/>
      <c r="H3561" s="1278"/>
      <c r="I3561" s="1278"/>
      <c r="J3561" s="845">
        <v>1.0833999999999999</v>
      </c>
      <c r="K3561" s="544">
        <f>K3560*J3561</f>
        <v>210.05845364839919</v>
      </c>
      <c r="L3561" s="369" t="s">
        <v>205</v>
      </c>
      <c r="O3561" s="336"/>
      <c r="P3561" s="334"/>
      <c r="Q3561" s="335"/>
      <c r="R3561" s="336"/>
      <c r="S3561" s="337"/>
    </row>
    <row r="3562" spans="1:26" ht="75" customHeight="1" x14ac:dyDescent="0.25">
      <c r="A3562" s="1230" t="s">
        <v>2010</v>
      </c>
      <c r="B3562" s="1231"/>
      <c r="C3562" s="1231"/>
      <c r="D3562" s="1231"/>
      <c r="E3562" s="1231"/>
      <c r="F3562" s="1231"/>
      <c r="G3562" s="1231"/>
      <c r="H3562" s="1231"/>
      <c r="I3562" s="1231"/>
      <c r="J3562" s="1231"/>
      <c r="K3562" s="1231"/>
      <c r="L3562" s="1232"/>
      <c r="M3562" s="54"/>
      <c r="N3562" s="54"/>
      <c r="O3562" s="336"/>
      <c r="P3562" s="334"/>
      <c r="Q3562" s="335"/>
      <c r="R3562" s="336"/>
      <c r="S3562" s="337"/>
    </row>
    <row r="3563" spans="1:26" ht="30" customHeight="1" x14ac:dyDescent="0.25">
      <c r="A3563" s="1268" t="s">
        <v>308</v>
      </c>
      <c r="B3563" s="1167"/>
      <c r="C3563" s="1168"/>
      <c r="D3563" s="1230" t="s">
        <v>2011</v>
      </c>
      <c r="E3563" s="1231"/>
      <c r="F3563" s="1231"/>
      <c r="G3563" s="1231"/>
      <c r="H3563" s="1231"/>
      <c r="I3563" s="1231"/>
      <c r="J3563" s="1231"/>
      <c r="K3563" s="1231"/>
      <c r="L3563" s="1232"/>
      <c r="M3563" s="54"/>
      <c r="N3563" s="54"/>
      <c r="O3563" s="336"/>
      <c r="P3563" s="334"/>
      <c r="Q3563" s="335"/>
      <c r="R3563" s="336"/>
      <c r="S3563" s="337"/>
    </row>
    <row r="3564" spans="1:26" ht="30" customHeight="1" x14ac:dyDescent="0.25">
      <c r="A3564" s="1268" t="s">
        <v>310</v>
      </c>
      <c r="B3564" s="1167"/>
      <c r="C3564" s="1168"/>
      <c r="D3564" s="1230" t="s">
        <v>2012</v>
      </c>
      <c r="E3564" s="1231"/>
      <c r="F3564" s="1231"/>
      <c r="G3564" s="1231"/>
      <c r="H3564" s="1231"/>
      <c r="I3564" s="1231"/>
      <c r="J3564" s="1231"/>
      <c r="K3564" s="1231"/>
      <c r="L3564" s="1232"/>
      <c r="M3564" s="54"/>
      <c r="N3564" s="54"/>
      <c r="O3564" s="336"/>
      <c r="P3564" s="334"/>
      <c r="Q3564" s="335"/>
      <c r="R3564" s="336"/>
      <c r="S3564" s="337"/>
    </row>
    <row r="3565" spans="1:26" ht="30" customHeight="1" x14ac:dyDescent="0.25">
      <c r="A3565" s="1268" t="s">
        <v>312</v>
      </c>
      <c r="B3565" s="1167"/>
      <c r="C3565" s="1168"/>
      <c r="D3565" s="1230" t="s">
        <v>2013</v>
      </c>
      <c r="E3565" s="1231"/>
      <c r="F3565" s="1231"/>
      <c r="G3565" s="1231"/>
      <c r="H3565" s="1231"/>
      <c r="I3565" s="1231"/>
      <c r="J3565" s="1231"/>
      <c r="K3565" s="1231"/>
      <c r="L3565" s="1232"/>
      <c r="M3565" s="54"/>
      <c r="N3565" s="54"/>
      <c r="O3565" s="336"/>
      <c r="P3565" s="334"/>
      <c r="Q3565" s="335"/>
      <c r="R3565" s="336"/>
      <c r="S3565" s="337"/>
    </row>
    <row r="3566" spans="1:26" ht="60" customHeight="1" x14ac:dyDescent="0.25">
      <c r="A3566" s="1268" t="s">
        <v>314</v>
      </c>
      <c r="B3566" s="1167"/>
      <c r="C3566" s="1168"/>
      <c r="D3566" s="1230" t="s">
        <v>2014</v>
      </c>
      <c r="E3566" s="1231"/>
      <c r="F3566" s="1231"/>
      <c r="G3566" s="1231"/>
      <c r="H3566" s="1231"/>
      <c r="I3566" s="1231"/>
      <c r="J3566" s="1231"/>
      <c r="K3566" s="1231"/>
      <c r="L3566" s="1232"/>
      <c r="M3566" s="54"/>
      <c r="N3566" s="54"/>
      <c r="O3566" s="336"/>
      <c r="P3566" s="334"/>
      <c r="Q3566" s="335"/>
      <c r="R3566" s="336"/>
      <c r="S3566" s="337"/>
    </row>
    <row r="3567" spans="1:26" ht="30" customHeight="1" x14ac:dyDescent="0.25">
      <c r="A3567" s="1268" t="s">
        <v>316</v>
      </c>
      <c r="B3567" s="1167"/>
      <c r="C3567" s="1168"/>
      <c r="D3567" s="1230" t="s">
        <v>2015</v>
      </c>
      <c r="E3567" s="1231"/>
      <c r="F3567" s="1231"/>
      <c r="G3567" s="1231"/>
      <c r="H3567" s="1231"/>
      <c r="I3567" s="1231"/>
      <c r="J3567" s="1231"/>
      <c r="K3567" s="1231"/>
      <c r="L3567" s="1232"/>
      <c r="M3567" s="54"/>
      <c r="N3567" s="54"/>
      <c r="O3567" s="336"/>
      <c r="P3567" s="334"/>
      <c r="Q3567" s="335"/>
      <c r="R3567" s="336"/>
      <c r="S3567" s="337"/>
    </row>
    <row r="3568" spans="1:26" ht="30" customHeight="1" x14ac:dyDescent="0.25">
      <c r="A3568" s="1268" t="s">
        <v>318</v>
      </c>
      <c r="B3568" s="1167"/>
      <c r="C3568" s="1168"/>
      <c r="D3568" s="1230" t="s">
        <v>319</v>
      </c>
      <c r="E3568" s="1231"/>
      <c r="F3568" s="1231"/>
      <c r="G3568" s="1231"/>
      <c r="H3568" s="1231"/>
      <c r="I3568" s="1231"/>
      <c r="J3568" s="1231"/>
      <c r="K3568" s="1231"/>
      <c r="L3568" s="1232"/>
      <c r="M3568" s="54"/>
      <c r="N3568" s="54"/>
      <c r="O3568" s="336"/>
      <c r="P3568" s="334"/>
      <c r="Q3568" s="335"/>
      <c r="R3568" s="336"/>
      <c r="S3568" s="337"/>
    </row>
    <row r="3569" spans="1:19" ht="30" customHeight="1" x14ac:dyDescent="0.25">
      <c r="A3569" s="1268" t="s">
        <v>320</v>
      </c>
      <c r="B3569" s="1167"/>
      <c r="C3569" s="1168"/>
      <c r="D3569" s="1230" t="s">
        <v>1823</v>
      </c>
      <c r="E3569" s="1231"/>
      <c r="F3569" s="1231"/>
      <c r="G3569" s="1231"/>
      <c r="H3569" s="1231"/>
      <c r="I3569" s="1231"/>
      <c r="J3569" s="1231"/>
      <c r="K3569" s="1231"/>
      <c r="L3569" s="1232"/>
      <c r="M3569" s="54"/>
      <c r="N3569" s="54"/>
      <c r="O3569" s="336"/>
      <c r="P3569" s="334"/>
      <c r="Q3569" s="335"/>
      <c r="R3569" s="336"/>
      <c r="S3569" s="337"/>
    </row>
    <row r="3570" spans="1:19" ht="75" customHeight="1" x14ac:dyDescent="0.25">
      <c r="A3570" s="1268" t="s">
        <v>322</v>
      </c>
      <c r="B3570" s="1167"/>
      <c r="C3570" s="1168"/>
      <c r="D3570" s="1230" t="s">
        <v>422</v>
      </c>
      <c r="E3570" s="1231"/>
      <c r="F3570" s="1231"/>
      <c r="G3570" s="1231"/>
      <c r="H3570" s="1231"/>
      <c r="I3570" s="1231"/>
      <c r="J3570" s="1231"/>
      <c r="K3570" s="1231"/>
      <c r="L3570" s="1232"/>
      <c r="M3570" s="111"/>
      <c r="N3570" s="54"/>
      <c r="O3570" s="336"/>
      <c r="P3570" s="334"/>
      <c r="Q3570" s="335"/>
      <c r="R3570" s="336"/>
      <c r="S3570" s="337"/>
    </row>
    <row r="3571" spans="1:19" ht="45" customHeight="1" thickBot="1" x14ac:dyDescent="0.3">
      <c r="A3571" s="1268" t="s">
        <v>350</v>
      </c>
      <c r="B3571" s="1167"/>
      <c r="C3571" s="1168"/>
      <c r="D3571" s="1291" t="s">
        <v>3435</v>
      </c>
      <c r="E3571" s="1292"/>
      <c r="F3571" s="1292"/>
      <c r="G3571" s="1292"/>
      <c r="H3571" s="1292"/>
      <c r="I3571" s="1292"/>
      <c r="J3571" s="1292"/>
      <c r="K3571" s="1292"/>
      <c r="L3571" s="1293"/>
      <c r="N3571" s="133"/>
      <c r="O3571" s="336"/>
      <c r="P3571" s="334"/>
      <c r="Q3571" s="335"/>
      <c r="R3571" s="336"/>
      <c r="S3571" s="337"/>
    </row>
    <row r="3572" spans="1:19" ht="30" customHeight="1" thickBot="1" x14ac:dyDescent="0.3">
      <c r="A3572" s="1180"/>
      <c r="B3572" s="1181"/>
      <c r="C3572" s="1181"/>
      <c r="D3572" s="1181"/>
      <c r="E3572" s="1181"/>
      <c r="F3572" s="1181"/>
      <c r="G3572" s="1181"/>
      <c r="H3572" s="1181"/>
      <c r="I3572" s="1181"/>
      <c r="J3572" s="1181"/>
      <c r="K3572" s="1181"/>
      <c r="L3572" s="1182"/>
      <c r="M3572" s="54"/>
      <c r="N3572" s="54"/>
      <c r="O3572" s="336"/>
      <c r="P3572" s="334"/>
      <c r="Q3572" s="335"/>
      <c r="R3572" s="336"/>
      <c r="S3572" s="337"/>
    </row>
    <row r="3573" spans="1:19" ht="30" customHeight="1" x14ac:dyDescent="0.25">
      <c r="A3573" s="327" t="s">
        <v>5</v>
      </c>
      <c r="B3573" s="328">
        <v>7352</v>
      </c>
      <c r="C3573" s="1218" t="s">
        <v>2016</v>
      </c>
      <c r="D3573" s="1219"/>
      <c r="E3573" s="331" t="s">
        <v>8</v>
      </c>
      <c r="F3573" s="332" t="s">
        <v>205</v>
      </c>
      <c r="G3573" s="342" t="s">
        <v>74</v>
      </c>
      <c r="H3573" s="159">
        <v>31349</v>
      </c>
      <c r="I3573" s="331" t="s">
        <v>10</v>
      </c>
      <c r="J3573" s="1220" t="s">
        <v>281</v>
      </c>
      <c r="K3573" s="1220"/>
      <c r="L3573" s="1221"/>
      <c r="M3573" s="54"/>
      <c r="N3573" s="54"/>
      <c r="O3573" s="336"/>
      <c r="P3573" s="334"/>
      <c r="Q3573" s="335"/>
      <c r="R3573" s="336"/>
      <c r="S3573" s="337"/>
    </row>
    <row r="3574" spans="1:19" ht="30" customHeight="1" x14ac:dyDescent="0.25">
      <c r="A3574" s="356" t="s">
        <v>282</v>
      </c>
      <c r="B3574" s="1163" t="s">
        <v>13</v>
      </c>
      <c r="C3574" s="1163"/>
      <c r="D3574" s="1163"/>
      <c r="E3574" s="357" t="s">
        <v>283</v>
      </c>
      <c r="F3574" s="546" t="s">
        <v>116</v>
      </c>
      <c r="G3574" s="1276"/>
      <c r="H3574" s="1277"/>
      <c r="I3574" s="1276" t="s">
        <v>284</v>
      </c>
      <c r="J3574" s="1277"/>
      <c r="K3574" s="581" t="s">
        <v>2017</v>
      </c>
      <c r="L3574" s="382"/>
      <c r="M3574" s="54"/>
      <c r="N3574" s="54"/>
      <c r="O3574" s="336"/>
      <c r="P3574" s="334"/>
      <c r="Q3574" s="335"/>
      <c r="R3574" s="336"/>
      <c r="S3574" s="337"/>
    </row>
    <row r="3575" spans="1:19" ht="30" customHeight="1" x14ac:dyDescent="0.25">
      <c r="A3575" s="367" t="s">
        <v>286</v>
      </c>
      <c r="B3575" s="1164" t="s">
        <v>2018</v>
      </c>
      <c r="C3575" s="1164"/>
      <c r="D3575" s="1164"/>
      <c r="E3575" s="547">
        <v>110000</v>
      </c>
      <c r="F3575" s="240">
        <v>419</v>
      </c>
      <c r="G3575" s="1676"/>
      <c r="H3575" s="1677"/>
      <c r="I3575" s="1674" t="s">
        <v>288</v>
      </c>
      <c r="J3575" s="1675"/>
      <c r="K3575" s="240">
        <v>419</v>
      </c>
      <c r="L3575" s="367" t="s">
        <v>205</v>
      </c>
      <c r="M3575" s="111"/>
      <c r="N3575" s="54"/>
      <c r="O3575" s="336"/>
      <c r="P3575" s="334"/>
      <c r="Q3575" s="335"/>
      <c r="R3575" s="336"/>
      <c r="S3575" s="337"/>
    </row>
    <row r="3576" spans="1:19" ht="30" customHeight="1" thickBot="1" x14ac:dyDescent="0.3">
      <c r="A3576" s="365"/>
      <c r="B3576" s="1281"/>
      <c r="C3576" s="1281"/>
      <c r="D3576" s="1281"/>
      <c r="E3576" s="550"/>
      <c r="F3576" s="551"/>
      <c r="G3576" s="551"/>
      <c r="H3576" s="552"/>
      <c r="I3576" s="366"/>
      <c r="J3576" s="359" t="s">
        <v>70</v>
      </c>
      <c r="K3576" s="246">
        <f>+K3575</f>
        <v>419</v>
      </c>
      <c r="L3576" s="365" t="s">
        <v>205</v>
      </c>
      <c r="N3576" s="54"/>
      <c r="O3576" s="336"/>
      <c r="P3576" s="334"/>
      <c r="Q3576" s="335"/>
      <c r="R3576" s="336"/>
      <c r="S3576" s="337"/>
    </row>
    <row r="3577" spans="1:19" ht="30" customHeight="1" thickBot="1" x14ac:dyDescent="0.3">
      <c r="A3577" s="1180"/>
      <c r="B3577" s="1181"/>
      <c r="C3577" s="1181"/>
      <c r="D3577" s="1181"/>
      <c r="E3577" s="1181"/>
      <c r="F3577" s="1181"/>
      <c r="G3577" s="1181"/>
      <c r="H3577" s="1181"/>
      <c r="I3577" s="1181"/>
      <c r="J3577" s="1181"/>
      <c r="K3577" s="1181"/>
      <c r="L3577" s="1182"/>
      <c r="M3577" s="54"/>
      <c r="N3577" s="54"/>
      <c r="O3577" s="336"/>
      <c r="P3577" s="334"/>
      <c r="Q3577" s="335"/>
      <c r="R3577" s="336"/>
      <c r="S3577" s="337"/>
    </row>
    <row r="3578" spans="1:19" ht="30" customHeight="1" x14ac:dyDescent="0.25">
      <c r="A3578" s="1116" t="s">
        <v>5</v>
      </c>
      <c r="B3578" s="1117">
        <v>7353</v>
      </c>
      <c r="C3578" s="1218" t="s">
        <v>2019</v>
      </c>
      <c r="D3578" s="1219"/>
      <c r="E3578" s="1122" t="s">
        <v>8</v>
      </c>
      <c r="F3578" s="576" t="s">
        <v>205</v>
      </c>
      <c r="G3578" s="1115" t="s">
        <v>74</v>
      </c>
      <c r="H3578" s="820">
        <v>5667</v>
      </c>
      <c r="I3578" s="1122" t="s">
        <v>10</v>
      </c>
      <c r="J3578" s="1220" t="s">
        <v>294</v>
      </c>
      <c r="K3578" s="1220"/>
      <c r="L3578" s="1221"/>
      <c r="M3578" s="54"/>
      <c r="N3578" s="54"/>
      <c r="O3578" s="336"/>
      <c r="P3578" s="334"/>
      <c r="Q3578" s="335"/>
      <c r="R3578" s="336"/>
      <c r="S3578" s="337"/>
    </row>
    <row r="3579" spans="1:19" ht="30" customHeight="1" x14ac:dyDescent="0.25">
      <c r="A3579" s="1121" t="s">
        <v>295</v>
      </c>
      <c r="B3579" s="1222" t="s">
        <v>326</v>
      </c>
      <c r="C3579" s="1235"/>
      <c r="D3579" s="1223"/>
      <c r="E3579" s="577" t="s">
        <v>116</v>
      </c>
      <c r="F3579" s="577" t="s">
        <v>117</v>
      </c>
      <c r="G3579" s="1194" t="s">
        <v>118</v>
      </c>
      <c r="H3579" s="1195"/>
      <c r="I3579" s="1119" t="s">
        <v>296</v>
      </c>
      <c r="J3579" s="1119"/>
      <c r="K3579" s="1236" t="s">
        <v>285</v>
      </c>
      <c r="L3579" s="1237"/>
      <c r="N3579" s="54"/>
      <c r="O3579" s="554"/>
      <c r="P3579" s="334"/>
      <c r="Q3579" s="335"/>
      <c r="R3579" s="336"/>
      <c r="S3579" s="337"/>
    </row>
    <row r="3580" spans="1:19" ht="30" customHeight="1" x14ac:dyDescent="0.25">
      <c r="A3580" s="895" t="s">
        <v>2050</v>
      </c>
      <c r="B3580" s="1214" t="s">
        <v>3473</v>
      </c>
      <c r="C3580" s="1215"/>
      <c r="D3580" s="1216"/>
      <c r="E3580" s="247">
        <v>168</v>
      </c>
      <c r="F3580" s="365" t="s">
        <v>205</v>
      </c>
      <c r="G3580" s="365"/>
      <c r="H3580" s="365"/>
      <c r="I3580" s="365">
        <v>1.1599999999999999</v>
      </c>
      <c r="J3580" s="706"/>
      <c r="K3580" s="247">
        <f>+E3580*I3580</f>
        <v>194.88</v>
      </c>
      <c r="L3580" s="365" t="s">
        <v>205</v>
      </c>
      <c r="M3580" s="54"/>
      <c r="N3580" s="54"/>
      <c r="O3580" s="554"/>
      <c r="P3580" s="334"/>
      <c r="Q3580" s="335"/>
      <c r="R3580" s="336"/>
      <c r="S3580" s="337"/>
    </row>
    <row r="3581" spans="1:19" ht="30" customHeight="1" x14ac:dyDescent="0.25">
      <c r="A3581" s="895" t="s">
        <v>2050</v>
      </c>
      <c r="B3581" s="1281" t="s">
        <v>3474</v>
      </c>
      <c r="C3581" s="1281"/>
      <c r="D3581" s="1281"/>
      <c r="E3581" s="246">
        <v>61</v>
      </c>
      <c r="F3581" s="365" t="s">
        <v>205</v>
      </c>
      <c r="G3581" s="851"/>
      <c r="H3581" s="1118"/>
      <c r="I3581" s="365">
        <v>1.1599999999999999</v>
      </c>
      <c r="J3581" s="706"/>
      <c r="K3581" s="247">
        <f>+E3581*I3581</f>
        <v>70.759999999999991</v>
      </c>
      <c r="L3581" s="365" t="s">
        <v>205</v>
      </c>
      <c r="M3581" s="111"/>
      <c r="N3581" s="54"/>
      <c r="O3581" s="336"/>
      <c r="P3581" s="334"/>
      <c r="Q3581" s="335"/>
      <c r="R3581" s="336"/>
      <c r="S3581" s="337"/>
    </row>
    <row r="3582" spans="1:19" ht="30" customHeight="1" x14ac:dyDescent="0.25">
      <c r="A3582" s="1740" t="s">
        <v>2054</v>
      </c>
      <c r="B3582" s="1281" t="s">
        <v>3475</v>
      </c>
      <c r="C3582" s="1281"/>
      <c r="D3582" s="1281"/>
      <c r="E3582" s="1099">
        <v>110</v>
      </c>
      <c r="F3582" s="365" t="s">
        <v>205</v>
      </c>
      <c r="G3582" s="1742"/>
      <c r="H3582" s="1741"/>
      <c r="I3582" s="365">
        <v>1.1599999999999999</v>
      </c>
      <c r="J3582" s="1136"/>
      <c r="K3582" s="247">
        <f>+E3582*I3582</f>
        <v>127.6</v>
      </c>
      <c r="L3582" s="1127" t="s">
        <v>205</v>
      </c>
      <c r="M3582" s="111"/>
      <c r="N3582" s="54"/>
      <c r="O3582" s="336"/>
      <c r="P3582" s="334"/>
      <c r="Q3582" s="335"/>
      <c r="R3582" s="336"/>
      <c r="S3582" s="337"/>
    </row>
    <row r="3583" spans="1:19" ht="30" customHeight="1" x14ac:dyDescent="0.25">
      <c r="A3583" s="1740"/>
      <c r="B3583" s="1741"/>
      <c r="C3583" s="1741"/>
      <c r="D3583" s="1741"/>
      <c r="E3583" s="1099"/>
      <c r="F3583" s="1127"/>
      <c r="G3583" s="1742"/>
      <c r="H3583" s="1741"/>
      <c r="I3583" s="1127"/>
      <c r="J3583" s="1136" t="s">
        <v>300</v>
      </c>
      <c r="K3583" s="1128">
        <f>AVERAGE(K3580:K3582)</f>
        <v>131.08000000000001</v>
      </c>
      <c r="L3583" s="1127" t="s">
        <v>205</v>
      </c>
      <c r="M3583" s="111"/>
      <c r="N3583" s="54"/>
      <c r="O3583" s="336"/>
      <c r="P3583" s="334"/>
      <c r="Q3583" s="335"/>
      <c r="R3583" s="336"/>
      <c r="S3583" s="337"/>
    </row>
    <row r="3584" spans="1:19" ht="30" customHeight="1" x14ac:dyDescent="0.25">
      <c r="A3584" s="895" t="s">
        <v>649</v>
      </c>
      <c r="B3584" s="1281" t="s">
        <v>3476</v>
      </c>
      <c r="C3584" s="1281"/>
      <c r="D3584" s="1281"/>
      <c r="E3584" s="246">
        <v>5.57</v>
      </c>
      <c r="F3584" s="365" t="s">
        <v>205</v>
      </c>
      <c r="G3584" s="906"/>
      <c r="H3584" s="1118"/>
      <c r="I3584" s="365">
        <v>1.1599999999999999</v>
      </c>
      <c r="J3584" s="706"/>
      <c r="K3584" s="247">
        <f>+E3584*I3584</f>
        <v>6.4611999999999998</v>
      </c>
      <c r="L3584" s="365" t="s">
        <v>205</v>
      </c>
      <c r="M3584" s="54"/>
      <c r="N3584" s="54"/>
      <c r="O3584" s="336"/>
      <c r="P3584" s="334"/>
      <c r="Q3584" s="335"/>
      <c r="R3584" s="336"/>
      <c r="S3584" s="337"/>
    </row>
    <row r="3585" spans="1:19" ht="30" customHeight="1" x14ac:dyDescent="0.25">
      <c r="A3585" s="365"/>
      <c r="B3585" s="1281"/>
      <c r="C3585" s="1281"/>
      <c r="D3585" s="1281"/>
      <c r="E3585" s="247"/>
      <c r="F3585" s="365"/>
      <c r="G3585" s="366"/>
      <c r="H3585" s="1118"/>
      <c r="I3585" s="365"/>
      <c r="J3585" s="365" t="s">
        <v>343</v>
      </c>
      <c r="K3585" s="247">
        <f>+K3584+K3583</f>
        <v>137.5412</v>
      </c>
      <c r="L3585" s="365" t="s">
        <v>205</v>
      </c>
      <c r="M3585" s="54"/>
      <c r="N3585" s="54"/>
      <c r="O3585" s="336"/>
      <c r="P3585" s="334"/>
      <c r="Q3585" s="335"/>
      <c r="R3585" s="336"/>
      <c r="S3585" s="337"/>
    </row>
    <row r="3586" spans="1:19" ht="30" customHeight="1" x14ac:dyDescent="0.25">
      <c r="A3586" s="1127"/>
      <c r="B3586" s="1113"/>
      <c r="C3586" s="1113"/>
      <c r="D3586" s="1113"/>
      <c r="E3586" s="1128"/>
      <c r="F3586" s="1272" t="s">
        <v>303</v>
      </c>
      <c r="G3586" s="1283" t="s">
        <v>304</v>
      </c>
      <c r="H3586" s="1283"/>
      <c r="I3586" s="1283"/>
      <c r="J3586" s="1283"/>
      <c r="K3586" s="706">
        <v>1.06</v>
      </c>
      <c r="L3586" s="365"/>
      <c r="M3586" s="54"/>
      <c r="N3586" s="54"/>
      <c r="O3586" s="336"/>
      <c r="P3586" s="334"/>
      <c r="Q3586" s="335"/>
      <c r="R3586" s="336"/>
      <c r="S3586" s="337"/>
    </row>
    <row r="3587" spans="1:19" ht="30" customHeight="1" x14ac:dyDescent="0.25">
      <c r="A3587" s="1127"/>
      <c r="B3587" s="1113"/>
      <c r="C3587" s="1113"/>
      <c r="D3587" s="1113"/>
      <c r="E3587" s="1128"/>
      <c r="F3587" s="1273"/>
      <c r="G3587" s="1284" t="s">
        <v>305</v>
      </c>
      <c r="H3587" s="1284"/>
      <c r="I3587" s="1284"/>
      <c r="J3587" s="1284"/>
      <c r="K3587" s="250">
        <v>1.06</v>
      </c>
      <c r="L3587" s="365"/>
      <c r="M3587" s="54"/>
      <c r="N3587" s="54"/>
      <c r="O3587" s="344"/>
      <c r="P3587" s="334"/>
      <c r="Q3587" s="335"/>
      <c r="R3587" s="336"/>
      <c r="S3587" s="337"/>
    </row>
    <row r="3588" spans="1:19" ht="30" customHeight="1" x14ac:dyDescent="0.25">
      <c r="A3588" s="1134"/>
      <c r="B3588" s="1134"/>
      <c r="C3588" s="1134"/>
      <c r="D3588" s="1134"/>
      <c r="E3588" s="1139"/>
      <c r="F3588" s="366"/>
      <c r="G3588" s="366"/>
      <c r="H3588" s="366"/>
      <c r="I3588" s="366"/>
      <c r="J3588" s="365" t="s">
        <v>72</v>
      </c>
      <c r="K3588" s="246">
        <f>+K3585*K3586/K3587</f>
        <v>137.5412</v>
      </c>
      <c r="L3588" s="365" t="s">
        <v>205</v>
      </c>
      <c r="M3588" s="54"/>
      <c r="N3588" s="54"/>
      <c r="O3588" s="344"/>
      <c r="P3588" s="334"/>
      <c r="Q3588" s="335"/>
      <c r="R3588" s="336"/>
      <c r="S3588" s="337"/>
    </row>
    <row r="3589" spans="1:19" ht="30" customHeight="1" thickBot="1" x14ac:dyDescent="0.3">
      <c r="A3589" s="1744"/>
      <c r="B3589" s="1744"/>
      <c r="C3589" s="1744"/>
      <c r="D3589" s="1744"/>
      <c r="E3589" s="1745"/>
      <c r="F3589" s="1745"/>
      <c r="G3589" s="1745"/>
      <c r="H3589" s="1745"/>
      <c r="I3589" s="1746" t="s">
        <v>306</v>
      </c>
      <c r="J3589" s="1747">
        <f>VLOOKUP(B3578,'Mil Cost Premiums for PUCs'!$A$4:$R$277,18,FALSE)</f>
        <v>1.2841179843245845</v>
      </c>
      <c r="K3589" s="1748">
        <f>+K3588*J3589</f>
        <v>176.61912850558454</v>
      </c>
      <c r="L3589" s="1749" t="s">
        <v>205</v>
      </c>
      <c r="M3589" s="54"/>
      <c r="N3589" s="54"/>
      <c r="O3589" s="336"/>
      <c r="P3589" s="334"/>
      <c r="Q3589" s="335"/>
      <c r="R3589" s="336"/>
      <c r="S3589" s="337"/>
    </row>
    <row r="3590" spans="1:19" ht="30" customHeight="1" thickBot="1" x14ac:dyDescent="0.3">
      <c r="A3590" s="1180"/>
      <c r="B3590" s="1181"/>
      <c r="C3590" s="1181"/>
      <c r="D3590" s="1181"/>
      <c r="E3590" s="1181"/>
      <c r="F3590" s="1181"/>
      <c r="G3590" s="1181"/>
      <c r="H3590" s="1181"/>
      <c r="I3590" s="1181"/>
      <c r="J3590" s="1181"/>
      <c r="K3590" s="1181"/>
      <c r="L3590" s="1182"/>
      <c r="M3590" s="54"/>
      <c r="N3590" s="54"/>
      <c r="O3590" s="336"/>
      <c r="P3590" s="334"/>
      <c r="Q3590" s="335"/>
      <c r="R3590" s="336"/>
      <c r="S3590" s="337"/>
    </row>
    <row r="3591" spans="1:19" ht="30" customHeight="1" x14ac:dyDescent="0.25">
      <c r="A3591" s="327" t="s">
        <v>5</v>
      </c>
      <c r="B3591" s="328">
        <v>7361</v>
      </c>
      <c r="C3591" s="1218" t="s">
        <v>2020</v>
      </c>
      <c r="D3591" s="1219"/>
      <c r="E3591" s="331" t="s">
        <v>8</v>
      </c>
      <c r="F3591" s="332" t="s">
        <v>205</v>
      </c>
      <c r="G3591" s="342" t="s">
        <v>74</v>
      </c>
      <c r="H3591" s="160">
        <v>8275</v>
      </c>
      <c r="I3591" s="331" t="s">
        <v>10</v>
      </c>
      <c r="J3591" s="1220" t="s">
        <v>1611</v>
      </c>
      <c r="K3591" s="1220"/>
      <c r="L3591" s="1221"/>
      <c r="M3591" s="111"/>
      <c r="N3591" s="54"/>
      <c r="O3591" s="336"/>
      <c r="P3591" s="334"/>
      <c r="Q3591" s="335"/>
      <c r="R3591" s="336"/>
      <c r="S3591" s="337"/>
    </row>
    <row r="3592" spans="1:19" ht="30" customHeight="1" x14ac:dyDescent="0.25">
      <c r="A3592" s="356" t="s">
        <v>282</v>
      </c>
      <c r="B3592" s="1163" t="s">
        <v>13</v>
      </c>
      <c r="C3592" s="1163"/>
      <c r="D3592" s="1163"/>
      <c r="E3592" s="546" t="s">
        <v>116</v>
      </c>
      <c r="F3592" s="356" t="s">
        <v>283</v>
      </c>
      <c r="G3592" s="1314" t="s">
        <v>118</v>
      </c>
      <c r="H3592" s="1315"/>
      <c r="I3592" s="1276" t="s">
        <v>284</v>
      </c>
      <c r="J3592" s="1277"/>
      <c r="K3592" s="1236" t="s">
        <v>285</v>
      </c>
      <c r="L3592" s="1237"/>
      <c r="M3592" s="54"/>
      <c r="O3592" s="336"/>
      <c r="P3592" s="334"/>
      <c r="Q3592" s="335"/>
      <c r="R3592" s="336"/>
      <c r="S3592" s="337"/>
    </row>
    <row r="3593" spans="1:19" ht="30" customHeight="1" x14ac:dyDescent="0.25">
      <c r="A3593" s="365">
        <v>73017</v>
      </c>
      <c r="B3593" s="1214" t="s">
        <v>2021</v>
      </c>
      <c r="C3593" s="1215"/>
      <c r="D3593" s="1216"/>
      <c r="E3593" s="247">
        <v>344</v>
      </c>
      <c r="F3593" s="257">
        <v>23000</v>
      </c>
      <c r="G3593" s="341"/>
      <c r="H3593" s="367"/>
      <c r="I3593" s="1416">
        <f>+'2022 MILCON Inflation Table'!$F$17</f>
        <v>1.0833841548808889</v>
      </c>
      <c r="J3593" s="1417"/>
      <c r="K3593" s="242">
        <f>+E3593*I3593</f>
        <v>372.6841492790258</v>
      </c>
      <c r="L3593" s="367" t="s">
        <v>205</v>
      </c>
      <c r="M3593" s="54"/>
      <c r="O3593" s="336"/>
      <c r="P3593" s="334"/>
      <c r="Q3593" s="335"/>
      <c r="R3593" s="336"/>
      <c r="S3593" s="337"/>
    </row>
    <row r="3594" spans="1:19" ht="30" customHeight="1" thickBot="1" x14ac:dyDescent="0.3">
      <c r="A3594" s="365"/>
      <c r="B3594" s="1214"/>
      <c r="C3594" s="1215"/>
      <c r="D3594" s="1216"/>
      <c r="E3594" s="333"/>
      <c r="F3594" s="744"/>
      <c r="G3594" s="333"/>
      <c r="H3594" s="729"/>
      <c r="I3594" s="366"/>
      <c r="J3594" s="359" t="s">
        <v>72</v>
      </c>
      <c r="K3594" s="243">
        <f>SUM(K3593:K3593)</f>
        <v>372.6841492790258</v>
      </c>
      <c r="L3594" s="367" t="s">
        <v>205</v>
      </c>
      <c r="M3594" s="122"/>
      <c r="N3594" s="54"/>
      <c r="O3594" s="336"/>
      <c r="P3594" s="334"/>
      <c r="Q3594" s="335"/>
      <c r="R3594" s="336"/>
      <c r="S3594" s="337"/>
    </row>
    <row r="3595" spans="1:19" ht="30" customHeight="1" thickBot="1" x14ac:dyDescent="0.3">
      <c r="A3595" s="1180"/>
      <c r="B3595" s="1181"/>
      <c r="C3595" s="1181"/>
      <c r="D3595" s="1181"/>
      <c r="E3595" s="1181"/>
      <c r="F3595" s="1181"/>
      <c r="G3595" s="1181"/>
      <c r="H3595" s="1181"/>
      <c r="I3595" s="1181"/>
      <c r="J3595" s="1181"/>
      <c r="K3595" s="1181"/>
      <c r="L3595" s="1182"/>
      <c r="M3595" s="54"/>
      <c r="N3595" s="54"/>
      <c r="O3595" s="336"/>
      <c r="P3595" s="334"/>
      <c r="Q3595" s="335"/>
      <c r="R3595" s="336"/>
      <c r="S3595" s="337"/>
    </row>
    <row r="3596" spans="1:19" ht="30" customHeight="1" x14ac:dyDescent="0.25">
      <c r="A3596" s="402" t="s">
        <v>5</v>
      </c>
      <c r="B3596" s="403">
        <v>7362</v>
      </c>
      <c r="C3596" s="1587" t="s">
        <v>2022</v>
      </c>
      <c r="D3596" s="1588"/>
      <c r="E3596" s="939" t="s">
        <v>8</v>
      </c>
      <c r="F3596" s="952" t="s">
        <v>205</v>
      </c>
      <c r="G3596" s="342" t="s">
        <v>74</v>
      </c>
      <c r="H3596" s="953">
        <v>5779</v>
      </c>
      <c r="I3596" s="939" t="s">
        <v>10</v>
      </c>
      <c r="J3596" s="1220" t="s">
        <v>3388</v>
      </c>
      <c r="K3596" s="1220"/>
      <c r="L3596" s="1221"/>
      <c r="M3596" s="54"/>
      <c r="N3596" s="54"/>
      <c r="O3596" s="336"/>
      <c r="P3596" s="334"/>
      <c r="Q3596" s="335"/>
      <c r="R3596" s="336"/>
      <c r="S3596" s="337"/>
    </row>
    <row r="3597" spans="1:19" ht="30" customHeight="1" x14ac:dyDescent="0.25">
      <c r="A3597" s="941" t="s">
        <v>295</v>
      </c>
      <c r="B3597" s="1592" t="s">
        <v>326</v>
      </c>
      <c r="C3597" s="1593"/>
      <c r="D3597" s="1594"/>
      <c r="E3597" s="942" t="s">
        <v>116</v>
      </c>
      <c r="F3597" s="942" t="s">
        <v>117</v>
      </c>
      <c r="G3597" s="1595" t="s">
        <v>118</v>
      </c>
      <c r="H3597" s="1596"/>
      <c r="I3597" s="943" t="s">
        <v>2002</v>
      </c>
      <c r="J3597" s="943"/>
      <c r="K3597" s="1236" t="s">
        <v>285</v>
      </c>
      <c r="L3597" s="1237"/>
      <c r="M3597" s="54"/>
      <c r="N3597" s="54"/>
      <c r="O3597" s="336"/>
      <c r="P3597" s="334"/>
      <c r="Q3597" s="335"/>
      <c r="R3597" s="336"/>
      <c r="S3597" s="337"/>
    </row>
    <row r="3598" spans="1:19" ht="30" customHeight="1" x14ac:dyDescent="0.25">
      <c r="A3598" s="944" t="s">
        <v>2003</v>
      </c>
      <c r="B3598" s="1589" t="s">
        <v>2004</v>
      </c>
      <c r="C3598" s="1590"/>
      <c r="D3598" s="1591"/>
      <c r="E3598" s="945">
        <v>128</v>
      </c>
      <c r="F3598" s="946" t="s">
        <v>205</v>
      </c>
      <c r="G3598" s="947"/>
      <c r="H3598" s="948"/>
      <c r="I3598" s="447">
        <v>1.04</v>
      </c>
      <c r="J3598" s="447"/>
      <c r="K3598" s="945">
        <f>+E3598*I3598</f>
        <v>133.12</v>
      </c>
      <c r="L3598" s="447" t="s">
        <v>205</v>
      </c>
      <c r="M3598" s="54"/>
      <c r="N3598" s="54"/>
      <c r="O3598" s="336"/>
      <c r="P3598" s="334"/>
      <c r="Q3598" s="335"/>
      <c r="R3598" s="336"/>
      <c r="S3598" s="337"/>
    </row>
    <row r="3599" spans="1:19" ht="30" customHeight="1" x14ac:dyDescent="0.25">
      <c r="A3599" s="949" t="s">
        <v>649</v>
      </c>
      <c r="B3599" s="1589" t="s">
        <v>2023</v>
      </c>
      <c r="C3599" s="1590"/>
      <c r="D3599" s="1591"/>
      <c r="E3599" s="945">
        <v>4.4800000000000004</v>
      </c>
      <c r="F3599" s="447" t="s">
        <v>205</v>
      </c>
      <c r="G3599" s="950">
        <v>0.121</v>
      </c>
      <c r="H3599" s="447" t="s">
        <v>2006</v>
      </c>
      <c r="I3599" s="447">
        <v>1.04</v>
      </c>
      <c r="J3599" s="447"/>
      <c r="K3599" s="945">
        <f>+E3599*G3599*I3599</f>
        <v>0.56376320000000002</v>
      </c>
      <c r="L3599" s="447" t="s">
        <v>205</v>
      </c>
      <c r="M3599" s="54"/>
      <c r="N3599" s="54"/>
      <c r="O3599" s="336"/>
      <c r="P3599" s="334"/>
      <c r="Q3599" s="335"/>
      <c r="R3599" s="336"/>
      <c r="S3599" s="337"/>
    </row>
    <row r="3600" spans="1:19" ht="30" customHeight="1" x14ac:dyDescent="0.25">
      <c r="A3600" s="447"/>
      <c r="B3600" s="1589"/>
      <c r="C3600" s="1590"/>
      <c r="D3600" s="1591"/>
      <c r="E3600" s="945"/>
      <c r="F3600" s="447"/>
      <c r="G3600" s="447"/>
      <c r="H3600" s="447"/>
      <c r="I3600" s="447"/>
      <c r="J3600" s="447" t="s">
        <v>343</v>
      </c>
      <c r="K3600" s="945">
        <f>SUM(K3598:K3599)</f>
        <v>133.68376320000002</v>
      </c>
      <c r="L3600" s="447" t="s">
        <v>205</v>
      </c>
      <c r="M3600" s="54"/>
      <c r="N3600" s="54"/>
      <c r="O3600" s="336"/>
      <c r="P3600" s="334"/>
      <c r="Q3600" s="335"/>
      <c r="R3600" s="336"/>
      <c r="S3600" s="337"/>
    </row>
    <row r="3601" spans="1:26" ht="30" customHeight="1" x14ac:dyDescent="0.25">
      <c r="A3601" s="365"/>
      <c r="B3601" s="578"/>
      <c r="C3601" s="578"/>
      <c r="D3601" s="578"/>
      <c r="E3601" s="247"/>
      <c r="F3601" s="1272" t="s">
        <v>303</v>
      </c>
      <c r="G3601" s="1283" t="s">
        <v>304</v>
      </c>
      <c r="H3601" s="1283"/>
      <c r="I3601" s="1283"/>
      <c r="J3601" s="1283"/>
      <c r="K3601" s="250">
        <v>1.07</v>
      </c>
      <c r="L3601" s="365"/>
      <c r="M3601" s="54"/>
      <c r="N3601" s="54"/>
      <c r="O3601" s="336"/>
      <c r="P3601" s="334"/>
      <c r="Q3601" s="335"/>
      <c r="R3601" s="336"/>
      <c r="S3601" s="337"/>
    </row>
    <row r="3602" spans="1:26" ht="30" customHeight="1" x14ac:dyDescent="0.25">
      <c r="A3602" s="365"/>
      <c r="B3602" s="578"/>
      <c r="C3602" s="578"/>
      <c r="D3602" s="578"/>
      <c r="E3602" s="247"/>
      <c r="F3602" s="1273"/>
      <c r="G3602" s="1284" t="s">
        <v>438</v>
      </c>
      <c r="H3602" s="1284"/>
      <c r="I3602" s="1284"/>
      <c r="J3602" s="1284"/>
      <c r="K3602" s="250">
        <v>1.08</v>
      </c>
      <c r="L3602" s="365"/>
      <c r="M3602" s="54"/>
      <c r="N3602" s="111"/>
      <c r="O3602" s="336"/>
      <c r="P3602" s="334"/>
      <c r="Q3602" s="335"/>
      <c r="R3602" s="336"/>
      <c r="S3602" s="337"/>
    </row>
    <row r="3603" spans="1:26" ht="30" customHeight="1" x14ac:dyDescent="0.25">
      <c r="A3603" s="447"/>
      <c r="B3603" s="447"/>
      <c r="C3603" s="442"/>
      <c r="D3603" s="442"/>
      <c r="E3603" s="442"/>
      <c r="F3603" s="442"/>
      <c r="G3603" s="442"/>
      <c r="H3603" s="442"/>
      <c r="I3603" s="442"/>
      <c r="J3603" s="447" t="s">
        <v>72</v>
      </c>
      <c r="K3603" s="951">
        <f>+K3600*K3601/K3602</f>
        <v>132.44595057777781</v>
      </c>
      <c r="L3603" s="447" t="s">
        <v>205</v>
      </c>
      <c r="M3603" s="54"/>
      <c r="N3603" s="111"/>
      <c r="O3603" s="336"/>
      <c r="P3603" s="334"/>
      <c r="Q3603" s="335"/>
      <c r="R3603" s="336"/>
      <c r="S3603" s="337"/>
    </row>
    <row r="3604" spans="1:26" ht="30" customHeight="1" x14ac:dyDescent="0.25">
      <c r="A3604" s="447"/>
      <c r="B3604" s="447"/>
      <c r="C3604" s="442"/>
      <c r="D3604" s="442"/>
      <c r="E3604" s="442"/>
      <c r="F3604" s="442"/>
      <c r="H3604" s="442"/>
      <c r="I3604" s="954" t="s">
        <v>414</v>
      </c>
      <c r="J3604" s="521">
        <f>VLOOKUP(B3596,'Mil Cost Premiums for PUCs'!$A$4:$R$277,18,FALSE)</f>
        <v>1.3045524833281539</v>
      </c>
      <c r="K3604" s="951">
        <f>+K3603*J3604</f>
        <v>172.78269373299798</v>
      </c>
      <c r="L3604" s="447" t="s">
        <v>205</v>
      </c>
      <c r="M3604" s="54"/>
      <c r="N3604" s="54"/>
      <c r="O3604" s="336"/>
      <c r="P3604" s="334"/>
      <c r="Q3604" s="335"/>
      <c r="R3604" s="336"/>
      <c r="S3604" s="337"/>
      <c r="U3604" s="345"/>
    </row>
    <row r="3605" spans="1:26" ht="30" customHeight="1" x14ac:dyDescent="0.25">
      <c r="A3605" s="844"/>
      <c r="B3605" s="844"/>
      <c r="C3605" s="471"/>
      <c r="D3605" s="471"/>
      <c r="E3605" s="850"/>
      <c r="F3605" s="1278" t="s">
        <v>1148</v>
      </c>
      <c r="G3605" s="1278"/>
      <c r="H3605" s="1278"/>
      <c r="I3605" s="1278"/>
      <c r="J3605" s="845">
        <v>1.0833999999999999</v>
      </c>
      <c r="K3605" s="544">
        <f>K3604*J3605</f>
        <v>187.19277039033</v>
      </c>
      <c r="L3605" s="369" t="s">
        <v>205</v>
      </c>
      <c r="N3605" s="54"/>
      <c r="O3605" s="336"/>
      <c r="P3605" s="334"/>
      <c r="Q3605" s="335"/>
      <c r="R3605" s="336"/>
      <c r="S3605" s="337"/>
    </row>
    <row r="3606" spans="1:26" ht="75" customHeight="1" x14ac:dyDescent="0.25">
      <c r="A3606" s="1230" t="s">
        <v>307</v>
      </c>
      <c r="B3606" s="1231"/>
      <c r="C3606" s="1231"/>
      <c r="D3606" s="1231"/>
      <c r="E3606" s="1231"/>
      <c r="F3606" s="1231"/>
      <c r="G3606" s="1231"/>
      <c r="H3606" s="1231"/>
      <c r="I3606" s="1231"/>
      <c r="J3606" s="1231"/>
      <c r="K3606" s="1231"/>
      <c r="L3606" s="1232"/>
      <c r="M3606" s="54"/>
      <c r="N3606" s="54"/>
      <c r="O3606" s="336"/>
      <c r="P3606" s="344"/>
      <c r="Q3606" s="345"/>
      <c r="R3606" s="345"/>
      <c r="S3606" s="345"/>
      <c r="T3606" s="345"/>
      <c r="V3606" s="345"/>
      <c r="W3606" s="345"/>
      <c r="X3606" s="345"/>
      <c r="Y3606" s="345"/>
    </row>
    <row r="3607" spans="1:26" ht="30" customHeight="1" x14ac:dyDescent="0.25">
      <c r="A3607" s="1268" t="s">
        <v>308</v>
      </c>
      <c r="B3607" s="1167"/>
      <c r="C3607" s="1168"/>
      <c r="D3607" s="1230" t="s">
        <v>2024</v>
      </c>
      <c r="E3607" s="1231"/>
      <c r="F3607" s="1231"/>
      <c r="G3607" s="1231"/>
      <c r="H3607" s="1231"/>
      <c r="I3607" s="1231"/>
      <c r="J3607" s="1231"/>
      <c r="K3607" s="1231"/>
      <c r="L3607" s="1232"/>
      <c r="N3607" s="54"/>
      <c r="O3607" s="336"/>
      <c r="U3607" s="60"/>
      <c r="Z3607" s="345"/>
    </row>
    <row r="3608" spans="1:26" ht="30" customHeight="1" x14ac:dyDescent="0.25">
      <c r="A3608" s="1268" t="s">
        <v>310</v>
      </c>
      <c r="B3608" s="1167"/>
      <c r="C3608" s="1168"/>
      <c r="D3608" s="1230" t="s">
        <v>2025</v>
      </c>
      <c r="E3608" s="1231"/>
      <c r="F3608" s="1231"/>
      <c r="G3608" s="1231"/>
      <c r="H3608" s="1231"/>
      <c r="I3608" s="1231"/>
      <c r="J3608" s="1231"/>
      <c r="K3608" s="1231"/>
      <c r="L3608" s="1232"/>
      <c r="N3608" s="54"/>
      <c r="O3608" s="336"/>
      <c r="U3608" s="10"/>
    </row>
    <row r="3609" spans="1:26" ht="30" customHeight="1" x14ac:dyDescent="0.25">
      <c r="A3609" s="1268" t="s">
        <v>312</v>
      </c>
      <c r="B3609" s="1167"/>
      <c r="C3609" s="1168"/>
      <c r="D3609" s="1230" t="s">
        <v>2026</v>
      </c>
      <c r="E3609" s="1231"/>
      <c r="F3609" s="1231"/>
      <c r="G3609" s="1231"/>
      <c r="H3609" s="1231"/>
      <c r="I3609" s="1231"/>
      <c r="J3609" s="1231"/>
      <c r="K3609" s="1231"/>
      <c r="L3609" s="1232"/>
      <c r="M3609" s="54"/>
      <c r="N3609" s="54"/>
      <c r="O3609" s="336"/>
      <c r="T3609" s="60"/>
      <c r="U3609" s="345"/>
    </row>
    <row r="3610" spans="1:26" s="345" customFormat="1" ht="75" customHeight="1" x14ac:dyDescent="0.25">
      <c r="A3610" s="1268" t="s">
        <v>314</v>
      </c>
      <c r="B3610" s="1167"/>
      <c r="C3610" s="1168"/>
      <c r="D3610" s="1230" t="s">
        <v>2027</v>
      </c>
      <c r="E3610" s="1231"/>
      <c r="F3610" s="1231"/>
      <c r="G3610" s="1231"/>
      <c r="H3610" s="1231"/>
      <c r="I3610" s="1231"/>
      <c r="J3610" s="1231"/>
      <c r="K3610" s="1231"/>
      <c r="L3610" s="1232"/>
      <c r="M3610" s="54"/>
      <c r="N3610" s="54"/>
      <c r="O3610" s="336"/>
      <c r="P3610" s="340"/>
      <c r="Q3610" s="334"/>
      <c r="R3610" s="334"/>
      <c r="S3610" s="334"/>
      <c r="T3610" s="10"/>
      <c r="U3610" s="334"/>
      <c r="V3610" s="334"/>
      <c r="W3610" s="334"/>
      <c r="X3610" s="334"/>
      <c r="Y3610" s="334"/>
      <c r="Z3610" s="334"/>
    </row>
    <row r="3611" spans="1:26" ht="30" customHeight="1" x14ac:dyDescent="0.25">
      <c r="A3611" s="1268" t="s">
        <v>316</v>
      </c>
      <c r="B3611" s="1167"/>
      <c r="C3611" s="1168"/>
      <c r="D3611" s="1230" t="s">
        <v>2028</v>
      </c>
      <c r="E3611" s="1231"/>
      <c r="F3611" s="1231"/>
      <c r="G3611" s="1231"/>
      <c r="H3611" s="1231"/>
      <c r="I3611" s="1231"/>
      <c r="J3611" s="1231"/>
      <c r="K3611" s="1231"/>
      <c r="L3611" s="1232"/>
      <c r="M3611" s="54"/>
      <c r="N3611" s="54"/>
      <c r="O3611" s="336"/>
      <c r="P3611" s="344"/>
      <c r="Q3611" s="345"/>
      <c r="R3611" s="345"/>
      <c r="S3611" s="345"/>
      <c r="T3611" s="345"/>
      <c r="V3611" s="345"/>
      <c r="W3611" s="345"/>
      <c r="X3611" s="345"/>
      <c r="Y3611" s="345"/>
    </row>
    <row r="3612" spans="1:26" ht="30" customHeight="1" x14ac:dyDescent="0.25">
      <c r="A3612" s="1268" t="s">
        <v>318</v>
      </c>
      <c r="B3612" s="1167"/>
      <c r="C3612" s="1168"/>
      <c r="D3612" s="1230" t="s">
        <v>319</v>
      </c>
      <c r="E3612" s="1231"/>
      <c r="F3612" s="1231"/>
      <c r="G3612" s="1231"/>
      <c r="H3612" s="1231"/>
      <c r="I3612" s="1231"/>
      <c r="J3612" s="1231"/>
      <c r="K3612" s="1231"/>
      <c r="L3612" s="1232"/>
      <c r="M3612" s="54"/>
      <c r="N3612" s="54"/>
      <c r="O3612" s="336"/>
      <c r="U3612" s="10"/>
    </row>
    <row r="3613" spans="1:26" ht="30" customHeight="1" x14ac:dyDescent="0.25">
      <c r="A3613" s="1268" t="s">
        <v>320</v>
      </c>
      <c r="B3613" s="1167"/>
      <c r="C3613" s="1168"/>
      <c r="D3613" s="1230" t="s">
        <v>2029</v>
      </c>
      <c r="E3613" s="1231"/>
      <c r="F3613" s="1231"/>
      <c r="G3613" s="1231"/>
      <c r="H3613" s="1231"/>
      <c r="I3613" s="1231"/>
      <c r="J3613" s="1231"/>
      <c r="K3613" s="1231"/>
      <c r="L3613" s="1232"/>
      <c r="M3613" s="54"/>
      <c r="N3613" s="54"/>
      <c r="O3613" s="336"/>
      <c r="T3613" s="60"/>
    </row>
    <row r="3614" spans="1:26" ht="75" customHeight="1" x14ac:dyDescent="0.25">
      <c r="A3614" s="1268" t="s">
        <v>322</v>
      </c>
      <c r="B3614" s="1167"/>
      <c r="C3614" s="1168"/>
      <c r="D3614" s="1230" t="s">
        <v>422</v>
      </c>
      <c r="E3614" s="1231"/>
      <c r="F3614" s="1231"/>
      <c r="G3614" s="1231"/>
      <c r="H3614" s="1231"/>
      <c r="I3614" s="1231"/>
      <c r="J3614" s="1231"/>
      <c r="K3614" s="1231"/>
      <c r="L3614" s="1232"/>
      <c r="M3614" s="54"/>
      <c r="N3614" s="54"/>
      <c r="O3614" s="336"/>
      <c r="T3614" s="10"/>
    </row>
    <row r="3615" spans="1:26" ht="45" customHeight="1" thickBot="1" x14ac:dyDescent="0.3">
      <c r="A3615" s="1268" t="s">
        <v>350</v>
      </c>
      <c r="B3615" s="1167"/>
      <c r="C3615" s="1168"/>
      <c r="D3615" s="1291" t="s">
        <v>3436</v>
      </c>
      <c r="E3615" s="1292"/>
      <c r="F3615" s="1292"/>
      <c r="G3615" s="1292"/>
      <c r="H3615" s="1292"/>
      <c r="I3615" s="1292"/>
      <c r="J3615" s="1292"/>
      <c r="K3615" s="1292"/>
      <c r="L3615" s="1293"/>
      <c r="M3615" s="54"/>
      <c r="N3615" s="54"/>
      <c r="O3615" s="336"/>
      <c r="P3615" s="334"/>
      <c r="Q3615" s="335"/>
      <c r="R3615" s="336"/>
      <c r="S3615" s="337"/>
    </row>
    <row r="3616" spans="1:26" ht="30" customHeight="1" thickBot="1" x14ac:dyDescent="0.3">
      <c r="A3616" s="1180"/>
      <c r="B3616" s="1181"/>
      <c r="C3616" s="1181"/>
      <c r="D3616" s="1181"/>
      <c r="E3616" s="1181"/>
      <c r="F3616" s="1181"/>
      <c r="G3616" s="1181"/>
      <c r="H3616" s="1181"/>
      <c r="I3616" s="1181"/>
      <c r="J3616" s="1181"/>
      <c r="K3616" s="1181"/>
      <c r="L3616" s="1182"/>
      <c r="M3616" s="54"/>
      <c r="O3616" s="336"/>
      <c r="P3616" s="334"/>
      <c r="Q3616" s="335"/>
      <c r="R3616" s="336"/>
      <c r="S3616" s="337"/>
    </row>
    <row r="3617" spans="1:19" ht="30" customHeight="1" x14ac:dyDescent="0.25">
      <c r="A3617" s="327" t="s">
        <v>5</v>
      </c>
      <c r="B3617" s="328">
        <v>7371</v>
      </c>
      <c r="C3617" s="1218" t="s">
        <v>2030</v>
      </c>
      <c r="D3617" s="1219"/>
      <c r="E3617" s="331" t="s">
        <v>8</v>
      </c>
      <c r="F3617" s="332" t="s">
        <v>205</v>
      </c>
      <c r="G3617" s="342" t="s">
        <v>74</v>
      </c>
      <c r="H3617" s="160">
        <v>11865</v>
      </c>
      <c r="I3617" s="331" t="s">
        <v>10</v>
      </c>
      <c r="J3617" s="1220" t="s">
        <v>2031</v>
      </c>
      <c r="K3617" s="1220"/>
      <c r="L3617" s="1221"/>
      <c r="M3617" s="54"/>
      <c r="N3617" s="54"/>
      <c r="O3617" s="543"/>
      <c r="P3617" s="334"/>
      <c r="Q3617" s="335"/>
      <c r="R3617" s="336"/>
      <c r="S3617" s="337"/>
    </row>
    <row r="3618" spans="1:19" ht="30" customHeight="1" x14ac:dyDescent="0.25">
      <c r="A3618" s="356" t="s">
        <v>282</v>
      </c>
      <c r="B3618" s="1163" t="s">
        <v>13</v>
      </c>
      <c r="C3618" s="1163"/>
      <c r="D3618" s="1163"/>
      <c r="E3618" s="546" t="s">
        <v>116</v>
      </c>
      <c r="F3618" s="356" t="s">
        <v>283</v>
      </c>
      <c r="G3618" s="1314" t="s">
        <v>118</v>
      </c>
      <c r="H3618" s="1315"/>
      <c r="I3618" s="1276" t="s">
        <v>284</v>
      </c>
      <c r="J3618" s="1277"/>
      <c r="K3618" s="1236" t="s">
        <v>285</v>
      </c>
      <c r="L3618" s="1237"/>
      <c r="M3618" s="111"/>
      <c r="N3618" s="54"/>
      <c r="P3618" s="334"/>
      <c r="Q3618" s="335"/>
      <c r="R3618" s="336"/>
      <c r="S3618" s="337"/>
    </row>
    <row r="3619" spans="1:19" ht="30" customHeight="1" x14ac:dyDescent="0.25">
      <c r="A3619" s="365" t="s">
        <v>286</v>
      </c>
      <c r="B3619" s="1214" t="s">
        <v>2032</v>
      </c>
      <c r="C3619" s="1215"/>
      <c r="D3619" s="1216"/>
      <c r="E3619" s="247">
        <v>489</v>
      </c>
      <c r="F3619" s="257">
        <v>23000</v>
      </c>
      <c r="G3619" s="341"/>
      <c r="H3619" s="367"/>
      <c r="I3619" s="1416" t="s">
        <v>1878</v>
      </c>
      <c r="J3619" s="1417"/>
      <c r="K3619" s="240">
        <f>E3619</f>
        <v>489</v>
      </c>
      <c r="L3619" s="367" t="s">
        <v>205</v>
      </c>
      <c r="M3619" s="54"/>
      <c r="N3619" s="54"/>
      <c r="P3619" s="334"/>
      <c r="Q3619" s="335"/>
      <c r="R3619" s="336"/>
      <c r="S3619" s="337"/>
    </row>
    <row r="3620" spans="1:19" ht="30" customHeight="1" thickBot="1" x14ac:dyDescent="0.3">
      <c r="A3620" s="365"/>
      <c r="B3620" s="1214"/>
      <c r="C3620" s="1215"/>
      <c r="D3620" s="1216"/>
      <c r="E3620" s="333"/>
      <c r="F3620" s="744"/>
      <c r="G3620" s="333"/>
      <c r="H3620" s="729"/>
      <c r="I3620" s="366"/>
      <c r="J3620" s="359" t="s">
        <v>72</v>
      </c>
      <c r="K3620" s="240">
        <f>K3619</f>
        <v>489</v>
      </c>
      <c r="L3620" s="367" t="s">
        <v>205</v>
      </c>
      <c r="M3620" s="54"/>
      <c r="N3620" s="54"/>
      <c r="P3620" s="334"/>
      <c r="Q3620" s="335"/>
      <c r="R3620" s="336"/>
      <c r="S3620" s="337"/>
    </row>
    <row r="3621" spans="1:19" ht="30" customHeight="1" thickBot="1" x14ac:dyDescent="0.3">
      <c r="A3621" s="1180"/>
      <c r="B3621" s="1181"/>
      <c r="C3621" s="1181"/>
      <c r="D3621" s="1181"/>
      <c r="E3621" s="1181"/>
      <c r="F3621" s="1181"/>
      <c r="G3621" s="1181"/>
      <c r="H3621" s="1181"/>
      <c r="I3621" s="1181"/>
      <c r="J3621" s="1181"/>
      <c r="K3621" s="1181"/>
      <c r="L3621" s="1182"/>
      <c r="M3621" s="54"/>
      <c r="N3621" s="54"/>
      <c r="P3621" s="334"/>
      <c r="Q3621" s="335"/>
      <c r="R3621" s="336"/>
      <c r="S3621" s="337"/>
    </row>
    <row r="3622" spans="1:19" ht="30" customHeight="1" x14ac:dyDescent="0.25">
      <c r="A3622" s="327" t="s">
        <v>5</v>
      </c>
      <c r="B3622" s="328">
        <v>7372</v>
      </c>
      <c r="C3622" s="1251" t="s">
        <v>2033</v>
      </c>
      <c r="D3622" s="1252"/>
      <c r="E3622" s="331" t="s">
        <v>8</v>
      </c>
      <c r="F3622" s="332" t="s">
        <v>205</v>
      </c>
      <c r="G3622" s="342" t="s">
        <v>74</v>
      </c>
      <c r="H3622" s="156">
        <v>7595</v>
      </c>
      <c r="I3622" s="331" t="s">
        <v>10</v>
      </c>
      <c r="J3622" s="1220" t="s">
        <v>3388</v>
      </c>
      <c r="K3622" s="1220"/>
      <c r="L3622" s="1221"/>
      <c r="M3622" s="54"/>
      <c r="N3622" s="54"/>
      <c r="O3622" s="543"/>
      <c r="P3622" s="334"/>
      <c r="Q3622" s="335"/>
      <c r="R3622" s="336"/>
      <c r="S3622" s="337"/>
    </row>
    <row r="3623" spans="1:19" ht="30" customHeight="1" x14ac:dyDescent="0.25">
      <c r="A3623" s="359" t="s">
        <v>295</v>
      </c>
      <c r="B3623" s="1163" t="s">
        <v>13</v>
      </c>
      <c r="C3623" s="1163"/>
      <c r="D3623" s="1163"/>
      <c r="E3623" s="577" t="s">
        <v>116</v>
      </c>
      <c r="F3623" s="577" t="s">
        <v>117</v>
      </c>
      <c r="G3623" s="1194" t="s">
        <v>118</v>
      </c>
      <c r="H3623" s="1195"/>
      <c r="I3623" s="356" t="s">
        <v>296</v>
      </c>
      <c r="J3623" s="356"/>
      <c r="K3623" s="1236" t="s">
        <v>285</v>
      </c>
      <c r="L3623" s="1237"/>
      <c r="M3623" s="54"/>
      <c r="N3623" s="54"/>
      <c r="P3623" s="334"/>
      <c r="Q3623" s="335"/>
      <c r="R3623" s="336"/>
      <c r="S3623" s="337"/>
    </row>
    <row r="3624" spans="1:19" ht="30" customHeight="1" x14ac:dyDescent="0.25">
      <c r="A3624" s="755" t="s">
        <v>2034</v>
      </c>
      <c r="B3624" s="1214" t="s">
        <v>2035</v>
      </c>
      <c r="C3624" s="1215"/>
      <c r="D3624" s="1216"/>
      <c r="E3624" s="247">
        <v>128</v>
      </c>
      <c r="F3624" s="396" t="s">
        <v>205</v>
      </c>
      <c r="G3624" s="689"/>
      <c r="H3624" s="690"/>
      <c r="I3624" s="365">
        <v>1.05</v>
      </c>
      <c r="J3624" s="365"/>
      <c r="K3624" s="247">
        <f>+E3624*I3624</f>
        <v>134.4</v>
      </c>
      <c r="L3624" s="365" t="s">
        <v>205</v>
      </c>
      <c r="M3624" s="54"/>
      <c r="N3624" s="54"/>
      <c r="P3624" s="334"/>
      <c r="Q3624" s="335"/>
      <c r="R3624" s="336"/>
      <c r="S3624" s="337"/>
    </row>
    <row r="3625" spans="1:19" ht="30" customHeight="1" x14ac:dyDescent="0.25">
      <c r="A3625" s="895" t="s">
        <v>456</v>
      </c>
      <c r="B3625" s="1269" t="s">
        <v>2036</v>
      </c>
      <c r="C3625" s="1269"/>
      <c r="D3625" s="1269"/>
      <c r="E3625" s="247">
        <v>4.0199999999999996</v>
      </c>
      <c r="F3625" s="365" t="s">
        <v>205</v>
      </c>
      <c r="G3625" s="365"/>
      <c r="H3625" s="365"/>
      <c r="I3625" s="365">
        <v>1.05</v>
      </c>
      <c r="J3625" s="365"/>
      <c r="K3625" s="247">
        <f>+E3625*I3625</f>
        <v>4.2210000000000001</v>
      </c>
      <c r="L3625" s="365" t="s">
        <v>205</v>
      </c>
      <c r="M3625" s="54"/>
      <c r="N3625" s="54"/>
      <c r="P3625" s="334"/>
      <c r="Q3625" s="335"/>
      <c r="R3625" s="336"/>
      <c r="S3625" s="337"/>
    </row>
    <row r="3626" spans="1:19" ht="30" customHeight="1" x14ac:dyDescent="0.25">
      <c r="A3626" s="365"/>
      <c r="B3626" s="1269"/>
      <c r="C3626" s="1269"/>
      <c r="D3626" s="1269"/>
      <c r="E3626" s="247"/>
      <c r="F3626" s="365"/>
      <c r="G3626" s="365"/>
      <c r="H3626" s="365"/>
      <c r="I3626" s="365"/>
      <c r="J3626" s="365" t="s">
        <v>343</v>
      </c>
      <c r="K3626" s="247">
        <f>SUM(K3624:K3625)</f>
        <v>138.62100000000001</v>
      </c>
      <c r="L3626" s="365" t="s">
        <v>205</v>
      </c>
      <c r="M3626" s="54"/>
      <c r="N3626" s="54"/>
      <c r="P3626" s="334"/>
      <c r="Q3626" s="335"/>
      <c r="R3626" s="336"/>
      <c r="S3626" s="337"/>
    </row>
    <row r="3627" spans="1:19" ht="30" customHeight="1" x14ac:dyDescent="0.25">
      <c r="A3627" s="365"/>
      <c r="B3627" s="578"/>
      <c r="C3627" s="578"/>
      <c r="D3627" s="578"/>
      <c r="E3627" s="247"/>
      <c r="F3627" s="1272" t="s">
        <v>303</v>
      </c>
      <c r="G3627" s="1283" t="s">
        <v>304</v>
      </c>
      <c r="H3627" s="1283"/>
      <c r="I3627" s="1283"/>
      <c r="J3627" s="1283"/>
      <c r="K3627" s="250">
        <v>1.07</v>
      </c>
      <c r="L3627" s="365"/>
      <c r="M3627" s="54"/>
      <c r="N3627" s="54"/>
      <c r="O3627" s="336"/>
      <c r="P3627" s="334"/>
      <c r="Q3627" s="335"/>
      <c r="R3627" s="336"/>
      <c r="S3627" s="337"/>
    </row>
    <row r="3628" spans="1:19" ht="30" customHeight="1" x14ac:dyDescent="0.25">
      <c r="A3628" s="365"/>
      <c r="B3628" s="578"/>
      <c r="C3628" s="578"/>
      <c r="D3628" s="578"/>
      <c r="E3628" s="247"/>
      <c r="F3628" s="1273"/>
      <c r="G3628" s="1284" t="s">
        <v>438</v>
      </c>
      <c r="H3628" s="1284"/>
      <c r="I3628" s="1284"/>
      <c r="J3628" s="1284"/>
      <c r="K3628" s="250">
        <v>1.08</v>
      </c>
      <c r="L3628" s="365"/>
      <c r="M3628" s="54"/>
      <c r="N3628" s="54"/>
      <c r="O3628" s="867"/>
      <c r="P3628" s="334"/>
      <c r="Q3628" s="335"/>
      <c r="R3628" s="336"/>
      <c r="S3628" s="337"/>
    </row>
    <row r="3629" spans="1:19" ht="30" customHeight="1" x14ac:dyDescent="0.25">
      <c r="A3629" s="365"/>
      <c r="B3629" s="365"/>
      <c r="C3629" s="366"/>
      <c r="D3629" s="366"/>
      <c r="E3629" s="366"/>
      <c r="F3629" s="366"/>
      <c r="G3629" s="366"/>
      <c r="H3629" s="366"/>
      <c r="I3629" s="366"/>
      <c r="J3629" s="365" t="s">
        <v>72</v>
      </c>
      <c r="K3629" s="246">
        <f>+K3626*K3627/K3628</f>
        <v>137.33747222222223</v>
      </c>
      <c r="L3629" s="365" t="s">
        <v>205</v>
      </c>
      <c r="M3629" s="54"/>
      <c r="O3629" s="336"/>
      <c r="P3629" s="334"/>
      <c r="Q3629" s="335"/>
      <c r="R3629" s="336"/>
      <c r="S3629" s="337"/>
    </row>
    <row r="3630" spans="1:19" ht="30" customHeight="1" x14ac:dyDescent="0.25">
      <c r="A3630" s="365"/>
      <c r="B3630" s="365"/>
      <c r="C3630" s="366"/>
      <c r="D3630" s="366"/>
      <c r="E3630" s="366"/>
      <c r="F3630" s="366"/>
      <c r="G3630" s="580" t="s">
        <v>306</v>
      </c>
      <c r="H3630" s="366"/>
      <c r="I3630" s="366"/>
      <c r="J3630" s="521">
        <f>VLOOKUP(B3622,'Mil Cost Premiums for PUCs'!$A$4:$R$277,18,FALSE)</f>
        <v>1.3319480854780448</v>
      </c>
      <c r="K3630" s="246">
        <f>+K3629*J3630</f>
        <v>182.92638319078307</v>
      </c>
      <c r="L3630" s="365" t="s">
        <v>205</v>
      </c>
      <c r="M3630" s="54"/>
      <c r="N3630" s="54"/>
      <c r="O3630" s="336"/>
      <c r="P3630" s="334"/>
      <c r="Q3630" s="335"/>
      <c r="R3630" s="336"/>
      <c r="S3630" s="337"/>
    </row>
    <row r="3631" spans="1:19" ht="30" customHeight="1" thickBot="1" x14ac:dyDescent="0.3">
      <c r="A3631" s="844"/>
      <c r="B3631" s="844"/>
      <c r="C3631" s="471"/>
      <c r="D3631" s="471"/>
      <c r="E3631" s="850"/>
      <c r="F3631" s="1278" t="s">
        <v>1148</v>
      </c>
      <c r="G3631" s="1278"/>
      <c r="H3631" s="1278"/>
      <c r="I3631" s="1278"/>
      <c r="J3631" s="845">
        <v>1.0833999999999999</v>
      </c>
      <c r="K3631" s="544">
        <f>K3630*J3631</f>
        <v>198.18244354889435</v>
      </c>
      <c r="L3631" s="369" t="s">
        <v>205</v>
      </c>
      <c r="N3631" s="60"/>
      <c r="O3631" s="1739"/>
      <c r="P3631" s="334"/>
      <c r="Q3631" s="335"/>
      <c r="R3631" s="336"/>
      <c r="S3631" s="337"/>
    </row>
    <row r="3632" spans="1:19" ht="30" customHeight="1" thickBot="1" x14ac:dyDescent="0.3">
      <c r="A3632" s="1180"/>
      <c r="B3632" s="1181"/>
      <c r="C3632" s="1181"/>
      <c r="D3632" s="1181"/>
      <c r="E3632" s="1181"/>
      <c r="F3632" s="1181"/>
      <c r="G3632" s="1181"/>
      <c r="H3632" s="1181"/>
      <c r="I3632" s="1181"/>
      <c r="J3632" s="1181"/>
      <c r="K3632" s="1181"/>
      <c r="L3632" s="1182"/>
      <c r="M3632" s="54"/>
      <c r="N3632" s="60"/>
      <c r="O3632" s="1739"/>
      <c r="P3632" s="334"/>
      <c r="Q3632" s="335"/>
      <c r="R3632" s="336"/>
      <c r="S3632" s="337"/>
    </row>
    <row r="3633" spans="1:19" ht="30" customHeight="1" x14ac:dyDescent="0.25">
      <c r="A3633" s="327" t="s">
        <v>5</v>
      </c>
      <c r="B3633" s="328">
        <v>7380</v>
      </c>
      <c r="C3633" s="1294" t="s">
        <v>2037</v>
      </c>
      <c r="D3633" s="1295"/>
      <c r="E3633" s="1122" t="s">
        <v>8</v>
      </c>
      <c r="F3633" s="332" t="s">
        <v>205</v>
      </c>
      <c r="G3633" s="1115" t="s">
        <v>74</v>
      </c>
      <c r="H3633" s="347">
        <v>6040</v>
      </c>
      <c r="I3633" s="331" t="s">
        <v>10</v>
      </c>
      <c r="J3633" s="1253" t="s">
        <v>713</v>
      </c>
      <c r="K3633" s="1254"/>
      <c r="L3633" s="1255"/>
      <c r="M3633" s="54"/>
      <c r="N3633" s="1754"/>
      <c r="O3633" s="1755"/>
      <c r="P3633" s="334"/>
      <c r="Q3633" s="335"/>
      <c r="R3633" s="336"/>
      <c r="S3633" s="337"/>
    </row>
    <row r="3634" spans="1:19" ht="30" customHeight="1" x14ac:dyDescent="0.25">
      <c r="A3634" s="356"/>
      <c r="B3634" s="1163" t="s">
        <v>13</v>
      </c>
      <c r="C3634" s="1163"/>
      <c r="D3634" s="1163"/>
      <c r="E3634" s="356" t="s">
        <v>116</v>
      </c>
      <c r="F3634" s="356" t="s">
        <v>117</v>
      </c>
      <c r="G3634" s="1194" t="s">
        <v>118</v>
      </c>
      <c r="H3634" s="1195"/>
      <c r="I3634" s="356" t="s">
        <v>119</v>
      </c>
      <c r="J3634" s="356" t="s">
        <v>120</v>
      </c>
      <c r="K3634" s="1236" t="s">
        <v>72</v>
      </c>
      <c r="L3634" s="1237"/>
      <c r="M3634" s="54"/>
      <c r="N3634" s="60"/>
      <c r="O3634" s="1739"/>
      <c r="P3634" s="334"/>
      <c r="Q3634" s="335"/>
      <c r="R3634" s="336"/>
      <c r="S3634" s="337"/>
    </row>
    <row r="3635" spans="1:19" ht="30" customHeight="1" thickBot="1" x14ac:dyDescent="0.3">
      <c r="A3635" s="360"/>
      <c r="B3635" s="1290" t="s">
        <v>716</v>
      </c>
      <c r="C3635" s="1290"/>
      <c r="D3635" s="1290"/>
      <c r="E3635" s="485"/>
      <c r="F3635" s="486"/>
      <c r="G3635" s="1183"/>
      <c r="H3635" s="1184"/>
      <c r="I3635" s="486"/>
      <c r="J3635" s="487"/>
      <c r="K3635" s="488" t="str">
        <f>B3635</f>
        <v>N/A</v>
      </c>
      <c r="L3635" s="486" t="s">
        <v>205</v>
      </c>
      <c r="M3635" s="54"/>
      <c r="N3635" s="54"/>
      <c r="O3635" s="336"/>
      <c r="P3635" s="334"/>
      <c r="Q3635" s="335"/>
      <c r="R3635" s="336"/>
      <c r="S3635" s="337"/>
    </row>
    <row r="3636" spans="1:19" ht="30" customHeight="1" thickBot="1" x14ac:dyDescent="0.3">
      <c r="A3636" s="1597"/>
      <c r="B3636" s="1598"/>
      <c r="C3636" s="1598"/>
      <c r="D3636" s="1598"/>
      <c r="E3636" s="1598"/>
      <c r="F3636" s="1598"/>
      <c r="G3636" s="1598"/>
      <c r="H3636" s="1598"/>
      <c r="I3636" s="1598"/>
      <c r="J3636" s="1598"/>
      <c r="K3636" s="1598"/>
      <c r="L3636" s="1599"/>
      <c r="M3636" s="54"/>
      <c r="N3636" s="54"/>
      <c r="O3636" s="336"/>
      <c r="P3636" s="334"/>
      <c r="Q3636" s="335"/>
      <c r="R3636" s="336"/>
      <c r="S3636" s="337"/>
    </row>
    <row r="3637" spans="1:19" ht="30" customHeight="1" x14ac:dyDescent="0.25">
      <c r="A3637" s="327" t="s">
        <v>5</v>
      </c>
      <c r="B3637" s="328">
        <v>7381</v>
      </c>
      <c r="C3637" s="1251" t="s">
        <v>2038</v>
      </c>
      <c r="D3637" s="1252"/>
      <c r="E3637" s="331" t="s">
        <v>8</v>
      </c>
      <c r="F3637" s="332" t="s">
        <v>205</v>
      </c>
      <c r="G3637" s="342" t="s">
        <v>74</v>
      </c>
      <c r="H3637" s="176">
        <v>430</v>
      </c>
      <c r="I3637" s="331" t="s">
        <v>10</v>
      </c>
      <c r="J3637" s="1220" t="s">
        <v>3388</v>
      </c>
      <c r="K3637" s="1220"/>
      <c r="L3637" s="1221"/>
      <c r="M3637" s="54"/>
      <c r="N3637" s="54"/>
      <c r="O3637" s="336"/>
      <c r="P3637" s="334"/>
      <c r="Q3637" s="335"/>
      <c r="R3637" s="336"/>
      <c r="S3637" s="337"/>
    </row>
    <row r="3638" spans="1:19" ht="30" customHeight="1" x14ac:dyDescent="0.25">
      <c r="A3638" s="359" t="s">
        <v>295</v>
      </c>
      <c r="B3638" s="1222" t="s">
        <v>326</v>
      </c>
      <c r="C3638" s="1235"/>
      <c r="D3638" s="1223"/>
      <c r="E3638" s="577" t="s">
        <v>116</v>
      </c>
      <c r="F3638" s="577" t="s">
        <v>117</v>
      </c>
      <c r="G3638" s="1194" t="s">
        <v>118</v>
      </c>
      <c r="H3638" s="1195"/>
      <c r="I3638" s="356" t="s">
        <v>296</v>
      </c>
      <c r="J3638" s="356"/>
      <c r="K3638" s="1236" t="s">
        <v>285</v>
      </c>
      <c r="L3638" s="1237"/>
      <c r="M3638" s="54"/>
      <c r="N3638" s="54"/>
      <c r="O3638" s="336"/>
      <c r="P3638" s="334"/>
      <c r="Q3638" s="335"/>
      <c r="R3638" s="336"/>
      <c r="S3638" s="337"/>
    </row>
    <row r="3639" spans="1:19" ht="30" customHeight="1" x14ac:dyDescent="0.25">
      <c r="A3639" s="755" t="s">
        <v>2039</v>
      </c>
      <c r="B3639" s="1214" t="s">
        <v>2040</v>
      </c>
      <c r="C3639" s="1215"/>
      <c r="D3639" s="1216"/>
      <c r="E3639" s="247">
        <v>81.5</v>
      </c>
      <c r="F3639" s="396" t="s">
        <v>205</v>
      </c>
      <c r="G3639" s="689"/>
      <c r="H3639" s="690"/>
      <c r="I3639" s="706">
        <v>1.06</v>
      </c>
      <c r="J3639" s="365"/>
      <c r="K3639" s="247">
        <f>+E3639*I3639</f>
        <v>86.39</v>
      </c>
      <c r="L3639" s="365" t="s">
        <v>205</v>
      </c>
      <c r="M3639" s="54"/>
      <c r="N3639" s="54"/>
      <c r="O3639" s="336"/>
      <c r="P3639" s="334"/>
      <c r="Q3639" s="335"/>
      <c r="R3639" s="336"/>
      <c r="S3639" s="337"/>
    </row>
    <row r="3640" spans="1:19" ht="30" customHeight="1" x14ac:dyDescent="0.25">
      <c r="A3640" s="365"/>
      <c r="B3640" s="578"/>
      <c r="C3640" s="578"/>
      <c r="D3640" s="578"/>
      <c r="E3640" s="247"/>
      <c r="F3640" s="1272" t="s">
        <v>303</v>
      </c>
      <c r="G3640" s="1283" t="s">
        <v>304</v>
      </c>
      <c r="H3640" s="1283"/>
      <c r="I3640" s="1283"/>
      <c r="J3640" s="1283"/>
      <c r="K3640" s="250">
        <v>1.07</v>
      </c>
      <c r="L3640" s="365"/>
      <c r="M3640" s="54"/>
      <c r="O3640" s="336"/>
      <c r="P3640" s="334"/>
      <c r="Q3640" s="335"/>
      <c r="R3640" s="336"/>
      <c r="S3640" s="337"/>
    </row>
    <row r="3641" spans="1:19" ht="30" customHeight="1" x14ac:dyDescent="0.25">
      <c r="A3641" s="365"/>
      <c r="B3641" s="578"/>
      <c r="C3641" s="578"/>
      <c r="D3641" s="578"/>
      <c r="E3641" s="247"/>
      <c r="F3641" s="1273"/>
      <c r="G3641" s="1284" t="s">
        <v>438</v>
      </c>
      <c r="H3641" s="1284"/>
      <c r="I3641" s="1284"/>
      <c r="J3641" s="1284"/>
      <c r="K3641" s="250">
        <v>1.08</v>
      </c>
      <c r="L3641" s="365"/>
      <c r="M3641" s="54"/>
      <c r="N3641" s="54"/>
      <c r="O3641" s="336"/>
      <c r="P3641" s="334"/>
      <c r="Q3641" s="335"/>
      <c r="R3641" s="336"/>
      <c r="S3641" s="337"/>
    </row>
    <row r="3642" spans="1:19" ht="30" customHeight="1" x14ac:dyDescent="0.25">
      <c r="A3642" s="365"/>
      <c r="B3642" s="365"/>
      <c r="C3642" s="366"/>
      <c r="D3642" s="366"/>
      <c r="E3642" s="366"/>
      <c r="F3642" s="366"/>
      <c r="G3642" s="366"/>
      <c r="H3642" s="366"/>
      <c r="I3642" s="366"/>
      <c r="J3642" s="365" t="s">
        <v>72</v>
      </c>
      <c r="K3642" s="246">
        <f>+K3639*K3640/K3641</f>
        <v>85.590092592592597</v>
      </c>
      <c r="L3642" s="365" t="s">
        <v>205</v>
      </c>
      <c r="M3642" s="54"/>
      <c r="N3642" s="54"/>
      <c r="O3642" s="336"/>
      <c r="P3642" s="334"/>
      <c r="Q3642" s="335"/>
      <c r="R3642" s="336"/>
      <c r="S3642" s="337"/>
    </row>
    <row r="3643" spans="1:19" ht="30" customHeight="1" x14ac:dyDescent="0.25">
      <c r="A3643" s="365"/>
      <c r="B3643" s="365"/>
      <c r="C3643" s="366"/>
      <c r="D3643" s="366"/>
      <c r="E3643" s="366"/>
      <c r="F3643" s="366"/>
      <c r="G3643" s="580" t="s">
        <v>306</v>
      </c>
      <c r="H3643" s="366"/>
      <c r="I3643" s="366"/>
      <c r="J3643" s="521">
        <f>VLOOKUP(B3637,'Mil Cost Premiums for PUCs'!$A$4:$R$277,18,FALSE)</f>
        <v>1.0209999999999999</v>
      </c>
      <c r="K3643" s="246">
        <f>+K3642*J3643</f>
        <v>87.387484537037039</v>
      </c>
      <c r="L3643" s="365" t="s">
        <v>205</v>
      </c>
      <c r="M3643" s="54"/>
      <c r="N3643" s="54"/>
      <c r="O3643" s="336"/>
      <c r="P3643" s="334"/>
      <c r="Q3643" s="335"/>
      <c r="R3643" s="336"/>
      <c r="S3643" s="337"/>
    </row>
    <row r="3644" spans="1:19" ht="30" customHeight="1" thickBot="1" x14ac:dyDescent="0.3">
      <c r="A3644" s="844"/>
      <c r="B3644" s="844"/>
      <c r="C3644" s="471"/>
      <c r="D3644" s="471"/>
      <c r="E3644" s="850"/>
      <c r="F3644" s="1278" t="s">
        <v>1148</v>
      </c>
      <c r="G3644" s="1278"/>
      <c r="H3644" s="1278"/>
      <c r="I3644" s="1278"/>
      <c r="J3644" s="845">
        <v>1.0833999999999999</v>
      </c>
      <c r="K3644" s="544">
        <f>K3643*J3644</f>
        <v>94.675600747425918</v>
      </c>
      <c r="L3644" s="369" t="s">
        <v>205</v>
      </c>
      <c r="N3644" s="54"/>
      <c r="O3644" s="336"/>
      <c r="P3644" s="334"/>
      <c r="Q3644" s="335"/>
      <c r="R3644" s="336"/>
      <c r="S3644" s="337"/>
    </row>
    <row r="3645" spans="1:19" ht="30" customHeight="1" thickBot="1" x14ac:dyDescent="0.3">
      <c r="A3645" s="1180"/>
      <c r="B3645" s="1181"/>
      <c r="C3645" s="1181"/>
      <c r="D3645" s="1181"/>
      <c r="E3645" s="1181"/>
      <c r="F3645" s="1181"/>
      <c r="G3645" s="1181"/>
      <c r="H3645" s="1181"/>
      <c r="I3645" s="1181"/>
      <c r="J3645" s="1181"/>
      <c r="K3645" s="1181"/>
      <c r="L3645" s="1182"/>
      <c r="M3645" s="54"/>
      <c r="N3645" s="54"/>
      <c r="O3645" s="336"/>
      <c r="P3645" s="334"/>
      <c r="Q3645" s="335"/>
      <c r="R3645" s="336"/>
      <c r="S3645" s="337"/>
    </row>
    <row r="3646" spans="1:19" ht="30" customHeight="1" x14ac:dyDescent="0.25">
      <c r="A3646" s="327" t="s">
        <v>5</v>
      </c>
      <c r="B3646" s="328">
        <v>7382</v>
      </c>
      <c r="C3646" s="1251" t="s">
        <v>2041</v>
      </c>
      <c r="D3646" s="1252"/>
      <c r="E3646" s="331" t="s">
        <v>8</v>
      </c>
      <c r="F3646" s="332" t="s">
        <v>205</v>
      </c>
      <c r="G3646" s="342" t="s">
        <v>74</v>
      </c>
      <c r="H3646" s="160">
        <v>3883</v>
      </c>
      <c r="I3646" s="331" t="s">
        <v>10</v>
      </c>
      <c r="J3646" s="1220" t="s">
        <v>3388</v>
      </c>
      <c r="K3646" s="1220"/>
      <c r="L3646" s="1221"/>
      <c r="M3646" s="54"/>
      <c r="N3646" s="54"/>
      <c r="O3646" s="336"/>
      <c r="P3646" s="334"/>
      <c r="Q3646" s="335"/>
      <c r="R3646" s="336"/>
      <c r="S3646" s="337"/>
    </row>
    <row r="3647" spans="1:19" ht="30" customHeight="1" x14ac:dyDescent="0.25">
      <c r="A3647" s="359" t="s">
        <v>295</v>
      </c>
      <c r="B3647" s="1222" t="s">
        <v>326</v>
      </c>
      <c r="C3647" s="1235"/>
      <c r="D3647" s="1223"/>
      <c r="E3647" s="577" t="s">
        <v>116</v>
      </c>
      <c r="F3647" s="577" t="s">
        <v>117</v>
      </c>
      <c r="G3647" s="1194" t="s">
        <v>118</v>
      </c>
      <c r="H3647" s="1195"/>
      <c r="I3647" s="356" t="s">
        <v>296</v>
      </c>
      <c r="J3647" s="356"/>
      <c r="K3647" s="1236" t="s">
        <v>285</v>
      </c>
      <c r="L3647" s="1237"/>
      <c r="M3647" s="54"/>
      <c r="N3647" s="54"/>
      <c r="O3647" s="336"/>
      <c r="P3647" s="334"/>
      <c r="Q3647" s="335"/>
      <c r="R3647" s="336"/>
      <c r="S3647" s="337"/>
    </row>
    <row r="3648" spans="1:19" ht="30" customHeight="1" x14ac:dyDescent="0.25">
      <c r="A3648" s="755" t="s">
        <v>647</v>
      </c>
      <c r="B3648" s="1214" t="s">
        <v>1852</v>
      </c>
      <c r="C3648" s="1215"/>
      <c r="D3648" s="1216"/>
      <c r="E3648" s="247">
        <v>143</v>
      </c>
      <c r="F3648" s="396" t="s">
        <v>205</v>
      </c>
      <c r="G3648" s="689"/>
      <c r="H3648" s="690"/>
      <c r="I3648" s="365">
        <v>1.04</v>
      </c>
      <c r="J3648" s="365"/>
      <c r="K3648" s="247">
        <f>+E3648*I3648</f>
        <v>148.72</v>
      </c>
      <c r="L3648" s="365" t="s">
        <v>205</v>
      </c>
      <c r="M3648" s="111"/>
      <c r="N3648" s="54"/>
      <c r="O3648" s="336"/>
      <c r="P3648" s="334"/>
      <c r="Q3648" s="335"/>
      <c r="R3648" s="336"/>
      <c r="S3648" s="337"/>
    </row>
    <row r="3649" spans="1:19" ht="30" customHeight="1" x14ac:dyDescent="0.25">
      <c r="A3649" s="365" t="s">
        <v>649</v>
      </c>
      <c r="B3649" s="1269" t="s">
        <v>2042</v>
      </c>
      <c r="C3649" s="1269"/>
      <c r="D3649" s="1269"/>
      <c r="E3649" s="247">
        <v>4.4800000000000004</v>
      </c>
      <c r="F3649" s="365" t="s">
        <v>205</v>
      </c>
      <c r="G3649" s="365"/>
      <c r="H3649" s="365"/>
      <c r="I3649" s="365">
        <v>1.04</v>
      </c>
      <c r="J3649" s="365"/>
      <c r="K3649" s="247">
        <f>+E3649*I3649</f>
        <v>4.6592000000000002</v>
      </c>
      <c r="L3649" s="365" t="s">
        <v>205</v>
      </c>
      <c r="M3649" s="54"/>
      <c r="N3649" s="54"/>
      <c r="O3649" s="336"/>
      <c r="P3649" s="334"/>
      <c r="Q3649" s="335"/>
      <c r="R3649" s="336"/>
      <c r="S3649" s="337"/>
    </row>
    <row r="3650" spans="1:19" ht="30" customHeight="1" x14ac:dyDescent="0.25">
      <c r="A3650" s="365"/>
      <c r="B3650" s="365"/>
      <c r="C3650" s="366"/>
      <c r="D3650" s="366"/>
      <c r="E3650" s="366"/>
      <c r="F3650" s="366"/>
      <c r="G3650" s="366"/>
      <c r="H3650" s="366"/>
      <c r="I3650" s="366"/>
      <c r="J3650" s="365" t="s">
        <v>343</v>
      </c>
      <c r="K3650" s="246">
        <f>SUM(K3648:K3649)</f>
        <v>153.3792</v>
      </c>
      <c r="L3650" s="365" t="s">
        <v>205</v>
      </c>
      <c r="M3650" s="54"/>
      <c r="N3650" s="54"/>
      <c r="O3650" s="336"/>
      <c r="P3650" s="334"/>
      <c r="Q3650" s="335"/>
      <c r="R3650" s="336"/>
      <c r="S3650" s="337"/>
    </row>
    <row r="3651" spans="1:19" ht="30" customHeight="1" x14ac:dyDescent="0.25">
      <c r="A3651" s="365"/>
      <c r="B3651" s="578"/>
      <c r="C3651" s="578"/>
      <c r="D3651" s="578"/>
      <c r="E3651" s="247"/>
      <c r="F3651" s="1272" t="s">
        <v>303</v>
      </c>
      <c r="G3651" s="1283" t="s">
        <v>304</v>
      </c>
      <c r="H3651" s="1283"/>
      <c r="I3651" s="1283"/>
      <c r="J3651" s="1283"/>
      <c r="K3651" s="250">
        <v>1.07</v>
      </c>
      <c r="L3651" s="365"/>
      <c r="M3651" s="54"/>
      <c r="N3651" s="54"/>
      <c r="O3651" s="336"/>
      <c r="P3651" s="334"/>
      <c r="Q3651" s="335"/>
      <c r="R3651" s="336"/>
      <c r="S3651" s="337"/>
    </row>
    <row r="3652" spans="1:19" ht="30" customHeight="1" x14ac:dyDescent="0.25">
      <c r="A3652" s="365"/>
      <c r="B3652" s="578"/>
      <c r="C3652" s="578"/>
      <c r="D3652" s="578"/>
      <c r="E3652" s="247"/>
      <c r="F3652" s="1273"/>
      <c r="G3652" s="1284" t="s">
        <v>438</v>
      </c>
      <c r="H3652" s="1284"/>
      <c r="I3652" s="1284"/>
      <c r="J3652" s="1284"/>
      <c r="K3652" s="250">
        <v>1.08</v>
      </c>
      <c r="L3652" s="365"/>
      <c r="M3652" s="54"/>
      <c r="N3652" s="54"/>
      <c r="O3652" s="336"/>
      <c r="P3652" s="334"/>
      <c r="Q3652" s="335"/>
      <c r="R3652" s="336"/>
      <c r="S3652" s="337"/>
    </row>
    <row r="3653" spans="1:19" ht="30" customHeight="1" x14ac:dyDescent="0.25">
      <c r="A3653" s="365"/>
      <c r="B3653" s="578"/>
      <c r="C3653" s="578"/>
      <c r="D3653" s="578"/>
      <c r="E3653" s="247"/>
      <c r="F3653" s="532"/>
      <c r="G3653" s="579"/>
      <c r="H3653" s="579"/>
      <c r="I3653" s="579"/>
      <c r="J3653" s="365" t="s">
        <v>72</v>
      </c>
      <c r="K3653" s="244">
        <f>+K3650*K3651/K3652</f>
        <v>151.95902222222222</v>
      </c>
      <c r="L3653" s="365" t="s">
        <v>205</v>
      </c>
      <c r="M3653" s="54"/>
      <c r="N3653" s="54"/>
      <c r="O3653" s="336"/>
      <c r="P3653" s="334"/>
      <c r="Q3653" s="335"/>
      <c r="R3653" s="336"/>
      <c r="S3653" s="337"/>
    </row>
    <row r="3654" spans="1:19" ht="30" customHeight="1" x14ac:dyDescent="0.25">
      <c r="A3654" s="365"/>
      <c r="B3654" s="365"/>
      <c r="C3654" s="366"/>
      <c r="D3654" s="366"/>
      <c r="E3654" s="366"/>
      <c r="F3654" s="366"/>
      <c r="G3654" s="580" t="s">
        <v>306</v>
      </c>
      <c r="H3654" s="366"/>
      <c r="I3654" s="366"/>
      <c r="J3654" s="521">
        <f>VLOOKUP(B3646,'Mil Cost Premiums for PUCs'!$A$4:$R$277,18,FALSE)</f>
        <v>1.0209999999999999</v>
      </c>
      <c r="K3654" s="246">
        <f>+K3653*J3654</f>
        <v>155.15016168888886</v>
      </c>
      <c r="L3654" s="365" t="s">
        <v>205</v>
      </c>
      <c r="M3654" s="54"/>
      <c r="N3654" s="54"/>
      <c r="O3654" s="336"/>
      <c r="P3654" s="334"/>
      <c r="Q3654" s="335"/>
      <c r="R3654" s="336"/>
      <c r="S3654" s="337"/>
    </row>
    <row r="3655" spans="1:19" ht="30" customHeight="1" thickBot="1" x14ac:dyDescent="0.3">
      <c r="A3655" s="844"/>
      <c r="B3655" s="844"/>
      <c r="C3655" s="471"/>
      <c r="D3655" s="471"/>
      <c r="E3655" s="850"/>
      <c r="F3655" s="1278" t="s">
        <v>1148</v>
      </c>
      <c r="G3655" s="1278"/>
      <c r="H3655" s="1278"/>
      <c r="I3655" s="1278"/>
      <c r="J3655" s="845">
        <v>1.0833999999999999</v>
      </c>
      <c r="K3655" s="544">
        <f>K3654*J3655</f>
        <v>168.08968517374217</v>
      </c>
      <c r="L3655" s="369" t="s">
        <v>205</v>
      </c>
      <c r="N3655" s="111"/>
      <c r="O3655" s="336"/>
      <c r="P3655" s="334"/>
      <c r="Q3655" s="335"/>
      <c r="R3655" s="336"/>
      <c r="S3655" s="337"/>
    </row>
    <row r="3656" spans="1:19" ht="30" customHeight="1" thickBot="1" x14ac:dyDescent="0.3">
      <c r="A3656" s="1180"/>
      <c r="B3656" s="1181"/>
      <c r="C3656" s="1181"/>
      <c r="D3656" s="1181"/>
      <c r="E3656" s="1181"/>
      <c r="F3656" s="1181"/>
      <c r="G3656" s="1181"/>
      <c r="H3656" s="1181"/>
      <c r="I3656" s="1181"/>
      <c r="J3656" s="1181"/>
      <c r="K3656" s="1181"/>
      <c r="L3656" s="1182"/>
      <c r="M3656" s="54"/>
      <c r="N3656" s="54"/>
      <c r="O3656" s="336"/>
      <c r="P3656" s="334"/>
      <c r="Q3656" s="335"/>
      <c r="R3656" s="336"/>
      <c r="S3656" s="337"/>
    </row>
    <row r="3657" spans="1:19" ht="30" customHeight="1" x14ac:dyDescent="0.25">
      <c r="A3657" s="327" t="s">
        <v>5</v>
      </c>
      <c r="B3657" s="328">
        <v>7383</v>
      </c>
      <c r="C3657" s="1218" t="s">
        <v>2043</v>
      </c>
      <c r="D3657" s="1219"/>
      <c r="E3657" s="331" t="s">
        <v>8</v>
      </c>
      <c r="F3657" s="332" t="s">
        <v>205</v>
      </c>
      <c r="G3657" s="342" t="s">
        <v>74</v>
      </c>
      <c r="H3657" s="176">
        <v>2490</v>
      </c>
      <c r="I3657" s="331" t="s">
        <v>10</v>
      </c>
      <c r="J3657" s="1220" t="s">
        <v>1753</v>
      </c>
      <c r="K3657" s="1220"/>
      <c r="L3657" s="1221"/>
      <c r="M3657" s="111"/>
      <c r="O3657" s="336"/>
      <c r="P3657" s="334"/>
      <c r="Q3657" s="335"/>
      <c r="R3657" s="336"/>
      <c r="S3657" s="337"/>
    </row>
    <row r="3658" spans="1:19" ht="30" customHeight="1" x14ac:dyDescent="0.25">
      <c r="A3658" s="356" t="s">
        <v>282</v>
      </c>
      <c r="B3658" s="1163" t="s">
        <v>13</v>
      </c>
      <c r="C3658" s="1163"/>
      <c r="D3658" s="1163"/>
      <c r="E3658" s="357" t="s">
        <v>283</v>
      </c>
      <c r="F3658" s="546" t="s">
        <v>116</v>
      </c>
      <c r="G3658" s="907"/>
      <c r="I3658" s="1276" t="s">
        <v>284</v>
      </c>
      <c r="J3658" s="1277"/>
      <c r="K3658" s="1236" t="s">
        <v>285</v>
      </c>
      <c r="L3658" s="1237"/>
      <c r="M3658" s="54"/>
      <c r="N3658" s="54"/>
      <c r="O3658" s="336"/>
      <c r="P3658" s="334"/>
      <c r="Q3658" s="335"/>
      <c r="R3658" s="336"/>
      <c r="S3658" s="337"/>
    </row>
    <row r="3659" spans="1:19" ht="30" customHeight="1" x14ac:dyDescent="0.25">
      <c r="A3659" s="367">
        <v>62010</v>
      </c>
      <c r="B3659" s="1164" t="s">
        <v>1754</v>
      </c>
      <c r="C3659" s="1164"/>
      <c r="D3659" s="1164"/>
      <c r="E3659" s="547">
        <v>6000</v>
      </c>
      <c r="F3659" s="240">
        <v>235</v>
      </c>
      <c r="G3659" s="367"/>
      <c r="H3659" s="853"/>
      <c r="I3659" s="1416">
        <f>+'2022 MILCON Inflation Table'!F8</f>
        <v>1.4916874213561331</v>
      </c>
      <c r="J3659" s="1417"/>
      <c r="K3659" s="242">
        <f>+F3659*I3659</f>
        <v>350.54654401869129</v>
      </c>
      <c r="L3659" s="367" t="s">
        <v>205</v>
      </c>
      <c r="M3659" s="54"/>
      <c r="N3659" s="54"/>
      <c r="O3659" s="336"/>
      <c r="P3659" s="334"/>
      <c r="Q3659" s="335"/>
      <c r="R3659" s="336"/>
      <c r="S3659" s="337"/>
    </row>
    <row r="3660" spans="1:19" ht="30" customHeight="1" thickBot="1" x14ac:dyDescent="0.3">
      <c r="A3660" s="365"/>
      <c r="B3660" s="1281"/>
      <c r="C3660" s="1281"/>
      <c r="D3660" s="1281"/>
      <c r="E3660" s="550"/>
      <c r="F3660" s="551"/>
      <c r="G3660" s="551"/>
      <c r="H3660" s="552"/>
      <c r="I3660" s="366"/>
      <c r="J3660" s="359" t="s">
        <v>72</v>
      </c>
      <c r="K3660" s="243">
        <f>+K3659</f>
        <v>350.54654401869129</v>
      </c>
      <c r="L3660" s="365" t="s">
        <v>205</v>
      </c>
      <c r="M3660" s="54"/>
      <c r="N3660" s="54"/>
      <c r="O3660" s="336"/>
      <c r="P3660" s="334"/>
      <c r="Q3660" s="335"/>
      <c r="R3660" s="336"/>
      <c r="S3660" s="337"/>
    </row>
    <row r="3661" spans="1:19" ht="30" customHeight="1" thickBot="1" x14ac:dyDescent="0.3">
      <c r="A3661" s="1180"/>
      <c r="B3661" s="1181"/>
      <c r="C3661" s="1181"/>
      <c r="D3661" s="1181"/>
      <c r="E3661" s="1181"/>
      <c r="F3661" s="1181"/>
      <c r="G3661" s="1181"/>
      <c r="H3661" s="1181"/>
      <c r="I3661" s="1181"/>
      <c r="J3661" s="1181"/>
      <c r="K3661" s="1181"/>
      <c r="L3661" s="1182"/>
      <c r="M3661" s="54"/>
      <c r="N3661" s="54"/>
      <c r="O3661" s="867"/>
      <c r="P3661" s="334"/>
      <c r="Q3661" s="335"/>
      <c r="R3661" s="336"/>
      <c r="S3661" s="337"/>
    </row>
    <row r="3662" spans="1:19" ht="30" customHeight="1" x14ac:dyDescent="0.25">
      <c r="A3662" s="327" t="s">
        <v>5</v>
      </c>
      <c r="B3662" s="328">
        <v>7384</v>
      </c>
      <c r="C3662" s="1251" t="s">
        <v>2044</v>
      </c>
      <c r="D3662" s="1252"/>
      <c r="E3662" s="331" t="s">
        <v>8</v>
      </c>
      <c r="F3662" s="332" t="s">
        <v>205</v>
      </c>
      <c r="G3662" s="342" t="s">
        <v>74</v>
      </c>
      <c r="H3662" s="156">
        <v>335</v>
      </c>
      <c r="I3662" s="331" t="s">
        <v>10</v>
      </c>
      <c r="J3662" s="1220" t="s">
        <v>3388</v>
      </c>
      <c r="K3662" s="1220"/>
      <c r="L3662" s="1221"/>
      <c r="M3662" s="54"/>
      <c r="N3662" s="54"/>
      <c r="O3662" s="336"/>
      <c r="P3662" s="334"/>
      <c r="Q3662" s="335"/>
      <c r="R3662" s="336"/>
      <c r="S3662" s="337"/>
    </row>
    <row r="3663" spans="1:19" ht="30" customHeight="1" x14ac:dyDescent="0.25">
      <c r="A3663" s="359" t="s">
        <v>295</v>
      </c>
      <c r="B3663" s="1222" t="s">
        <v>326</v>
      </c>
      <c r="C3663" s="1235"/>
      <c r="D3663" s="1223"/>
      <c r="E3663" s="577" t="s">
        <v>116</v>
      </c>
      <c r="F3663" s="577" t="s">
        <v>117</v>
      </c>
      <c r="G3663" s="1194" t="s">
        <v>118</v>
      </c>
      <c r="H3663" s="1195"/>
      <c r="I3663" s="356" t="s">
        <v>296</v>
      </c>
      <c r="J3663" s="356"/>
      <c r="K3663" s="581" t="s">
        <v>285</v>
      </c>
      <c r="L3663" s="382"/>
      <c r="M3663" s="54"/>
      <c r="N3663" s="54"/>
      <c r="O3663" s="336"/>
      <c r="P3663" s="334"/>
      <c r="Q3663" s="335"/>
      <c r="R3663" s="336"/>
      <c r="S3663" s="337"/>
    </row>
    <row r="3664" spans="1:19" ht="30" customHeight="1" x14ac:dyDescent="0.25">
      <c r="A3664" s="755" t="s">
        <v>684</v>
      </c>
      <c r="B3664" s="1214" t="s">
        <v>2045</v>
      </c>
      <c r="C3664" s="1215"/>
      <c r="D3664" s="1216"/>
      <c r="E3664" s="247">
        <f>+(18.6+47)/2</f>
        <v>32.799999999999997</v>
      </c>
      <c r="F3664" s="396" t="s">
        <v>205</v>
      </c>
      <c r="G3664" s="365"/>
      <c r="H3664" s="365"/>
      <c r="I3664" s="365">
        <v>1.02</v>
      </c>
      <c r="J3664" s="365"/>
      <c r="K3664" s="247">
        <f>+E3664*I3664</f>
        <v>33.455999999999996</v>
      </c>
      <c r="L3664" s="365" t="s">
        <v>205</v>
      </c>
      <c r="M3664" s="54"/>
      <c r="N3664" s="54"/>
      <c r="O3664" s="336"/>
      <c r="P3664" s="334"/>
      <c r="Q3664" s="335"/>
      <c r="R3664" s="336"/>
      <c r="S3664" s="337"/>
    </row>
    <row r="3665" spans="1:19" ht="30" customHeight="1" x14ac:dyDescent="0.25">
      <c r="A3665" s="755" t="s">
        <v>684</v>
      </c>
      <c r="B3665" s="1209" t="s">
        <v>2046</v>
      </c>
      <c r="C3665" s="1210"/>
      <c r="D3665" s="1211"/>
      <c r="E3665" s="247">
        <f>+(92+253)/2</f>
        <v>172.5</v>
      </c>
      <c r="F3665" s="396" t="s">
        <v>76</v>
      </c>
      <c r="G3665" s="955">
        <f>1/H3662</f>
        <v>2.9850746268656717E-3</v>
      </c>
      <c r="H3665" s="365" t="s">
        <v>693</v>
      </c>
      <c r="I3665" s="365">
        <v>1.02</v>
      </c>
      <c r="J3665" s="365">
        <v>2</v>
      </c>
      <c r="K3665" s="247">
        <f>E3665*G3665*I3665*J3665</f>
        <v>1.0504477611940299</v>
      </c>
      <c r="L3665" s="365" t="s">
        <v>205</v>
      </c>
      <c r="M3665" s="54"/>
      <c r="N3665" s="54"/>
      <c r="O3665" s="336"/>
      <c r="P3665" s="334"/>
      <c r="Q3665" s="335"/>
      <c r="R3665" s="336"/>
      <c r="S3665" s="337"/>
    </row>
    <row r="3666" spans="1:19" ht="30" customHeight="1" x14ac:dyDescent="0.25">
      <c r="A3666" s="927" t="s">
        <v>1953</v>
      </c>
      <c r="B3666" s="1269" t="s">
        <v>2047</v>
      </c>
      <c r="C3666" s="1269"/>
      <c r="D3666" s="1269"/>
      <c r="E3666" s="247">
        <v>71.5</v>
      </c>
      <c r="F3666" s="365" t="s">
        <v>205</v>
      </c>
      <c r="G3666" s="365"/>
      <c r="H3666" s="365"/>
      <c r="I3666" s="365">
        <v>1.02</v>
      </c>
      <c r="J3666" s="365"/>
      <c r="K3666" s="247">
        <f>+E3666*I3666</f>
        <v>72.930000000000007</v>
      </c>
      <c r="L3666" s="365" t="s">
        <v>205</v>
      </c>
      <c r="M3666" s="54"/>
      <c r="N3666" s="54"/>
      <c r="O3666" s="336"/>
      <c r="P3666" s="334"/>
      <c r="Q3666" s="335"/>
      <c r="R3666" s="336"/>
      <c r="S3666" s="337"/>
    </row>
    <row r="3667" spans="1:19" ht="30" customHeight="1" x14ac:dyDescent="0.25">
      <c r="A3667" s="927"/>
      <c r="B3667" s="578"/>
      <c r="C3667" s="578"/>
      <c r="D3667" s="578"/>
      <c r="E3667" s="247"/>
      <c r="F3667" s="365"/>
      <c r="G3667" s="365"/>
      <c r="H3667" s="365"/>
      <c r="I3667" s="365"/>
      <c r="J3667" s="486" t="s">
        <v>2048</v>
      </c>
      <c r="K3667" s="247">
        <f>((K3664+K3665)+K3666)/2</f>
        <v>53.718223880597016</v>
      </c>
      <c r="L3667" s="365" t="s">
        <v>205</v>
      </c>
      <c r="M3667" s="54"/>
      <c r="N3667" s="54"/>
      <c r="O3667" s="336"/>
      <c r="P3667" s="334"/>
      <c r="Q3667" s="335"/>
      <c r="R3667" s="336"/>
      <c r="S3667" s="337"/>
    </row>
    <row r="3668" spans="1:19" ht="30" customHeight="1" x14ac:dyDescent="0.25">
      <c r="A3668" s="365"/>
      <c r="B3668" s="578"/>
      <c r="C3668" s="578"/>
      <c r="D3668" s="578"/>
      <c r="E3668" s="247"/>
      <c r="F3668" s="1272" t="s">
        <v>303</v>
      </c>
      <c r="G3668" s="1283" t="s">
        <v>304</v>
      </c>
      <c r="H3668" s="1283"/>
      <c r="I3668" s="1283"/>
      <c r="J3668" s="1283"/>
      <c r="K3668" s="250">
        <v>1.07</v>
      </c>
      <c r="L3668" s="365"/>
      <c r="M3668" s="54"/>
      <c r="O3668" s="336"/>
      <c r="P3668" s="334"/>
      <c r="Q3668" s="335"/>
      <c r="R3668" s="336"/>
      <c r="S3668" s="337"/>
    </row>
    <row r="3669" spans="1:19" ht="30" customHeight="1" x14ac:dyDescent="0.25">
      <c r="A3669" s="365"/>
      <c r="B3669" s="578"/>
      <c r="C3669" s="578"/>
      <c r="D3669" s="578"/>
      <c r="E3669" s="247"/>
      <c r="F3669" s="1273"/>
      <c r="G3669" s="1284" t="s">
        <v>438</v>
      </c>
      <c r="H3669" s="1284"/>
      <c r="I3669" s="1284"/>
      <c r="J3669" s="1284"/>
      <c r="K3669" s="250">
        <v>1.08</v>
      </c>
      <c r="L3669" s="365"/>
      <c r="M3669" s="54"/>
      <c r="N3669" s="54"/>
      <c r="O3669" s="336"/>
      <c r="P3669" s="334"/>
      <c r="Q3669" s="335"/>
      <c r="R3669" s="336"/>
      <c r="S3669" s="337"/>
    </row>
    <row r="3670" spans="1:19" ht="30" customHeight="1" x14ac:dyDescent="0.25">
      <c r="A3670" s="365"/>
      <c r="B3670" s="365"/>
      <c r="C3670" s="366"/>
      <c r="D3670" s="366"/>
      <c r="E3670" s="366"/>
      <c r="F3670" s="366"/>
      <c r="G3670" s="366"/>
      <c r="H3670" s="366"/>
      <c r="I3670" s="366"/>
      <c r="J3670" s="366" t="s">
        <v>72</v>
      </c>
      <c r="K3670" s="246">
        <f>+K3667*K3668/K3669</f>
        <v>53.220832918739632</v>
      </c>
      <c r="L3670" s="365" t="s">
        <v>205</v>
      </c>
      <c r="M3670" s="111"/>
      <c r="N3670" s="54"/>
      <c r="O3670" s="336"/>
      <c r="P3670" s="334"/>
      <c r="Q3670" s="335"/>
      <c r="R3670" s="336"/>
      <c r="S3670" s="337"/>
    </row>
    <row r="3671" spans="1:19" ht="30" customHeight="1" x14ac:dyDescent="0.25">
      <c r="A3671" s="365"/>
      <c r="B3671" s="365"/>
      <c r="C3671" s="366"/>
      <c r="D3671" s="366"/>
      <c r="E3671" s="366"/>
      <c r="F3671" s="366"/>
      <c r="G3671" s="580" t="s">
        <v>306</v>
      </c>
      <c r="H3671" s="366"/>
      <c r="I3671" s="366"/>
      <c r="J3671" s="521">
        <f>VLOOKUP(B3662,'Mil Cost Premiums for PUCs'!$A$4:$R$277,18,FALSE)</f>
        <v>1.0209999999999999</v>
      </c>
      <c r="K3671" s="246">
        <f>+K3670*J3671</f>
        <v>54.33847041003316</v>
      </c>
      <c r="L3671" s="365" t="s">
        <v>205</v>
      </c>
      <c r="M3671" s="54"/>
      <c r="N3671" s="54"/>
      <c r="O3671" s="336"/>
      <c r="P3671" s="334"/>
      <c r="Q3671" s="335"/>
      <c r="R3671" s="336"/>
      <c r="S3671" s="337"/>
    </row>
    <row r="3672" spans="1:19" ht="30" customHeight="1" thickBot="1" x14ac:dyDescent="0.3">
      <c r="A3672" s="844"/>
      <c r="B3672" s="844"/>
      <c r="C3672" s="471"/>
      <c r="D3672" s="471"/>
      <c r="E3672" s="850"/>
      <c r="F3672" s="1278" t="s">
        <v>1148</v>
      </c>
      <c r="G3672" s="1278"/>
      <c r="H3672" s="1278"/>
      <c r="I3672" s="1278"/>
      <c r="J3672" s="845">
        <v>1.0833999999999999</v>
      </c>
      <c r="K3672" s="544">
        <f>K3671*J3672</f>
        <v>58.870298842229921</v>
      </c>
      <c r="L3672" s="369" t="s">
        <v>205</v>
      </c>
      <c r="N3672" s="54"/>
      <c r="O3672" s="336"/>
      <c r="P3672" s="334"/>
      <c r="Q3672" s="335"/>
      <c r="R3672" s="336"/>
      <c r="S3672" s="337"/>
    </row>
    <row r="3673" spans="1:19" ht="30" customHeight="1" thickBot="1" x14ac:dyDescent="0.3">
      <c r="A3673" s="1180"/>
      <c r="B3673" s="1181"/>
      <c r="C3673" s="1181"/>
      <c r="D3673" s="1181"/>
      <c r="E3673" s="1181"/>
      <c r="F3673" s="1181"/>
      <c r="G3673" s="1181"/>
      <c r="H3673" s="1181"/>
      <c r="I3673" s="1181"/>
      <c r="J3673" s="1181"/>
      <c r="K3673" s="1181"/>
      <c r="L3673" s="1182"/>
      <c r="M3673" s="54"/>
      <c r="N3673" s="54"/>
      <c r="O3673" s="336"/>
      <c r="P3673" s="334"/>
      <c r="Q3673" s="335"/>
      <c r="R3673" s="336"/>
      <c r="S3673" s="337"/>
    </row>
    <row r="3674" spans="1:19" ht="30" customHeight="1" x14ac:dyDescent="0.25">
      <c r="A3674" s="327" t="s">
        <v>5</v>
      </c>
      <c r="B3674" s="328">
        <v>7385</v>
      </c>
      <c r="C3674" s="1251" t="s">
        <v>2049</v>
      </c>
      <c r="D3674" s="1252"/>
      <c r="E3674" s="331" t="s">
        <v>8</v>
      </c>
      <c r="F3674" s="332" t="s">
        <v>205</v>
      </c>
      <c r="G3674" s="342" t="s">
        <v>74</v>
      </c>
      <c r="H3674" s="156">
        <v>671</v>
      </c>
      <c r="I3674" s="331" t="s">
        <v>10</v>
      </c>
      <c r="J3674" s="1220" t="s">
        <v>3388</v>
      </c>
      <c r="K3674" s="1220"/>
      <c r="L3674" s="1221"/>
      <c r="M3674" s="54"/>
      <c r="N3674" s="54"/>
      <c r="O3674" s="336"/>
      <c r="P3674" s="334"/>
      <c r="Q3674" s="335"/>
      <c r="R3674" s="336"/>
      <c r="S3674" s="337"/>
    </row>
    <row r="3675" spans="1:19" ht="30" customHeight="1" x14ac:dyDescent="0.25">
      <c r="A3675" s="359" t="s">
        <v>295</v>
      </c>
      <c r="B3675" s="1222" t="s">
        <v>326</v>
      </c>
      <c r="C3675" s="1235"/>
      <c r="D3675" s="1223"/>
      <c r="E3675" s="577" t="s">
        <v>116</v>
      </c>
      <c r="F3675" s="577" t="s">
        <v>117</v>
      </c>
      <c r="G3675" s="1194" t="s">
        <v>118</v>
      </c>
      <c r="H3675" s="1195"/>
      <c r="I3675" s="356" t="s">
        <v>296</v>
      </c>
      <c r="J3675" s="356"/>
      <c r="K3675" s="581" t="s">
        <v>285</v>
      </c>
      <c r="L3675" s="382"/>
      <c r="M3675" s="54"/>
      <c r="N3675" s="54"/>
      <c r="O3675" s="384"/>
      <c r="P3675" s="334"/>
      <c r="Q3675" s="335"/>
      <c r="R3675" s="336"/>
      <c r="S3675" s="337"/>
    </row>
    <row r="3676" spans="1:19" ht="30" customHeight="1" x14ac:dyDescent="0.25">
      <c r="A3676" s="755" t="s">
        <v>2050</v>
      </c>
      <c r="B3676" s="1214" t="s">
        <v>2051</v>
      </c>
      <c r="C3676" s="1215"/>
      <c r="D3676" s="1216"/>
      <c r="E3676" s="247">
        <v>157</v>
      </c>
      <c r="F3676" s="396" t="s">
        <v>205</v>
      </c>
      <c r="G3676" s="956"/>
      <c r="H3676" s="957"/>
      <c r="I3676" s="365">
        <v>1.04</v>
      </c>
      <c r="J3676" s="365"/>
      <c r="K3676" s="247">
        <f>+E3676*I3676</f>
        <v>163.28</v>
      </c>
      <c r="L3676" s="365" t="s">
        <v>205</v>
      </c>
      <c r="M3676" s="54"/>
      <c r="N3676" s="54"/>
      <c r="O3676" s="336"/>
      <c r="P3676" s="334"/>
      <c r="Q3676" s="335"/>
      <c r="R3676" s="336"/>
      <c r="S3676" s="337"/>
    </row>
    <row r="3677" spans="1:19" ht="30" customHeight="1" x14ac:dyDescent="0.25">
      <c r="A3677" s="365" t="s">
        <v>649</v>
      </c>
      <c r="B3677" s="1269" t="s">
        <v>2052</v>
      </c>
      <c r="C3677" s="1269"/>
      <c r="D3677" s="1269"/>
      <c r="E3677" s="247">
        <v>4.84</v>
      </c>
      <c r="F3677" s="365" t="s">
        <v>205</v>
      </c>
      <c r="G3677" s="365"/>
      <c r="H3677" s="365"/>
      <c r="I3677" s="365">
        <v>1.04</v>
      </c>
      <c r="J3677" s="365"/>
      <c r="K3677" s="247">
        <f>+E3677*I3677</f>
        <v>5.0335999999999999</v>
      </c>
      <c r="L3677" s="365" t="s">
        <v>205</v>
      </c>
      <c r="M3677" s="54"/>
      <c r="N3677" s="54"/>
      <c r="O3677" s="336"/>
      <c r="P3677" s="334"/>
      <c r="Q3677" s="335"/>
      <c r="R3677" s="336"/>
      <c r="S3677" s="337"/>
    </row>
    <row r="3678" spans="1:19" ht="30" customHeight="1" x14ac:dyDescent="0.25">
      <c r="A3678" s="365"/>
      <c r="B3678" s="365"/>
      <c r="C3678" s="366"/>
      <c r="D3678" s="366"/>
      <c r="E3678" s="366"/>
      <c r="F3678" s="366"/>
      <c r="G3678" s="366"/>
      <c r="H3678" s="366"/>
      <c r="I3678" s="366"/>
      <c r="J3678" s="365" t="s">
        <v>343</v>
      </c>
      <c r="K3678" s="246">
        <f>SUM(K3676:K3677)</f>
        <v>168.31360000000001</v>
      </c>
      <c r="L3678" s="365" t="s">
        <v>205</v>
      </c>
      <c r="M3678" s="54"/>
      <c r="N3678" s="54"/>
      <c r="O3678" s="336"/>
      <c r="P3678" s="334"/>
      <c r="Q3678" s="335"/>
      <c r="R3678" s="336"/>
      <c r="S3678" s="337"/>
    </row>
    <row r="3679" spans="1:19" ht="30" customHeight="1" x14ac:dyDescent="0.25">
      <c r="A3679" s="365"/>
      <c r="B3679" s="578"/>
      <c r="C3679" s="578"/>
      <c r="D3679" s="578"/>
      <c r="E3679" s="247"/>
      <c r="F3679" s="1272" t="s">
        <v>303</v>
      </c>
      <c r="G3679" s="1283" t="s">
        <v>304</v>
      </c>
      <c r="H3679" s="1283"/>
      <c r="I3679" s="1283"/>
      <c r="J3679" s="1283"/>
      <c r="K3679" s="250">
        <v>1.07</v>
      </c>
      <c r="L3679" s="365"/>
      <c r="M3679" s="54"/>
      <c r="O3679" s="336"/>
      <c r="P3679" s="334"/>
      <c r="Q3679" s="335"/>
      <c r="R3679" s="336"/>
      <c r="S3679" s="337"/>
    </row>
    <row r="3680" spans="1:19" ht="30" customHeight="1" x14ac:dyDescent="0.25">
      <c r="A3680" s="365"/>
      <c r="B3680" s="578"/>
      <c r="C3680" s="578"/>
      <c r="D3680" s="578"/>
      <c r="E3680" s="247"/>
      <c r="F3680" s="1273"/>
      <c r="G3680" s="1284" t="s">
        <v>438</v>
      </c>
      <c r="H3680" s="1284"/>
      <c r="I3680" s="1284"/>
      <c r="J3680" s="1284"/>
      <c r="K3680" s="250">
        <v>1.08</v>
      </c>
      <c r="L3680" s="365"/>
      <c r="M3680" s="54"/>
      <c r="N3680" s="54"/>
      <c r="O3680" s="336"/>
      <c r="P3680" s="334"/>
      <c r="Q3680" s="335"/>
      <c r="R3680" s="336"/>
      <c r="S3680" s="337"/>
    </row>
    <row r="3681" spans="1:19" ht="30" customHeight="1" x14ac:dyDescent="0.25">
      <c r="A3681" s="365"/>
      <c r="B3681" s="365"/>
      <c r="C3681" s="366"/>
      <c r="D3681" s="366"/>
      <c r="E3681" s="366"/>
      <c r="F3681" s="366"/>
      <c r="G3681" s="366"/>
      <c r="H3681" s="366"/>
      <c r="I3681" s="366"/>
      <c r="J3681" s="366" t="s">
        <v>72</v>
      </c>
      <c r="K3681" s="246">
        <f>+K3678*K3679/K3680</f>
        <v>166.75514074074076</v>
      </c>
      <c r="L3681" s="365" t="s">
        <v>205</v>
      </c>
      <c r="M3681" s="54"/>
      <c r="N3681" s="54"/>
      <c r="O3681" s="336"/>
      <c r="P3681" s="334"/>
      <c r="Q3681" s="335"/>
      <c r="R3681" s="336"/>
      <c r="S3681" s="337"/>
    </row>
    <row r="3682" spans="1:19" ht="30" customHeight="1" x14ac:dyDescent="0.25">
      <c r="A3682" s="365"/>
      <c r="B3682" s="365"/>
      <c r="C3682" s="366"/>
      <c r="D3682" s="366"/>
      <c r="E3682" s="366"/>
      <c r="F3682" s="366"/>
      <c r="G3682" s="580" t="s">
        <v>306</v>
      </c>
      <c r="H3682" s="366"/>
      <c r="I3682" s="366"/>
      <c r="J3682" s="521">
        <f>VLOOKUP(B3674,'Mil Cost Premiums for PUCs'!$A$4:$R$277,18,FALSE)</f>
        <v>1.1141416296059998</v>
      </c>
      <c r="K3682" s="246">
        <f>+K3681*J3682</f>
        <v>185.78884425006677</v>
      </c>
      <c r="L3682" s="365" t="s">
        <v>205</v>
      </c>
      <c r="M3682" s="54"/>
      <c r="N3682" s="60"/>
      <c r="O3682" s="336"/>
      <c r="P3682" s="334"/>
      <c r="Q3682" s="335"/>
      <c r="R3682" s="336"/>
      <c r="S3682" s="337"/>
    </row>
    <row r="3683" spans="1:19" ht="30" customHeight="1" thickBot="1" x14ac:dyDescent="0.3">
      <c r="A3683" s="844"/>
      <c r="B3683" s="844"/>
      <c r="C3683" s="471"/>
      <c r="D3683" s="471"/>
      <c r="E3683" s="850"/>
      <c r="F3683" s="1278" t="s">
        <v>1148</v>
      </c>
      <c r="G3683" s="1278"/>
      <c r="H3683" s="1278"/>
      <c r="I3683" s="1278"/>
      <c r="J3683" s="845">
        <v>1.0833999999999999</v>
      </c>
      <c r="K3683" s="544">
        <f>K3682*J3683</f>
        <v>201.28363386052231</v>
      </c>
      <c r="L3683" s="369" t="s">
        <v>205</v>
      </c>
      <c r="N3683" s="73"/>
      <c r="O3683" s="336"/>
      <c r="P3683" s="334"/>
      <c r="Q3683" s="335"/>
      <c r="R3683" s="336"/>
      <c r="S3683" s="337"/>
    </row>
    <row r="3684" spans="1:19" ht="30" customHeight="1" thickBot="1" x14ac:dyDescent="0.3">
      <c r="A3684" s="1180"/>
      <c r="B3684" s="1181"/>
      <c r="C3684" s="1181"/>
      <c r="D3684" s="1181"/>
      <c r="E3684" s="1181"/>
      <c r="F3684" s="1181"/>
      <c r="G3684" s="1181"/>
      <c r="H3684" s="1181"/>
      <c r="I3684" s="1181"/>
      <c r="J3684" s="1181"/>
      <c r="K3684" s="1181"/>
      <c r="L3684" s="1182"/>
      <c r="M3684" s="54"/>
      <c r="N3684" s="54"/>
      <c r="O3684" s="867"/>
      <c r="P3684" s="334"/>
      <c r="Q3684" s="335"/>
      <c r="R3684" s="336"/>
      <c r="S3684" s="337"/>
    </row>
    <row r="3685" spans="1:19" ht="30" customHeight="1" x14ac:dyDescent="0.25">
      <c r="A3685" s="327" t="s">
        <v>5</v>
      </c>
      <c r="B3685" s="328">
        <v>7386</v>
      </c>
      <c r="C3685" s="1251" t="s">
        <v>2053</v>
      </c>
      <c r="D3685" s="1252"/>
      <c r="E3685" s="331" t="s">
        <v>8</v>
      </c>
      <c r="F3685" s="332" t="s">
        <v>205</v>
      </c>
      <c r="G3685" s="342" t="s">
        <v>74</v>
      </c>
      <c r="H3685" s="156">
        <v>31689</v>
      </c>
      <c r="I3685" s="331" t="s">
        <v>10</v>
      </c>
      <c r="J3685" s="1220" t="s">
        <v>3388</v>
      </c>
      <c r="K3685" s="1220"/>
      <c r="L3685" s="1221"/>
      <c r="M3685" s="54"/>
      <c r="N3685" s="54"/>
      <c r="O3685" s="60"/>
      <c r="P3685" s="334"/>
      <c r="Q3685" s="335"/>
      <c r="R3685" s="336"/>
      <c r="S3685" s="337"/>
    </row>
    <row r="3686" spans="1:19" ht="30" customHeight="1" x14ac:dyDescent="0.25">
      <c r="A3686" s="359" t="s">
        <v>295</v>
      </c>
      <c r="B3686" s="1222" t="s">
        <v>326</v>
      </c>
      <c r="C3686" s="1235"/>
      <c r="D3686" s="1223"/>
      <c r="E3686" s="577" t="s">
        <v>116</v>
      </c>
      <c r="F3686" s="577" t="s">
        <v>117</v>
      </c>
      <c r="G3686" s="1194" t="s">
        <v>118</v>
      </c>
      <c r="H3686" s="1195"/>
      <c r="I3686" s="356" t="s">
        <v>296</v>
      </c>
      <c r="J3686" s="356"/>
      <c r="K3686" s="581" t="s">
        <v>285</v>
      </c>
      <c r="L3686" s="382"/>
      <c r="M3686" s="54"/>
      <c r="N3686" s="54"/>
      <c r="O3686" s="73"/>
      <c r="P3686" s="334"/>
      <c r="Q3686" s="335"/>
      <c r="R3686" s="336"/>
      <c r="S3686" s="337"/>
    </row>
    <row r="3687" spans="1:19" ht="30" customHeight="1" x14ac:dyDescent="0.25">
      <c r="A3687" s="755" t="s">
        <v>2054</v>
      </c>
      <c r="B3687" s="1214" t="s">
        <v>2055</v>
      </c>
      <c r="C3687" s="1215"/>
      <c r="D3687" s="1216"/>
      <c r="E3687" s="247">
        <v>160</v>
      </c>
      <c r="F3687" s="396" t="s">
        <v>205</v>
      </c>
      <c r="G3687" s="956"/>
      <c r="H3687" s="957"/>
      <c r="I3687" s="365">
        <v>1.04</v>
      </c>
      <c r="J3687" s="365"/>
      <c r="K3687" s="247">
        <f>+E3687*I3687</f>
        <v>166.4</v>
      </c>
      <c r="L3687" s="365" t="s">
        <v>205</v>
      </c>
      <c r="M3687" s="54"/>
      <c r="N3687" s="54"/>
      <c r="O3687" s="336"/>
      <c r="P3687" s="334"/>
      <c r="Q3687" s="335"/>
      <c r="R3687" s="336"/>
      <c r="S3687" s="337"/>
    </row>
    <row r="3688" spans="1:19" ht="30" customHeight="1" x14ac:dyDescent="0.25">
      <c r="A3688" s="365" t="s">
        <v>649</v>
      </c>
      <c r="B3688" s="1269" t="s">
        <v>2056</v>
      </c>
      <c r="C3688" s="1269"/>
      <c r="D3688" s="1269"/>
      <c r="E3688" s="247">
        <v>3.87</v>
      </c>
      <c r="F3688" s="365" t="s">
        <v>205</v>
      </c>
      <c r="G3688" s="365"/>
      <c r="H3688" s="365"/>
      <c r="I3688" s="365">
        <v>1.04</v>
      </c>
      <c r="J3688" s="365"/>
      <c r="K3688" s="247">
        <f>+E3688*I3688</f>
        <v>4.0247999999999999</v>
      </c>
      <c r="L3688" s="365" t="s">
        <v>205</v>
      </c>
      <c r="M3688" s="54"/>
      <c r="N3688" s="54"/>
      <c r="O3688" s="336"/>
      <c r="P3688" s="334"/>
      <c r="Q3688" s="335"/>
      <c r="R3688" s="336"/>
      <c r="S3688" s="337"/>
    </row>
    <row r="3689" spans="1:19" ht="30" customHeight="1" x14ac:dyDescent="0.25">
      <c r="A3689" s="365"/>
      <c r="B3689" s="365"/>
      <c r="C3689" s="366"/>
      <c r="D3689" s="366"/>
      <c r="E3689" s="366"/>
      <c r="F3689" s="366"/>
      <c r="G3689" s="366"/>
      <c r="H3689" s="366"/>
      <c r="I3689" s="366"/>
      <c r="J3689" s="365" t="s">
        <v>343</v>
      </c>
      <c r="K3689" s="246">
        <f>SUM(K3687:K3688)</f>
        <v>170.4248</v>
      </c>
      <c r="L3689" s="365" t="s">
        <v>205</v>
      </c>
      <c r="M3689" s="54"/>
      <c r="N3689" s="54"/>
      <c r="O3689" s="336"/>
      <c r="P3689" s="334"/>
      <c r="Q3689" s="335"/>
      <c r="R3689" s="336"/>
      <c r="S3689" s="337"/>
    </row>
    <row r="3690" spans="1:19" ht="30" customHeight="1" x14ac:dyDescent="0.25">
      <c r="A3690" s="365"/>
      <c r="B3690" s="578"/>
      <c r="C3690" s="578"/>
      <c r="D3690" s="578"/>
      <c r="E3690" s="247"/>
      <c r="F3690" s="1272" t="s">
        <v>303</v>
      </c>
      <c r="G3690" s="1283" t="s">
        <v>304</v>
      </c>
      <c r="H3690" s="1283"/>
      <c r="I3690" s="1283"/>
      <c r="J3690" s="1283"/>
      <c r="K3690" s="250">
        <v>1.07</v>
      </c>
      <c r="L3690" s="365"/>
      <c r="M3690" s="54"/>
      <c r="N3690" s="54"/>
      <c r="O3690" s="336"/>
      <c r="P3690" s="334"/>
      <c r="Q3690" s="335"/>
      <c r="R3690" s="336"/>
      <c r="S3690" s="337"/>
    </row>
    <row r="3691" spans="1:19" ht="30" customHeight="1" x14ac:dyDescent="0.25">
      <c r="A3691" s="365"/>
      <c r="B3691" s="578"/>
      <c r="C3691" s="578"/>
      <c r="D3691" s="578"/>
      <c r="E3691" s="247"/>
      <c r="F3691" s="1273"/>
      <c r="G3691" s="1284" t="s">
        <v>438</v>
      </c>
      <c r="H3691" s="1284"/>
      <c r="I3691" s="1284"/>
      <c r="J3691" s="1284"/>
      <c r="K3691" s="250">
        <v>1.08</v>
      </c>
      <c r="L3691" s="365"/>
      <c r="M3691" s="54"/>
      <c r="N3691" s="54"/>
      <c r="O3691" s="336"/>
      <c r="P3691" s="334"/>
      <c r="Q3691" s="335"/>
      <c r="R3691" s="336"/>
      <c r="S3691" s="337"/>
    </row>
    <row r="3692" spans="1:19" ht="30" customHeight="1" x14ac:dyDescent="0.25">
      <c r="A3692" s="365"/>
      <c r="B3692" s="365"/>
      <c r="C3692" s="366"/>
      <c r="D3692" s="366"/>
      <c r="E3692" s="366"/>
      <c r="F3692" s="366"/>
      <c r="G3692" s="366"/>
      <c r="H3692" s="366"/>
      <c r="I3692" s="366"/>
      <c r="J3692" s="365" t="s">
        <v>72</v>
      </c>
      <c r="K3692" s="246">
        <f>+K3689*K3690/K3691</f>
        <v>168.84679259259261</v>
      </c>
      <c r="L3692" s="365" t="s">
        <v>205</v>
      </c>
      <c r="M3692" s="54"/>
      <c r="N3692" s="54"/>
      <c r="O3692" s="336"/>
      <c r="P3692" s="334"/>
      <c r="Q3692" s="335"/>
      <c r="R3692" s="336"/>
      <c r="S3692" s="337"/>
    </row>
    <row r="3693" spans="1:19" ht="30" customHeight="1" x14ac:dyDescent="0.25">
      <c r="A3693" s="365"/>
      <c r="B3693" s="365"/>
      <c r="C3693" s="366"/>
      <c r="D3693" s="366"/>
      <c r="E3693" s="366"/>
      <c r="F3693" s="366"/>
      <c r="G3693" s="580" t="s">
        <v>306</v>
      </c>
      <c r="H3693" s="366"/>
      <c r="I3693" s="366"/>
      <c r="J3693" s="521">
        <f>VLOOKUP(B3685,'Mil Cost Premiums for PUCs'!$A$4:$R$277,18,FALSE)</f>
        <v>1.3319480854780448</v>
      </c>
      <c r="K3693" s="246">
        <f>+K3692*J3693</f>
        <v>224.89516213281223</v>
      </c>
      <c r="L3693" s="365" t="s">
        <v>205</v>
      </c>
      <c r="M3693" s="54"/>
      <c r="N3693" s="54"/>
      <c r="O3693" s="336"/>
      <c r="P3693" s="334"/>
      <c r="Q3693" s="335"/>
      <c r="R3693" s="336"/>
      <c r="S3693" s="337"/>
    </row>
    <row r="3694" spans="1:19" ht="30" customHeight="1" thickBot="1" x14ac:dyDescent="0.3">
      <c r="A3694" s="844"/>
      <c r="B3694" s="844"/>
      <c r="C3694" s="471"/>
      <c r="D3694" s="471"/>
      <c r="E3694" s="850"/>
      <c r="F3694" s="1278" t="s">
        <v>1148</v>
      </c>
      <c r="G3694" s="1278"/>
      <c r="H3694" s="1278"/>
      <c r="I3694" s="1278"/>
      <c r="J3694" s="845">
        <v>1.0833999999999999</v>
      </c>
      <c r="K3694" s="544">
        <f>K3693*J3694</f>
        <v>243.65141865468874</v>
      </c>
      <c r="L3694" s="369" t="s">
        <v>205</v>
      </c>
      <c r="O3694" s="336"/>
      <c r="P3694" s="334"/>
      <c r="Q3694" s="335"/>
      <c r="R3694" s="336"/>
      <c r="S3694" s="337"/>
    </row>
    <row r="3695" spans="1:19" ht="30" customHeight="1" thickBot="1" x14ac:dyDescent="0.3">
      <c r="A3695" s="1180"/>
      <c r="B3695" s="1181"/>
      <c r="C3695" s="1181"/>
      <c r="D3695" s="1181"/>
      <c r="E3695" s="1181"/>
      <c r="F3695" s="1181"/>
      <c r="G3695" s="1181"/>
      <c r="H3695" s="1181"/>
      <c r="I3695" s="1181"/>
      <c r="J3695" s="1181"/>
      <c r="K3695" s="1181"/>
      <c r="L3695" s="1182"/>
      <c r="M3695" s="54"/>
      <c r="N3695" s="54"/>
      <c r="O3695" s="336"/>
      <c r="P3695" s="334"/>
      <c r="Q3695" s="335"/>
      <c r="R3695" s="336"/>
      <c r="S3695" s="337"/>
    </row>
    <row r="3696" spans="1:19" ht="30" customHeight="1" x14ac:dyDescent="0.25">
      <c r="A3696" s="327" t="s">
        <v>5</v>
      </c>
      <c r="B3696" s="328">
        <v>7387</v>
      </c>
      <c r="C3696" s="1251" t="s">
        <v>2057</v>
      </c>
      <c r="D3696" s="1252"/>
      <c r="E3696" s="331" t="s">
        <v>8</v>
      </c>
      <c r="F3696" s="332" t="s">
        <v>205</v>
      </c>
      <c r="G3696" s="342" t="s">
        <v>74</v>
      </c>
      <c r="H3696" s="156">
        <v>6635</v>
      </c>
      <c r="I3696" s="331" t="s">
        <v>10</v>
      </c>
      <c r="J3696" s="1220" t="s">
        <v>3388</v>
      </c>
      <c r="K3696" s="1220"/>
      <c r="L3696" s="1221"/>
      <c r="M3696" s="54"/>
      <c r="N3696" s="54"/>
      <c r="O3696" s="336"/>
      <c r="P3696" s="334"/>
      <c r="Q3696" s="335"/>
      <c r="R3696" s="336"/>
      <c r="S3696" s="337"/>
    </row>
    <row r="3697" spans="1:19" ht="30" customHeight="1" x14ac:dyDescent="0.25">
      <c r="A3697" s="359" t="s">
        <v>295</v>
      </c>
      <c r="B3697" s="1222" t="s">
        <v>326</v>
      </c>
      <c r="C3697" s="1235"/>
      <c r="D3697" s="1223"/>
      <c r="E3697" s="577" t="s">
        <v>116</v>
      </c>
      <c r="F3697" s="577" t="s">
        <v>117</v>
      </c>
      <c r="G3697" s="1194" t="s">
        <v>118</v>
      </c>
      <c r="H3697" s="1195"/>
      <c r="I3697" s="356" t="s">
        <v>296</v>
      </c>
      <c r="J3697" s="356"/>
      <c r="K3697" s="581" t="s">
        <v>285</v>
      </c>
      <c r="L3697" s="382"/>
      <c r="M3697" s="60"/>
      <c r="N3697" s="54"/>
      <c r="O3697" s="336"/>
      <c r="P3697" s="334"/>
      <c r="Q3697" s="335"/>
      <c r="R3697" s="336"/>
      <c r="S3697" s="337"/>
    </row>
    <row r="3698" spans="1:19" ht="30" customHeight="1" x14ac:dyDescent="0.25">
      <c r="A3698" s="755" t="s">
        <v>1950</v>
      </c>
      <c r="B3698" s="1214" t="s">
        <v>1951</v>
      </c>
      <c r="C3698" s="1215"/>
      <c r="D3698" s="1216"/>
      <c r="E3698" s="247">
        <v>88</v>
      </c>
      <c r="F3698" s="396" t="s">
        <v>205</v>
      </c>
      <c r="G3698" s="689"/>
      <c r="H3698" s="690"/>
      <c r="I3698" s="365">
        <v>1.04</v>
      </c>
      <c r="J3698" s="706"/>
      <c r="K3698" s="247">
        <f>+E3698*I3698</f>
        <v>91.52000000000001</v>
      </c>
      <c r="L3698" s="365" t="s">
        <v>205</v>
      </c>
      <c r="M3698" s="73"/>
      <c r="N3698" s="54"/>
      <c r="O3698" s="336"/>
      <c r="P3698" s="334"/>
      <c r="Q3698" s="335"/>
      <c r="R3698" s="336"/>
      <c r="S3698" s="337"/>
    </row>
    <row r="3699" spans="1:19" ht="30" customHeight="1" x14ac:dyDescent="0.25">
      <c r="A3699" s="755" t="s">
        <v>424</v>
      </c>
      <c r="B3699" s="1214" t="s">
        <v>2058</v>
      </c>
      <c r="C3699" s="1215"/>
      <c r="D3699" s="1216"/>
      <c r="E3699" s="247">
        <v>53.5</v>
      </c>
      <c r="F3699" s="396" t="s">
        <v>205</v>
      </c>
      <c r="G3699" s="689"/>
      <c r="H3699" s="690"/>
      <c r="I3699" s="365">
        <v>1.03</v>
      </c>
      <c r="J3699" s="706"/>
      <c r="K3699" s="247">
        <f>+E3699*I3699</f>
        <v>55.105000000000004</v>
      </c>
      <c r="L3699" s="365" t="s">
        <v>205</v>
      </c>
      <c r="M3699" s="54"/>
      <c r="N3699" s="54"/>
      <c r="O3699" s="336"/>
      <c r="P3699" s="334"/>
      <c r="Q3699" s="335"/>
      <c r="R3699" s="336"/>
      <c r="S3699" s="337"/>
    </row>
    <row r="3700" spans="1:19" ht="30" customHeight="1" x14ac:dyDescent="0.25">
      <c r="A3700" s="755" t="s">
        <v>1748</v>
      </c>
      <c r="B3700" s="1214" t="s">
        <v>1798</v>
      </c>
      <c r="C3700" s="1215"/>
      <c r="D3700" s="1216"/>
      <c r="E3700" s="247">
        <v>118</v>
      </c>
      <c r="F3700" s="396" t="s">
        <v>205</v>
      </c>
      <c r="G3700" s="689"/>
      <c r="H3700" s="690"/>
      <c r="I3700" s="365">
        <v>1.05</v>
      </c>
      <c r="J3700" s="365"/>
      <c r="K3700" s="247">
        <f>+E3700*I3700</f>
        <v>123.9</v>
      </c>
      <c r="L3700" s="365" t="s">
        <v>205</v>
      </c>
      <c r="M3700" s="54"/>
      <c r="N3700" s="54"/>
      <c r="O3700" s="336"/>
      <c r="P3700" s="334"/>
      <c r="Q3700" s="335"/>
      <c r="R3700" s="336"/>
      <c r="S3700" s="337"/>
    </row>
    <row r="3701" spans="1:19" ht="30" customHeight="1" x14ac:dyDescent="0.25">
      <c r="A3701" s="755" t="s">
        <v>2059</v>
      </c>
      <c r="B3701" s="1214" t="s">
        <v>2060</v>
      </c>
      <c r="C3701" s="1215"/>
      <c r="D3701" s="1216"/>
      <c r="E3701" s="247">
        <v>60</v>
      </c>
      <c r="F3701" s="396" t="s">
        <v>205</v>
      </c>
      <c r="G3701" s="689"/>
      <c r="H3701" s="690"/>
      <c r="I3701" s="365">
        <v>1.03</v>
      </c>
      <c r="J3701" s="365"/>
      <c r="K3701" s="247">
        <f>+E3701*I3701</f>
        <v>61.800000000000004</v>
      </c>
      <c r="L3701" s="365" t="s">
        <v>205</v>
      </c>
      <c r="M3701" s="54"/>
      <c r="N3701" s="54"/>
      <c r="O3701" s="336"/>
      <c r="P3701" s="334"/>
      <c r="Q3701" s="335"/>
      <c r="R3701" s="336"/>
      <c r="S3701" s="337"/>
    </row>
    <row r="3702" spans="1:19" ht="30" customHeight="1" x14ac:dyDescent="0.25">
      <c r="A3702" s="755"/>
      <c r="B3702" s="1214" t="s">
        <v>2061</v>
      </c>
      <c r="C3702" s="1215"/>
      <c r="D3702" s="1216"/>
      <c r="E3702" s="247"/>
      <c r="F3702" s="689"/>
      <c r="G3702" s="689"/>
      <c r="H3702" s="690"/>
      <c r="I3702" s="698"/>
      <c r="J3702" s="365" t="s">
        <v>300</v>
      </c>
      <c r="K3702" s="247">
        <f>AVERAGE(K3698:K3701)</f>
        <v>83.081249999999997</v>
      </c>
      <c r="L3702" s="365" t="s">
        <v>205</v>
      </c>
      <c r="M3702" s="54"/>
      <c r="N3702" s="54"/>
      <c r="O3702" s="336"/>
      <c r="P3702" s="334"/>
      <c r="Q3702" s="335"/>
      <c r="R3702" s="336"/>
      <c r="S3702" s="337"/>
    </row>
    <row r="3703" spans="1:19" ht="30" customHeight="1" x14ac:dyDescent="0.25">
      <c r="A3703" s="755" t="s">
        <v>406</v>
      </c>
      <c r="B3703" s="1269" t="s">
        <v>2062</v>
      </c>
      <c r="C3703" s="1269"/>
      <c r="D3703" s="1269"/>
      <c r="E3703" s="247">
        <v>3.71</v>
      </c>
      <c r="F3703" s="689" t="s">
        <v>205</v>
      </c>
      <c r="G3703" s="689"/>
      <c r="H3703" s="690"/>
      <c r="I3703" s="365">
        <v>1.03</v>
      </c>
      <c r="J3703" s="365"/>
      <c r="K3703" s="247">
        <f>+E3703*I3703</f>
        <v>3.8212999999999999</v>
      </c>
      <c r="L3703" s="365" t="s">
        <v>205</v>
      </c>
      <c r="M3703" s="54"/>
      <c r="N3703" s="54"/>
      <c r="O3703" s="336"/>
      <c r="P3703" s="334"/>
      <c r="Q3703" s="335"/>
      <c r="R3703" s="336"/>
      <c r="S3703" s="337"/>
    </row>
    <row r="3704" spans="1:19" ht="30" customHeight="1" x14ac:dyDescent="0.25">
      <c r="A3704" s="365"/>
      <c r="B3704" s="1269"/>
      <c r="C3704" s="1269"/>
      <c r="D3704" s="1269"/>
      <c r="E3704" s="247"/>
      <c r="F3704" s="365"/>
      <c r="G3704" s="365"/>
      <c r="H3704" s="365"/>
      <c r="I3704" s="365"/>
      <c r="J3704" s="365" t="s">
        <v>343</v>
      </c>
      <c r="K3704" s="588">
        <f>SUM(K3702:K3703)</f>
        <v>86.902549999999991</v>
      </c>
      <c r="L3704" s="365" t="s">
        <v>205</v>
      </c>
      <c r="M3704" s="54"/>
      <c r="N3704" s="54"/>
      <c r="O3704" s="336"/>
      <c r="P3704" s="334"/>
      <c r="Q3704" s="335"/>
      <c r="R3704" s="336"/>
      <c r="S3704" s="337"/>
    </row>
    <row r="3705" spans="1:19" ht="30" customHeight="1" x14ac:dyDescent="0.25">
      <c r="A3705" s="365"/>
      <c r="B3705" s="578"/>
      <c r="C3705" s="578"/>
      <c r="D3705" s="578"/>
      <c r="E3705" s="247"/>
      <c r="F3705" s="1272" t="s">
        <v>303</v>
      </c>
      <c r="G3705" s="1283" t="s">
        <v>304</v>
      </c>
      <c r="H3705" s="1283"/>
      <c r="I3705" s="1283"/>
      <c r="J3705" s="1283"/>
      <c r="K3705" s="250">
        <v>1.07</v>
      </c>
      <c r="L3705" s="365"/>
      <c r="M3705" s="54"/>
      <c r="N3705" s="54"/>
      <c r="O3705" s="336"/>
      <c r="P3705" s="334"/>
      <c r="Q3705" s="335"/>
      <c r="R3705" s="336"/>
      <c r="S3705" s="337"/>
    </row>
    <row r="3706" spans="1:19" ht="30" customHeight="1" x14ac:dyDescent="0.25">
      <c r="A3706" s="365"/>
      <c r="B3706" s="578"/>
      <c r="C3706" s="578"/>
      <c r="D3706" s="578"/>
      <c r="E3706" s="247"/>
      <c r="F3706" s="1273"/>
      <c r="G3706" s="1284" t="s">
        <v>438</v>
      </c>
      <c r="H3706" s="1284"/>
      <c r="I3706" s="1284"/>
      <c r="J3706" s="1284"/>
      <c r="K3706" s="250">
        <v>1.08</v>
      </c>
      <c r="L3706" s="365"/>
      <c r="M3706" s="54"/>
      <c r="N3706" s="54"/>
      <c r="O3706" s="336"/>
      <c r="P3706" s="334"/>
      <c r="Q3706" s="335"/>
      <c r="R3706" s="336"/>
      <c r="S3706" s="337"/>
    </row>
    <row r="3707" spans="1:19" ht="30" customHeight="1" x14ac:dyDescent="0.25">
      <c r="A3707" s="365"/>
      <c r="B3707" s="365"/>
      <c r="C3707" s="366"/>
      <c r="D3707" s="366"/>
      <c r="E3707" s="366"/>
      <c r="F3707" s="366"/>
      <c r="G3707" s="366"/>
      <c r="H3707" s="366"/>
      <c r="I3707" s="366"/>
      <c r="J3707" s="365" t="s">
        <v>72</v>
      </c>
      <c r="K3707" s="246">
        <f>+K3704*K3705/K3706</f>
        <v>86.097896759259243</v>
      </c>
      <c r="L3707" s="365" t="s">
        <v>205</v>
      </c>
      <c r="M3707" s="54"/>
      <c r="N3707" s="54"/>
      <c r="O3707" s="336"/>
      <c r="P3707" s="334"/>
      <c r="Q3707" s="335"/>
      <c r="R3707" s="336"/>
      <c r="S3707" s="337"/>
    </row>
    <row r="3708" spans="1:19" ht="30" customHeight="1" x14ac:dyDescent="0.25">
      <c r="A3708" s="365"/>
      <c r="B3708" s="365"/>
      <c r="C3708" s="366"/>
      <c r="D3708" s="366"/>
      <c r="E3708" s="366"/>
      <c r="F3708" s="366"/>
      <c r="G3708" s="580" t="s">
        <v>306</v>
      </c>
      <c r="H3708" s="366"/>
      <c r="I3708" s="366"/>
      <c r="J3708" s="521">
        <f>VLOOKUP(B3696,'Mil Cost Premiums for PUCs'!$A$4:$R$277,18,FALSE)</f>
        <v>1.0209999999999999</v>
      </c>
      <c r="K3708" s="246">
        <f>+K3707*J3708</f>
        <v>87.905952591203672</v>
      </c>
      <c r="L3708" s="365" t="s">
        <v>205</v>
      </c>
      <c r="M3708" s="54"/>
      <c r="N3708" s="54"/>
      <c r="O3708" s="554"/>
      <c r="P3708" s="334"/>
      <c r="Q3708" s="335"/>
      <c r="R3708" s="336"/>
      <c r="S3708" s="337"/>
    </row>
    <row r="3709" spans="1:19" ht="30" customHeight="1" thickBot="1" x14ac:dyDescent="0.3">
      <c r="A3709" s="844"/>
      <c r="B3709" s="844"/>
      <c r="C3709" s="471"/>
      <c r="D3709" s="471"/>
      <c r="E3709" s="850"/>
      <c r="F3709" s="1278" t="s">
        <v>1148</v>
      </c>
      <c r="G3709" s="1278"/>
      <c r="H3709" s="1278"/>
      <c r="I3709" s="1278"/>
      <c r="J3709" s="845">
        <v>1.0833999999999999</v>
      </c>
      <c r="K3709" s="544">
        <f>K3708*J3709</f>
        <v>95.237309037310055</v>
      </c>
      <c r="L3709" s="369" t="s">
        <v>205</v>
      </c>
      <c r="N3709" s="54"/>
      <c r="O3709" s="554"/>
      <c r="P3709" s="334"/>
      <c r="Q3709" s="335"/>
      <c r="R3709" s="336"/>
      <c r="S3709" s="337"/>
    </row>
    <row r="3710" spans="1:19" ht="30" customHeight="1" thickBot="1" x14ac:dyDescent="0.3">
      <c r="A3710" s="1180"/>
      <c r="B3710" s="1181"/>
      <c r="C3710" s="1181"/>
      <c r="D3710" s="1181"/>
      <c r="E3710" s="1181"/>
      <c r="F3710" s="1181"/>
      <c r="G3710" s="1181"/>
      <c r="H3710" s="1181"/>
      <c r="I3710" s="1181"/>
      <c r="J3710" s="1181"/>
      <c r="K3710" s="1181"/>
      <c r="L3710" s="1182"/>
      <c r="M3710" s="54"/>
      <c r="N3710" s="54"/>
      <c r="O3710" s="554"/>
      <c r="P3710" s="334"/>
      <c r="Q3710" s="335"/>
      <c r="R3710" s="336"/>
      <c r="S3710" s="337"/>
    </row>
    <row r="3711" spans="1:19" ht="30" customHeight="1" x14ac:dyDescent="0.25">
      <c r="A3711" s="327" t="s">
        <v>5</v>
      </c>
      <c r="B3711" s="328">
        <v>7388</v>
      </c>
      <c r="C3711" s="1218" t="s">
        <v>2063</v>
      </c>
      <c r="D3711" s="1219"/>
      <c r="E3711" s="331" t="s">
        <v>8</v>
      </c>
      <c r="F3711" s="332" t="s">
        <v>205</v>
      </c>
      <c r="G3711" s="342" t="s">
        <v>74</v>
      </c>
      <c r="H3711" s="160">
        <v>22334</v>
      </c>
      <c r="I3711" s="331" t="s">
        <v>10</v>
      </c>
      <c r="J3711" s="1220" t="s">
        <v>281</v>
      </c>
      <c r="K3711" s="1220"/>
      <c r="L3711" s="1221"/>
      <c r="M3711" s="111"/>
      <c r="O3711" s="336"/>
      <c r="P3711" s="334"/>
      <c r="Q3711" s="335"/>
      <c r="R3711" s="336"/>
      <c r="S3711" s="337"/>
    </row>
    <row r="3712" spans="1:19" ht="30" customHeight="1" x14ac:dyDescent="0.25">
      <c r="A3712" s="356" t="s">
        <v>282</v>
      </c>
      <c r="B3712" s="1163" t="s">
        <v>13</v>
      </c>
      <c r="C3712" s="1163"/>
      <c r="D3712" s="1163"/>
      <c r="E3712" s="357" t="s">
        <v>116</v>
      </c>
      <c r="F3712" s="546" t="s">
        <v>2064</v>
      </c>
      <c r="G3712" s="1276"/>
      <c r="H3712" s="1277"/>
      <c r="I3712" s="1276" t="s">
        <v>284</v>
      </c>
      <c r="J3712" s="1277"/>
      <c r="K3712" s="581" t="s">
        <v>2017</v>
      </c>
      <c r="L3712" s="382"/>
      <c r="M3712" s="54"/>
      <c r="N3712" s="54"/>
      <c r="O3712" s="336"/>
      <c r="P3712" s="334"/>
      <c r="Q3712" s="335"/>
      <c r="R3712" s="336"/>
      <c r="S3712" s="337"/>
    </row>
    <row r="3713" spans="1:26" ht="30" customHeight="1" x14ac:dyDescent="0.25">
      <c r="A3713" s="365" t="s">
        <v>286</v>
      </c>
      <c r="B3713" s="1209" t="s">
        <v>2065</v>
      </c>
      <c r="C3713" s="1210"/>
      <c r="D3713" s="1211"/>
      <c r="E3713" s="247">
        <v>245</v>
      </c>
      <c r="F3713" s="257">
        <v>28000</v>
      </c>
      <c r="G3713" s="341"/>
      <c r="H3713" s="367"/>
      <c r="I3713" s="1674" t="s">
        <v>288</v>
      </c>
      <c r="J3713" s="1675"/>
      <c r="K3713" s="240">
        <f>+E3713</f>
        <v>245</v>
      </c>
      <c r="L3713" s="367" t="s">
        <v>205</v>
      </c>
      <c r="M3713" s="54"/>
      <c r="N3713" s="54"/>
      <c r="O3713" s="336"/>
      <c r="P3713" s="334"/>
      <c r="Q3713" s="335"/>
      <c r="R3713" s="336"/>
      <c r="S3713" s="337"/>
      <c r="U3713" s="345"/>
    </row>
    <row r="3714" spans="1:26" ht="30" customHeight="1" thickBot="1" x14ac:dyDescent="0.3">
      <c r="A3714" s="365"/>
      <c r="B3714" s="1214" t="s">
        <v>644</v>
      </c>
      <c r="C3714" s="1215"/>
      <c r="D3714" s="1216"/>
      <c r="E3714" s="333"/>
      <c r="F3714" s="744"/>
      <c r="G3714" s="333"/>
      <c r="H3714" s="729"/>
      <c r="I3714" s="366"/>
      <c r="J3714" s="359" t="s">
        <v>72</v>
      </c>
      <c r="K3714" s="243">
        <f>SUM(K3713:K3713)</f>
        <v>245</v>
      </c>
      <c r="L3714" s="367" t="s">
        <v>205</v>
      </c>
      <c r="M3714" s="54"/>
      <c r="N3714" s="54"/>
      <c r="O3714" s="336"/>
      <c r="P3714" s="334"/>
      <c r="Q3714" s="335"/>
      <c r="R3714" s="336"/>
      <c r="S3714" s="337"/>
    </row>
    <row r="3715" spans="1:26" ht="30" customHeight="1" thickBot="1" x14ac:dyDescent="0.3">
      <c r="A3715" s="1180"/>
      <c r="B3715" s="1181"/>
      <c r="C3715" s="1181"/>
      <c r="D3715" s="1181"/>
      <c r="E3715" s="1181"/>
      <c r="F3715" s="1181"/>
      <c r="G3715" s="1181"/>
      <c r="H3715" s="1181"/>
      <c r="I3715" s="1181"/>
      <c r="J3715" s="1181"/>
      <c r="K3715" s="1181"/>
      <c r="L3715" s="1182"/>
      <c r="M3715" s="54"/>
      <c r="N3715" s="54"/>
      <c r="O3715" s="336"/>
      <c r="P3715" s="344"/>
      <c r="Q3715" s="345"/>
      <c r="R3715" s="345"/>
      <c r="S3715" s="345"/>
      <c r="T3715" s="345"/>
      <c r="V3715" s="345"/>
      <c r="W3715" s="345"/>
      <c r="X3715" s="345"/>
      <c r="Y3715" s="345"/>
    </row>
    <row r="3716" spans="1:26" ht="30" customHeight="1" x14ac:dyDescent="0.25">
      <c r="A3716" s="327" t="s">
        <v>5</v>
      </c>
      <c r="B3716" s="328">
        <v>7389</v>
      </c>
      <c r="C3716" s="1218" t="s">
        <v>2066</v>
      </c>
      <c r="D3716" s="1219"/>
      <c r="E3716" s="331" t="s">
        <v>8</v>
      </c>
      <c r="F3716" s="332" t="s">
        <v>205</v>
      </c>
      <c r="G3716" s="342" t="s">
        <v>74</v>
      </c>
      <c r="H3716" s="160">
        <v>3614</v>
      </c>
      <c r="I3716" s="331" t="s">
        <v>10</v>
      </c>
      <c r="J3716" s="1220" t="s">
        <v>3388</v>
      </c>
      <c r="K3716" s="1220"/>
      <c r="L3716" s="1221"/>
      <c r="M3716" s="54"/>
      <c r="N3716" s="54"/>
      <c r="O3716" s="336"/>
      <c r="U3716" s="60"/>
      <c r="Z3716" s="345"/>
    </row>
    <row r="3717" spans="1:26" ht="30" customHeight="1" x14ac:dyDescent="0.25">
      <c r="A3717" s="359" t="s">
        <v>295</v>
      </c>
      <c r="B3717" s="1222" t="s">
        <v>326</v>
      </c>
      <c r="C3717" s="1235"/>
      <c r="D3717" s="1223"/>
      <c r="E3717" s="577" t="s">
        <v>116</v>
      </c>
      <c r="F3717" s="577" t="s">
        <v>117</v>
      </c>
      <c r="G3717" s="1236" t="s">
        <v>118</v>
      </c>
      <c r="H3717" s="1237"/>
      <c r="I3717" s="356" t="s">
        <v>296</v>
      </c>
      <c r="J3717" s="356"/>
      <c r="K3717" s="581" t="s">
        <v>285</v>
      </c>
      <c r="L3717" s="382"/>
      <c r="M3717" s="54"/>
      <c r="N3717" s="126"/>
      <c r="O3717" s="336"/>
      <c r="U3717" s="10"/>
    </row>
    <row r="3718" spans="1:26" ht="30" customHeight="1" x14ac:dyDescent="0.25">
      <c r="A3718" s="755" t="s">
        <v>2059</v>
      </c>
      <c r="B3718" s="1214" t="s">
        <v>2067</v>
      </c>
      <c r="C3718" s="1215"/>
      <c r="D3718" s="1216"/>
      <c r="E3718" s="247">
        <v>60</v>
      </c>
      <c r="F3718" s="396" t="s">
        <v>205</v>
      </c>
      <c r="G3718" s="956"/>
      <c r="H3718" s="957"/>
      <c r="I3718" s="365">
        <v>1.03</v>
      </c>
      <c r="J3718" s="365"/>
      <c r="K3718" s="247">
        <f>+E3718*I3718</f>
        <v>61.800000000000004</v>
      </c>
      <c r="L3718" s="365" t="s">
        <v>205</v>
      </c>
      <c r="M3718" s="54"/>
      <c r="N3718" s="73"/>
      <c r="O3718" s="336"/>
      <c r="T3718" s="60"/>
    </row>
    <row r="3719" spans="1:26" s="345" customFormat="1" ht="30" customHeight="1" x14ac:dyDescent="0.25">
      <c r="A3719" s="755" t="s">
        <v>2034</v>
      </c>
      <c r="B3719" s="1214" t="s">
        <v>2035</v>
      </c>
      <c r="C3719" s="1215"/>
      <c r="D3719" s="1216"/>
      <c r="E3719" s="247">
        <v>128</v>
      </c>
      <c r="F3719" s="396" t="s">
        <v>205</v>
      </c>
      <c r="G3719" s="956"/>
      <c r="H3719" s="957"/>
      <c r="I3719" s="365">
        <v>1.05</v>
      </c>
      <c r="J3719" s="365"/>
      <c r="K3719" s="247">
        <f>+E3719*I3719</f>
        <v>134.4</v>
      </c>
      <c r="L3719" s="365"/>
      <c r="M3719" s="54"/>
      <c r="N3719" s="54"/>
      <c r="O3719" s="336"/>
      <c r="P3719" s="340"/>
      <c r="Q3719" s="334"/>
      <c r="R3719" s="334"/>
      <c r="S3719" s="334"/>
      <c r="T3719" s="10"/>
      <c r="U3719" s="334"/>
      <c r="V3719" s="334"/>
      <c r="W3719" s="334"/>
      <c r="X3719" s="334"/>
      <c r="Y3719" s="334"/>
      <c r="Z3719" s="334"/>
    </row>
    <row r="3720" spans="1:26" ht="30" customHeight="1" x14ac:dyDescent="0.25">
      <c r="A3720" s="365" t="s">
        <v>456</v>
      </c>
      <c r="B3720" s="1214" t="s">
        <v>2068</v>
      </c>
      <c r="C3720" s="1215"/>
      <c r="D3720" s="1216"/>
      <c r="E3720" s="247">
        <v>4.8600000000000003</v>
      </c>
      <c r="F3720" s="365" t="s">
        <v>205</v>
      </c>
      <c r="G3720" s="365"/>
      <c r="H3720" s="365"/>
      <c r="I3720" s="365">
        <v>1.05</v>
      </c>
      <c r="J3720" s="365"/>
      <c r="K3720" s="247">
        <f>+E3720*I3720</f>
        <v>5.1030000000000006</v>
      </c>
      <c r="L3720" s="365" t="s">
        <v>205</v>
      </c>
      <c r="M3720" s="54"/>
      <c r="N3720" s="54"/>
      <c r="O3720" s="61"/>
      <c r="P3720" s="334"/>
      <c r="Q3720" s="335"/>
      <c r="R3720" s="336"/>
      <c r="S3720" s="337"/>
    </row>
    <row r="3721" spans="1:26" ht="30" customHeight="1" x14ac:dyDescent="0.25">
      <c r="A3721" s="365"/>
      <c r="B3721" s="365"/>
      <c r="C3721" s="366"/>
      <c r="D3721" s="366"/>
      <c r="E3721" s="366"/>
      <c r="F3721" s="366"/>
      <c r="G3721" s="366"/>
      <c r="H3721" s="366"/>
      <c r="I3721" s="366"/>
      <c r="J3721" s="365" t="s">
        <v>343</v>
      </c>
      <c r="K3721" s="246">
        <f>SUM(K3718:K3720)</f>
        <v>201.30300000000003</v>
      </c>
      <c r="L3721" s="365" t="s">
        <v>205</v>
      </c>
      <c r="M3721" s="54"/>
      <c r="N3721" s="54"/>
      <c r="O3721" s="61"/>
      <c r="P3721" s="334"/>
      <c r="Q3721" s="335"/>
      <c r="R3721" s="336"/>
      <c r="S3721" s="337"/>
    </row>
    <row r="3722" spans="1:26" ht="30" customHeight="1" x14ac:dyDescent="0.25">
      <c r="A3722" s="365"/>
      <c r="B3722" s="578"/>
      <c r="C3722" s="578"/>
      <c r="D3722" s="578"/>
      <c r="E3722" s="247"/>
      <c r="F3722" s="1272" t="s">
        <v>303</v>
      </c>
      <c r="G3722" s="1555" t="s">
        <v>304</v>
      </c>
      <c r="H3722" s="1556"/>
      <c r="I3722" s="1556"/>
      <c r="J3722" s="1557"/>
      <c r="K3722" s="250">
        <v>1.07</v>
      </c>
      <c r="L3722" s="365"/>
      <c r="M3722" s="54"/>
      <c r="O3722" s="336"/>
      <c r="P3722" s="334"/>
      <c r="Q3722" s="335"/>
      <c r="R3722" s="336"/>
      <c r="S3722" s="337"/>
    </row>
    <row r="3723" spans="1:26" ht="30" customHeight="1" x14ac:dyDescent="0.25">
      <c r="A3723" s="365"/>
      <c r="B3723" s="578"/>
      <c r="C3723" s="578"/>
      <c r="D3723" s="578"/>
      <c r="E3723" s="247"/>
      <c r="F3723" s="1273"/>
      <c r="G3723" s="1284" t="s">
        <v>438</v>
      </c>
      <c r="H3723" s="1284"/>
      <c r="I3723" s="1284"/>
      <c r="J3723" s="1284"/>
      <c r="K3723" s="250">
        <v>1.08</v>
      </c>
      <c r="L3723" s="365"/>
      <c r="M3723" s="54"/>
      <c r="N3723" s="54"/>
      <c r="O3723" s="14"/>
      <c r="P3723" s="334"/>
      <c r="Q3723" s="335"/>
      <c r="R3723" s="336"/>
      <c r="S3723" s="337"/>
    </row>
    <row r="3724" spans="1:26" ht="30" customHeight="1" x14ac:dyDescent="0.25">
      <c r="A3724" s="365"/>
      <c r="B3724" s="365"/>
      <c r="C3724" s="366"/>
      <c r="D3724" s="366"/>
      <c r="E3724" s="366"/>
      <c r="F3724" s="366"/>
      <c r="G3724" s="366"/>
      <c r="H3724" s="366"/>
      <c r="I3724" s="366"/>
      <c r="J3724" s="365" t="s">
        <v>72</v>
      </c>
      <c r="K3724" s="246">
        <f>+K3721*K3722/K3723</f>
        <v>199.43908333333337</v>
      </c>
      <c r="L3724" s="365" t="s">
        <v>205</v>
      </c>
      <c r="M3724" s="54"/>
      <c r="N3724" s="54"/>
      <c r="O3724" s="336"/>
      <c r="P3724" s="334"/>
      <c r="Q3724" s="335"/>
      <c r="R3724" s="336"/>
      <c r="S3724" s="337"/>
    </row>
    <row r="3725" spans="1:26" ht="30" customHeight="1" x14ac:dyDescent="0.25">
      <c r="A3725" s="365"/>
      <c r="B3725" s="365"/>
      <c r="C3725" s="366"/>
      <c r="D3725" s="366"/>
      <c r="E3725" s="366"/>
      <c r="F3725" s="366"/>
      <c r="G3725" s="580" t="s">
        <v>306</v>
      </c>
      <c r="H3725" s="366"/>
      <c r="I3725" s="366"/>
      <c r="J3725" s="521">
        <v>1.0209999999999999</v>
      </c>
      <c r="K3725" s="246">
        <f>+K3724*J3725</f>
        <v>203.62730408333334</v>
      </c>
      <c r="L3725" s="365" t="s">
        <v>205</v>
      </c>
      <c r="M3725" s="54"/>
      <c r="N3725" s="54"/>
      <c r="O3725" s="336"/>
      <c r="P3725" s="334"/>
      <c r="Q3725" s="335"/>
      <c r="R3725" s="336"/>
      <c r="S3725" s="337"/>
    </row>
    <row r="3726" spans="1:26" ht="30" customHeight="1" thickBot="1" x14ac:dyDescent="0.3">
      <c r="A3726" s="844"/>
      <c r="B3726" s="844"/>
      <c r="C3726" s="471"/>
      <c r="D3726" s="471"/>
      <c r="E3726" s="850"/>
      <c r="F3726" s="1278" t="s">
        <v>1148</v>
      </c>
      <c r="G3726" s="1278"/>
      <c r="H3726" s="1278"/>
      <c r="I3726" s="1278"/>
      <c r="J3726" s="845">
        <v>1.0833999999999999</v>
      </c>
      <c r="K3726" s="544">
        <f>K3725*J3726</f>
        <v>220.60982124388332</v>
      </c>
      <c r="L3726" s="369" t="s">
        <v>205</v>
      </c>
      <c r="N3726" s="54"/>
      <c r="O3726" s="336"/>
      <c r="P3726" s="334"/>
      <c r="Q3726" s="335"/>
      <c r="R3726" s="336"/>
      <c r="S3726" s="337"/>
    </row>
    <row r="3727" spans="1:26" ht="30" customHeight="1" thickBot="1" x14ac:dyDescent="0.3">
      <c r="A3727" s="1180"/>
      <c r="B3727" s="1181"/>
      <c r="C3727" s="1181"/>
      <c r="D3727" s="1181"/>
      <c r="E3727" s="1181"/>
      <c r="F3727" s="1181"/>
      <c r="G3727" s="1181"/>
      <c r="H3727" s="1181"/>
      <c r="I3727" s="1181"/>
      <c r="J3727" s="1181"/>
      <c r="K3727" s="1181"/>
      <c r="L3727" s="1182"/>
      <c r="M3727" s="54"/>
      <c r="N3727" s="54"/>
      <c r="O3727" s="543"/>
      <c r="P3727" s="334"/>
      <c r="Q3727" s="335"/>
      <c r="R3727" s="336"/>
      <c r="S3727" s="337"/>
    </row>
    <row r="3728" spans="1:26" ht="30" customHeight="1" x14ac:dyDescent="0.25">
      <c r="A3728" s="327" t="s">
        <v>5</v>
      </c>
      <c r="B3728" s="328">
        <v>7411</v>
      </c>
      <c r="C3728" s="1251" t="s">
        <v>2069</v>
      </c>
      <c r="D3728" s="1252"/>
      <c r="E3728" s="331" t="s">
        <v>8</v>
      </c>
      <c r="F3728" s="332" t="s">
        <v>205</v>
      </c>
      <c r="G3728" s="342" t="s">
        <v>74</v>
      </c>
      <c r="H3728" s="156">
        <v>7183</v>
      </c>
      <c r="I3728" s="331" t="s">
        <v>10</v>
      </c>
      <c r="J3728" s="1220" t="s">
        <v>3388</v>
      </c>
      <c r="K3728" s="1220"/>
      <c r="L3728" s="1221"/>
      <c r="M3728" s="54"/>
      <c r="N3728" s="54"/>
      <c r="P3728" s="334"/>
      <c r="Q3728" s="335"/>
      <c r="R3728" s="336"/>
      <c r="S3728" s="337"/>
    </row>
    <row r="3729" spans="1:19" ht="30" customHeight="1" x14ac:dyDescent="0.25">
      <c r="A3729" s="359" t="s">
        <v>295</v>
      </c>
      <c r="B3729" s="1222" t="s">
        <v>326</v>
      </c>
      <c r="C3729" s="1235"/>
      <c r="D3729" s="1223"/>
      <c r="E3729" s="577" t="s">
        <v>116</v>
      </c>
      <c r="F3729" s="577" t="s">
        <v>117</v>
      </c>
      <c r="G3729" s="1194" t="s">
        <v>118</v>
      </c>
      <c r="H3729" s="1195"/>
      <c r="I3729" s="356" t="s">
        <v>296</v>
      </c>
      <c r="J3729" s="356"/>
      <c r="K3729" s="581" t="s">
        <v>285</v>
      </c>
      <c r="L3729" s="382"/>
      <c r="M3729" s="54"/>
      <c r="N3729" s="54"/>
      <c r="P3729" s="334"/>
      <c r="Q3729" s="335"/>
      <c r="R3729" s="336"/>
      <c r="S3729" s="337"/>
    </row>
    <row r="3730" spans="1:19" ht="30" customHeight="1" x14ac:dyDescent="0.25">
      <c r="A3730" s="755" t="s">
        <v>2034</v>
      </c>
      <c r="B3730" s="1214" t="s">
        <v>2035</v>
      </c>
      <c r="C3730" s="1215"/>
      <c r="D3730" s="1216"/>
      <c r="E3730" s="247">
        <v>128</v>
      </c>
      <c r="F3730" s="396" t="s">
        <v>205</v>
      </c>
      <c r="G3730" s="956"/>
      <c r="H3730" s="957"/>
      <c r="I3730" s="365">
        <v>1.05</v>
      </c>
      <c r="J3730" s="365"/>
      <c r="K3730" s="247">
        <f>+E3730*I3730</f>
        <v>134.4</v>
      </c>
      <c r="L3730" s="365" t="s">
        <v>205</v>
      </c>
      <c r="M3730" s="54"/>
      <c r="N3730" s="54"/>
      <c r="P3730" s="334"/>
      <c r="Q3730" s="335"/>
      <c r="R3730" s="336"/>
      <c r="S3730" s="337"/>
    </row>
    <row r="3731" spans="1:19" ht="30" customHeight="1" x14ac:dyDescent="0.25">
      <c r="A3731" s="365" t="s">
        <v>456</v>
      </c>
      <c r="B3731" s="1269" t="s">
        <v>2070</v>
      </c>
      <c r="C3731" s="1269"/>
      <c r="D3731" s="1269"/>
      <c r="E3731" s="247">
        <v>4.0199999999999996</v>
      </c>
      <c r="F3731" s="365" t="s">
        <v>205</v>
      </c>
      <c r="G3731" s="365"/>
      <c r="H3731" s="365"/>
      <c r="I3731" s="365">
        <v>1.05</v>
      </c>
      <c r="J3731" s="365"/>
      <c r="K3731" s="247">
        <f>+E3731*I3731</f>
        <v>4.2210000000000001</v>
      </c>
      <c r="L3731" s="365" t="s">
        <v>205</v>
      </c>
      <c r="M3731" s="54"/>
      <c r="N3731" s="54"/>
      <c r="P3731" s="334"/>
      <c r="Q3731" s="335"/>
      <c r="R3731" s="336"/>
      <c r="S3731" s="337"/>
    </row>
    <row r="3732" spans="1:19" ht="30" customHeight="1" x14ac:dyDescent="0.25">
      <c r="A3732" s="365"/>
      <c r="B3732" s="365"/>
      <c r="C3732" s="366"/>
      <c r="D3732" s="366"/>
      <c r="E3732" s="366"/>
      <c r="F3732" s="366"/>
      <c r="G3732" s="366"/>
      <c r="H3732" s="366"/>
      <c r="I3732" s="366"/>
      <c r="J3732" s="365" t="s">
        <v>343</v>
      </c>
      <c r="K3732" s="246">
        <f>SUM(K3730:K3731)</f>
        <v>138.62100000000001</v>
      </c>
      <c r="L3732" s="365" t="s">
        <v>205</v>
      </c>
      <c r="M3732" s="212"/>
      <c r="N3732" s="54"/>
      <c r="O3732" s="336"/>
      <c r="P3732" s="334"/>
      <c r="Q3732" s="335"/>
      <c r="R3732" s="336"/>
      <c r="S3732" s="337"/>
    </row>
    <row r="3733" spans="1:19" ht="30" customHeight="1" x14ac:dyDescent="0.25">
      <c r="A3733" s="365"/>
      <c r="B3733" s="578"/>
      <c r="C3733" s="578"/>
      <c r="D3733" s="578"/>
      <c r="E3733" s="247"/>
      <c r="F3733" s="1272" t="s">
        <v>303</v>
      </c>
      <c r="G3733" s="1283" t="s">
        <v>304</v>
      </c>
      <c r="H3733" s="1283"/>
      <c r="I3733" s="1283"/>
      <c r="J3733" s="1283"/>
      <c r="K3733" s="250">
        <v>1.07</v>
      </c>
      <c r="L3733" s="365"/>
      <c r="M3733" s="210"/>
      <c r="O3733" s="336"/>
      <c r="P3733" s="334"/>
      <c r="Q3733" s="335"/>
      <c r="R3733" s="336"/>
      <c r="S3733" s="337"/>
    </row>
    <row r="3734" spans="1:19" ht="30" customHeight="1" x14ac:dyDescent="0.25">
      <c r="A3734" s="365"/>
      <c r="B3734" s="578"/>
      <c r="C3734" s="578"/>
      <c r="D3734" s="578"/>
      <c r="E3734" s="247"/>
      <c r="F3734" s="1273"/>
      <c r="G3734" s="1284" t="s">
        <v>438</v>
      </c>
      <c r="H3734" s="1284"/>
      <c r="I3734" s="1284"/>
      <c r="J3734" s="1284"/>
      <c r="K3734" s="250">
        <v>1.08</v>
      </c>
      <c r="L3734" s="365"/>
      <c r="M3734" s="54"/>
      <c r="N3734" s="54"/>
      <c r="O3734" s="336"/>
      <c r="P3734" s="334"/>
      <c r="Q3734" s="335"/>
      <c r="R3734" s="336"/>
      <c r="S3734" s="337"/>
    </row>
    <row r="3735" spans="1:19" ht="30" customHeight="1" x14ac:dyDescent="0.25">
      <c r="A3735" s="365"/>
      <c r="B3735" s="365"/>
      <c r="C3735" s="366"/>
      <c r="D3735" s="366"/>
      <c r="E3735" s="366"/>
      <c r="F3735" s="366"/>
      <c r="G3735" s="366"/>
      <c r="H3735" s="366"/>
      <c r="I3735" s="366"/>
      <c r="J3735" s="365" t="s">
        <v>72</v>
      </c>
      <c r="K3735" s="246">
        <f>+K3732*K3733/K3734</f>
        <v>137.33747222222223</v>
      </c>
      <c r="L3735" s="365" t="s">
        <v>205</v>
      </c>
      <c r="M3735" s="54"/>
      <c r="N3735" s="54"/>
      <c r="O3735" s="336"/>
      <c r="P3735" s="334"/>
      <c r="Q3735" s="335"/>
      <c r="R3735" s="336"/>
      <c r="S3735" s="337"/>
    </row>
    <row r="3736" spans="1:19" ht="30" customHeight="1" x14ac:dyDescent="0.25">
      <c r="A3736" s="365"/>
      <c r="B3736" s="365"/>
      <c r="C3736" s="366"/>
      <c r="D3736" s="366"/>
      <c r="E3736" s="366"/>
      <c r="F3736" s="366"/>
      <c r="G3736" s="580" t="s">
        <v>306</v>
      </c>
      <c r="H3736" s="366"/>
      <c r="I3736" s="366"/>
      <c r="J3736" s="521">
        <f>VLOOKUP(B3728,'Mil Cost Premiums for PUCs'!$A$4:$R$277,18,FALSE)</f>
        <v>1.0209999999999999</v>
      </c>
      <c r="K3736" s="246">
        <f>+K3735*J3736</f>
        <v>140.22155913888889</v>
      </c>
      <c r="L3736" s="365" t="s">
        <v>205</v>
      </c>
      <c r="M3736" s="54"/>
      <c r="N3736" s="54"/>
      <c r="O3736" s="336"/>
      <c r="P3736" s="334"/>
      <c r="Q3736" s="335"/>
      <c r="R3736" s="336"/>
      <c r="S3736" s="337"/>
    </row>
    <row r="3737" spans="1:19" ht="30" customHeight="1" thickBot="1" x14ac:dyDescent="0.3">
      <c r="A3737" s="844"/>
      <c r="B3737" s="844"/>
      <c r="C3737" s="471"/>
      <c r="D3737" s="471"/>
      <c r="E3737" s="850"/>
      <c r="F3737" s="1278" t="s">
        <v>1148</v>
      </c>
      <c r="G3737" s="1278"/>
      <c r="H3737" s="1278"/>
      <c r="I3737" s="1278"/>
      <c r="J3737" s="845">
        <v>1.0833999999999999</v>
      </c>
      <c r="K3737" s="544">
        <f>K3736*J3737</f>
        <v>151.91603717107222</v>
      </c>
      <c r="L3737" s="369" t="s">
        <v>205</v>
      </c>
      <c r="N3737" s="54"/>
      <c r="O3737" s="336"/>
      <c r="P3737" s="334"/>
      <c r="Q3737" s="335"/>
      <c r="R3737" s="336"/>
      <c r="S3737" s="337"/>
    </row>
    <row r="3738" spans="1:19" ht="30" customHeight="1" thickBot="1" x14ac:dyDescent="0.3">
      <c r="A3738" s="1180"/>
      <c r="B3738" s="1181"/>
      <c r="C3738" s="1181"/>
      <c r="D3738" s="1181"/>
      <c r="E3738" s="1181"/>
      <c r="F3738" s="1181"/>
      <c r="G3738" s="1181"/>
      <c r="H3738" s="1181"/>
      <c r="I3738" s="1181"/>
      <c r="J3738" s="1181"/>
      <c r="K3738" s="1181"/>
      <c r="L3738" s="1182"/>
      <c r="M3738" s="54"/>
      <c r="N3738" s="54"/>
      <c r="O3738" s="336"/>
      <c r="P3738" s="334"/>
      <c r="Q3738" s="335"/>
      <c r="R3738" s="336"/>
      <c r="S3738" s="337"/>
    </row>
    <row r="3739" spans="1:19" ht="30" customHeight="1" x14ac:dyDescent="0.25">
      <c r="A3739" s="327" t="s">
        <v>5</v>
      </c>
      <c r="B3739" s="328">
        <v>7412</v>
      </c>
      <c r="C3739" s="1251" t="s">
        <v>2071</v>
      </c>
      <c r="D3739" s="1252"/>
      <c r="E3739" s="331" t="s">
        <v>8</v>
      </c>
      <c r="F3739" s="332" t="s">
        <v>205</v>
      </c>
      <c r="G3739" s="342" t="s">
        <v>74</v>
      </c>
      <c r="H3739" s="156">
        <v>6924</v>
      </c>
      <c r="I3739" s="331" t="s">
        <v>10</v>
      </c>
      <c r="J3739" s="1220" t="s">
        <v>3388</v>
      </c>
      <c r="K3739" s="1220"/>
      <c r="L3739" s="1221"/>
      <c r="M3739" s="54"/>
      <c r="N3739" s="54"/>
      <c r="O3739" s="336"/>
      <c r="P3739" s="334"/>
      <c r="Q3739" s="335"/>
      <c r="R3739" s="336"/>
      <c r="S3739" s="337"/>
    </row>
    <row r="3740" spans="1:19" ht="30" customHeight="1" x14ac:dyDescent="0.25">
      <c r="A3740" s="359" t="s">
        <v>295</v>
      </c>
      <c r="B3740" s="1222" t="s">
        <v>326</v>
      </c>
      <c r="C3740" s="1235"/>
      <c r="D3740" s="1223"/>
      <c r="E3740" s="577" t="s">
        <v>116</v>
      </c>
      <c r="F3740" s="577" t="s">
        <v>117</v>
      </c>
      <c r="G3740" s="1194" t="s">
        <v>118</v>
      </c>
      <c r="H3740" s="1195"/>
      <c r="I3740" s="356" t="s">
        <v>296</v>
      </c>
      <c r="J3740" s="356"/>
      <c r="K3740" s="581" t="s">
        <v>285</v>
      </c>
      <c r="L3740" s="382"/>
      <c r="M3740" s="54"/>
      <c r="N3740" s="54"/>
      <c r="O3740" s="336"/>
      <c r="P3740" s="334"/>
      <c r="Q3740" s="335"/>
      <c r="R3740" s="336"/>
      <c r="S3740" s="337"/>
    </row>
    <row r="3741" spans="1:19" ht="30" customHeight="1" x14ac:dyDescent="0.25">
      <c r="A3741" s="755" t="s">
        <v>2059</v>
      </c>
      <c r="B3741" s="1214" t="s">
        <v>2060</v>
      </c>
      <c r="C3741" s="1215"/>
      <c r="D3741" s="1216"/>
      <c r="E3741" s="247">
        <v>60</v>
      </c>
      <c r="F3741" s="396" t="s">
        <v>205</v>
      </c>
      <c r="G3741" s="956"/>
      <c r="H3741" s="957"/>
      <c r="I3741" s="365">
        <v>1.03</v>
      </c>
      <c r="J3741" s="365"/>
      <c r="K3741" s="247">
        <f>+E3741*I3741</f>
        <v>61.800000000000004</v>
      </c>
      <c r="L3741" s="365" t="s">
        <v>205</v>
      </c>
      <c r="M3741" s="54"/>
      <c r="N3741" s="54"/>
      <c r="O3741" s="336"/>
      <c r="P3741" s="334"/>
      <c r="Q3741" s="335"/>
      <c r="R3741" s="336"/>
      <c r="S3741" s="337"/>
    </row>
    <row r="3742" spans="1:19" ht="30" customHeight="1" x14ac:dyDescent="0.25">
      <c r="A3742" s="365" t="s">
        <v>406</v>
      </c>
      <c r="B3742" s="1269" t="s">
        <v>2062</v>
      </c>
      <c r="C3742" s="1269"/>
      <c r="D3742" s="1269"/>
      <c r="E3742" s="247">
        <v>3.71</v>
      </c>
      <c r="F3742" s="365" t="s">
        <v>205</v>
      </c>
      <c r="G3742" s="365"/>
      <c r="H3742" s="365"/>
      <c r="I3742" s="365">
        <v>1.03</v>
      </c>
      <c r="J3742" s="365"/>
      <c r="K3742" s="247">
        <f>+E3742*I3742</f>
        <v>3.8212999999999999</v>
      </c>
      <c r="L3742" s="365" t="s">
        <v>205</v>
      </c>
      <c r="M3742" s="54"/>
      <c r="N3742" s="54"/>
      <c r="O3742" s="336"/>
      <c r="P3742" s="334"/>
      <c r="Q3742" s="335"/>
      <c r="R3742" s="336"/>
      <c r="S3742" s="337"/>
    </row>
    <row r="3743" spans="1:19" ht="30" customHeight="1" x14ac:dyDescent="0.25">
      <c r="A3743" s="365"/>
      <c r="B3743" s="365"/>
      <c r="C3743" s="366"/>
      <c r="D3743" s="366"/>
      <c r="E3743" s="366"/>
      <c r="F3743" s="366"/>
      <c r="G3743" s="366"/>
      <c r="H3743" s="366"/>
      <c r="I3743" s="366"/>
      <c r="J3743" s="365" t="s">
        <v>343</v>
      </c>
      <c r="K3743" s="246">
        <f>SUM(K3741:K3742)</f>
        <v>65.621300000000005</v>
      </c>
      <c r="L3743" s="365" t="s">
        <v>205</v>
      </c>
      <c r="M3743" s="54"/>
      <c r="N3743" s="54"/>
      <c r="O3743" s="336"/>
      <c r="P3743" s="334"/>
      <c r="Q3743" s="335"/>
      <c r="R3743" s="336"/>
      <c r="S3743" s="337"/>
    </row>
    <row r="3744" spans="1:19" ht="30" customHeight="1" x14ac:dyDescent="0.25">
      <c r="A3744" s="365"/>
      <c r="B3744" s="578"/>
      <c r="C3744" s="578"/>
      <c r="D3744" s="578"/>
      <c r="E3744" s="247"/>
      <c r="F3744" s="1272" t="s">
        <v>303</v>
      </c>
      <c r="G3744" s="1283" t="s">
        <v>304</v>
      </c>
      <c r="H3744" s="1283"/>
      <c r="I3744" s="1283"/>
      <c r="J3744" s="1283"/>
      <c r="K3744" s="250">
        <v>1.07</v>
      </c>
      <c r="L3744" s="365"/>
      <c r="M3744" s="54"/>
      <c r="O3744" s="336"/>
      <c r="P3744" s="334"/>
      <c r="Q3744" s="335"/>
      <c r="R3744" s="336"/>
      <c r="S3744" s="337"/>
    </row>
    <row r="3745" spans="1:26" ht="30" customHeight="1" x14ac:dyDescent="0.25">
      <c r="A3745" s="365"/>
      <c r="B3745" s="578"/>
      <c r="C3745" s="578"/>
      <c r="D3745" s="578"/>
      <c r="E3745" s="247"/>
      <c r="F3745" s="1273"/>
      <c r="G3745" s="1284" t="s">
        <v>438</v>
      </c>
      <c r="H3745" s="1284"/>
      <c r="I3745" s="1284"/>
      <c r="J3745" s="1284"/>
      <c r="K3745" s="250">
        <v>1.08</v>
      </c>
      <c r="L3745" s="365"/>
      <c r="M3745" s="54"/>
      <c r="N3745" s="54"/>
      <c r="O3745" s="336"/>
      <c r="P3745" s="334"/>
      <c r="Q3745" s="335"/>
      <c r="R3745" s="336"/>
      <c r="S3745" s="337"/>
    </row>
    <row r="3746" spans="1:26" ht="30" customHeight="1" x14ac:dyDescent="0.25">
      <c r="A3746" s="365"/>
      <c r="B3746" s="365"/>
      <c r="C3746" s="366"/>
      <c r="D3746" s="366"/>
      <c r="E3746" s="366"/>
      <c r="F3746" s="366"/>
      <c r="G3746" s="366"/>
      <c r="H3746" s="366"/>
      <c r="I3746" s="366"/>
      <c r="J3746" s="365" t="s">
        <v>72</v>
      </c>
      <c r="K3746" s="246">
        <f>+K3743*K3744/K3745</f>
        <v>65.013695370370371</v>
      </c>
      <c r="L3746" s="365" t="s">
        <v>205</v>
      </c>
      <c r="M3746" s="54"/>
      <c r="N3746" s="54"/>
      <c r="O3746" s="336"/>
      <c r="P3746" s="334"/>
      <c r="Q3746" s="335"/>
      <c r="R3746" s="336"/>
      <c r="S3746" s="337"/>
    </row>
    <row r="3747" spans="1:26" ht="30" customHeight="1" x14ac:dyDescent="0.25">
      <c r="A3747" s="365"/>
      <c r="B3747" s="365"/>
      <c r="C3747" s="366"/>
      <c r="D3747" s="366"/>
      <c r="E3747" s="366"/>
      <c r="F3747" s="366"/>
      <c r="G3747" s="580" t="s">
        <v>306</v>
      </c>
      <c r="H3747" s="366"/>
      <c r="I3747" s="366"/>
      <c r="J3747" s="521">
        <f>VLOOKUP(B3739,'Mil Cost Premiums for PUCs'!$A$4:$R$277,18,FALSE)</f>
        <v>1.0240629999999997</v>
      </c>
      <c r="K3747" s="246">
        <f>+K3746*J3747</f>
        <v>66.578119922067572</v>
      </c>
      <c r="L3747" s="365" t="s">
        <v>205</v>
      </c>
      <c r="M3747" s="54"/>
      <c r="N3747" s="54"/>
      <c r="O3747" s="336"/>
      <c r="P3747" s="334"/>
      <c r="Q3747" s="335"/>
      <c r="R3747" s="336"/>
      <c r="S3747" s="337"/>
    </row>
    <row r="3748" spans="1:26" ht="30" customHeight="1" thickBot="1" x14ac:dyDescent="0.3">
      <c r="A3748" s="844"/>
      <c r="B3748" s="844"/>
      <c r="C3748" s="471"/>
      <c r="D3748" s="471"/>
      <c r="E3748" s="850"/>
      <c r="F3748" s="1278" t="s">
        <v>1148</v>
      </c>
      <c r="G3748" s="1278"/>
      <c r="H3748" s="1278"/>
      <c r="I3748" s="1278"/>
      <c r="J3748" s="845">
        <v>1.0833999999999999</v>
      </c>
      <c r="K3748" s="544">
        <f>K3747*J3748</f>
        <v>72.130735123568002</v>
      </c>
      <c r="L3748" s="369" t="s">
        <v>205</v>
      </c>
      <c r="N3748" s="54"/>
      <c r="O3748" s="336"/>
      <c r="P3748" s="334"/>
      <c r="Q3748" s="335"/>
      <c r="R3748" s="336"/>
      <c r="S3748" s="337"/>
    </row>
    <row r="3749" spans="1:26" ht="30" customHeight="1" thickBot="1" x14ac:dyDescent="0.3">
      <c r="A3749" s="1180"/>
      <c r="B3749" s="1181"/>
      <c r="C3749" s="1181"/>
      <c r="D3749" s="1181"/>
      <c r="E3749" s="1181"/>
      <c r="F3749" s="1181"/>
      <c r="G3749" s="1181"/>
      <c r="H3749" s="1181"/>
      <c r="I3749" s="1181"/>
      <c r="J3749" s="1181"/>
      <c r="K3749" s="1181"/>
      <c r="L3749" s="1182"/>
      <c r="M3749" s="54"/>
      <c r="N3749" s="54"/>
      <c r="O3749" s="336"/>
      <c r="P3749" s="334"/>
      <c r="Q3749" s="335"/>
      <c r="R3749" s="336"/>
      <c r="S3749" s="337"/>
    </row>
    <row r="3750" spans="1:26" ht="30" customHeight="1" x14ac:dyDescent="0.25">
      <c r="A3750" s="327" t="s">
        <v>5</v>
      </c>
      <c r="B3750" s="328">
        <v>7413</v>
      </c>
      <c r="C3750" s="1251" t="s">
        <v>2072</v>
      </c>
      <c r="D3750" s="1252"/>
      <c r="E3750" s="331" t="s">
        <v>8</v>
      </c>
      <c r="F3750" s="332" t="s">
        <v>205</v>
      </c>
      <c r="G3750" s="342" t="s">
        <v>74</v>
      </c>
      <c r="H3750" s="156">
        <v>4240</v>
      </c>
      <c r="I3750" s="331" t="s">
        <v>10</v>
      </c>
      <c r="J3750" s="1220" t="s">
        <v>3388</v>
      </c>
      <c r="K3750" s="1220"/>
      <c r="L3750" s="1221"/>
      <c r="M3750" s="54"/>
      <c r="N3750" s="54"/>
      <c r="O3750" s="336"/>
      <c r="P3750" s="334"/>
      <c r="Q3750" s="335"/>
      <c r="R3750" s="336"/>
      <c r="S3750" s="337"/>
    </row>
    <row r="3751" spans="1:26" ht="30" customHeight="1" x14ac:dyDescent="0.25">
      <c r="A3751" s="359" t="s">
        <v>295</v>
      </c>
      <c r="B3751" s="1222" t="s">
        <v>326</v>
      </c>
      <c r="C3751" s="1235"/>
      <c r="D3751" s="1223"/>
      <c r="E3751" s="577" t="s">
        <v>116</v>
      </c>
      <c r="F3751" s="577" t="s">
        <v>117</v>
      </c>
      <c r="G3751" s="1194" t="s">
        <v>118</v>
      </c>
      <c r="H3751" s="1195"/>
      <c r="I3751" s="356" t="s">
        <v>296</v>
      </c>
      <c r="J3751" s="356"/>
      <c r="K3751" s="581" t="s">
        <v>285</v>
      </c>
      <c r="L3751" s="382"/>
      <c r="M3751" s="54"/>
      <c r="N3751" s="54"/>
      <c r="O3751" s="336"/>
      <c r="P3751" s="334"/>
      <c r="Q3751" s="335"/>
      <c r="R3751" s="336"/>
      <c r="S3751" s="337"/>
    </row>
    <row r="3752" spans="1:26" ht="30" customHeight="1" x14ac:dyDescent="0.25">
      <c r="A3752" s="755" t="s">
        <v>2073</v>
      </c>
      <c r="B3752" s="1214" t="s">
        <v>2074</v>
      </c>
      <c r="C3752" s="1215"/>
      <c r="D3752" s="1216"/>
      <c r="E3752" s="247">
        <v>105</v>
      </c>
      <c r="F3752" s="396" t="s">
        <v>205</v>
      </c>
      <c r="G3752" s="956"/>
      <c r="H3752" s="957"/>
      <c r="I3752" s="706">
        <v>1.05</v>
      </c>
      <c r="J3752" s="365"/>
      <c r="K3752" s="247">
        <f>+E3752*I3752</f>
        <v>110.25</v>
      </c>
      <c r="L3752" s="365" t="s">
        <v>205</v>
      </c>
      <c r="M3752" s="54"/>
      <c r="N3752" s="54"/>
      <c r="O3752" s="336"/>
      <c r="P3752" s="334"/>
      <c r="Q3752" s="335"/>
      <c r="R3752" s="336"/>
      <c r="S3752" s="337"/>
    </row>
    <row r="3753" spans="1:26" ht="30" customHeight="1" x14ac:dyDescent="0.25">
      <c r="A3753" s="895" t="s">
        <v>1714</v>
      </c>
      <c r="B3753" s="1269" t="s">
        <v>2042</v>
      </c>
      <c r="C3753" s="1269"/>
      <c r="D3753" s="1269"/>
      <c r="E3753" s="247">
        <v>4.09</v>
      </c>
      <c r="F3753" s="365" t="s">
        <v>205</v>
      </c>
      <c r="G3753" s="365"/>
      <c r="H3753" s="365"/>
      <c r="I3753" s="706">
        <v>1.05</v>
      </c>
      <c r="J3753" s="365"/>
      <c r="K3753" s="247">
        <f>+E3753*I3753</f>
        <v>4.2945000000000002</v>
      </c>
      <c r="L3753" s="365" t="s">
        <v>205</v>
      </c>
      <c r="M3753" s="54"/>
      <c r="N3753" s="54"/>
      <c r="O3753" s="336"/>
      <c r="P3753" s="334"/>
      <c r="Q3753" s="335"/>
      <c r="R3753" s="336"/>
      <c r="S3753" s="337"/>
      <c r="U3753" s="345"/>
    </row>
    <row r="3754" spans="1:26" ht="30" customHeight="1" x14ac:dyDescent="0.25">
      <c r="A3754" s="365"/>
      <c r="B3754" s="365"/>
      <c r="C3754" s="366"/>
      <c r="D3754" s="366"/>
      <c r="E3754" s="366"/>
      <c r="F3754" s="366"/>
      <c r="G3754" s="580"/>
      <c r="H3754" s="366"/>
      <c r="I3754" s="366"/>
      <c r="J3754" s="365" t="s">
        <v>343</v>
      </c>
      <c r="K3754" s="246">
        <f>SUM(K3752:K3753)</f>
        <v>114.5445</v>
      </c>
      <c r="L3754" s="365" t="s">
        <v>205</v>
      </c>
      <c r="M3754" s="54"/>
      <c r="N3754" s="54"/>
      <c r="O3754" s="336"/>
      <c r="P3754" s="334"/>
      <c r="Q3754" s="335"/>
      <c r="R3754" s="336"/>
      <c r="S3754" s="337"/>
    </row>
    <row r="3755" spans="1:26" ht="30" customHeight="1" x14ac:dyDescent="0.25">
      <c r="A3755" s="365"/>
      <c r="B3755" s="578"/>
      <c r="C3755" s="578"/>
      <c r="D3755" s="578"/>
      <c r="E3755" s="247"/>
      <c r="F3755" s="1272" t="s">
        <v>303</v>
      </c>
      <c r="G3755" s="1283" t="s">
        <v>304</v>
      </c>
      <c r="H3755" s="1283"/>
      <c r="I3755" s="1283"/>
      <c r="J3755" s="1283"/>
      <c r="K3755" s="250">
        <v>1.07</v>
      </c>
      <c r="L3755" s="365"/>
      <c r="M3755" s="54"/>
      <c r="O3755" s="336"/>
      <c r="P3755" s="334"/>
      <c r="Q3755" s="335"/>
      <c r="R3755" s="336"/>
      <c r="S3755" s="337"/>
    </row>
    <row r="3756" spans="1:26" ht="30" customHeight="1" x14ac:dyDescent="0.25">
      <c r="A3756" s="365"/>
      <c r="B3756" s="578"/>
      <c r="C3756" s="578"/>
      <c r="D3756" s="578"/>
      <c r="E3756" s="247"/>
      <c r="F3756" s="1273"/>
      <c r="G3756" s="1284" t="s">
        <v>438</v>
      </c>
      <c r="H3756" s="1284"/>
      <c r="I3756" s="1284"/>
      <c r="J3756" s="1284"/>
      <c r="K3756" s="250">
        <v>1.08</v>
      </c>
      <c r="L3756" s="365"/>
      <c r="M3756" s="54"/>
      <c r="N3756" s="54"/>
      <c r="O3756" s="336"/>
      <c r="P3756" s="344"/>
      <c r="Q3756" s="345"/>
      <c r="R3756" s="345"/>
      <c r="S3756" s="345"/>
      <c r="T3756" s="345"/>
    </row>
    <row r="3757" spans="1:26" ht="30" customHeight="1" x14ac:dyDescent="0.25">
      <c r="A3757" s="365"/>
      <c r="B3757" s="365"/>
      <c r="C3757" s="366"/>
      <c r="D3757" s="366"/>
      <c r="E3757" s="366"/>
      <c r="F3757" s="366"/>
      <c r="G3757" s="580"/>
      <c r="H3757" s="366"/>
      <c r="I3757" s="366"/>
      <c r="J3757" s="365" t="s">
        <v>72</v>
      </c>
      <c r="K3757" s="246">
        <f>+K3754*K3755/K3756</f>
        <v>113.48390277777777</v>
      </c>
      <c r="L3757" s="365" t="s">
        <v>205</v>
      </c>
      <c r="M3757" s="54"/>
      <c r="N3757" s="111"/>
      <c r="O3757" s="336"/>
      <c r="P3757" s="344"/>
      <c r="Q3757" s="345"/>
      <c r="R3757" s="345"/>
      <c r="S3757" s="345"/>
      <c r="T3757" s="345"/>
    </row>
    <row r="3758" spans="1:26" ht="30" customHeight="1" x14ac:dyDescent="0.25">
      <c r="A3758" s="365"/>
      <c r="B3758" s="365"/>
      <c r="C3758" s="366"/>
      <c r="D3758" s="366"/>
      <c r="E3758" s="366"/>
      <c r="F3758" s="366"/>
      <c r="G3758" s="580" t="s">
        <v>306</v>
      </c>
      <c r="H3758" s="366"/>
      <c r="I3758" s="366"/>
      <c r="J3758" s="521">
        <f>VLOOKUP(B3750,'Mil Cost Premiums for PUCs'!$A$4:$R$277,18,FALSE)</f>
        <v>1.3319480854780448</v>
      </c>
      <c r="K3758" s="246">
        <f>+K3757*J3758</f>
        <v>151.15466703743766</v>
      </c>
      <c r="L3758" s="365" t="s">
        <v>205</v>
      </c>
      <c r="M3758" s="54"/>
      <c r="N3758" s="54"/>
      <c r="O3758" s="336"/>
      <c r="P3758" s="344"/>
      <c r="Q3758" s="345"/>
      <c r="R3758" s="345"/>
      <c r="S3758" s="345"/>
      <c r="T3758" s="345"/>
    </row>
    <row r="3759" spans="1:26" ht="30" customHeight="1" thickBot="1" x14ac:dyDescent="0.3">
      <c r="A3759" s="844"/>
      <c r="B3759" s="844"/>
      <c r="C3759" s="471"/>
      <c r="D3759" s="471"/>
      <c r="E3759" s="850"/>
      <c r="F3759" s="1278" t="s">
        <v>1148</v>
      </c>
      <c r="G3759" s="1278"/>
      <c r="H3759" s="1278"/>
      <c r="I3759" s="1278"/>
      <c r="J3759" s="845">
        <v>1.0833999999999999</v>
      </c>
      <c r="K3759" s="544">
        <f>K3758*J3759</f>
        <v>163.76096626835994</v>
      </c>
      <c r="L3759" s="369" t="s">
        <v>205</v>
      </c>
      <c r="N3759" s="54"/>
      <c r="O3759" s="336"/>
      <c r="P3759" s="344"/>
      <c r="Q3759" s="345"/>
      <c r="R3759" s="345"/>
      <c r="S3759" s="345"/>
      <c r="T3759" s="345"/>
      <c r="V3759" s="345"/>
      <c r="W3759" s="345"/>
      <c r="X3759" s="345"/>
      <c r="Y3759" s="345"/>
    </row>
    <row r="3760" spans="1:26" ht="30" customHeight="1" thickBot="1" x14ac:dyDescent="0.3">
      <c r="A3760" s="1180"/>
      <c r="B3760" s="1181"/>
      <c r="C3760" s="1181"/>
      <c r="D3760" s="1181"/>
      <c r="E3760" s="1181"/>
      <c r="F3760" s="1181"/>
      <c r="G3760" s="1181"/>
      <c r="H3760" s="1181"/>
      <c r="I3760" s="1181"/>
      <c r="J3760" s="1181"/>
      <c r="K3760" s="1181"/>
      <c r="L3760" s="1182"/>
      <c r="M3760" s="54"/>
      <c r="N3760" s="54"/>
      <c r="O3760" s="336"/>
      <c r="Z3760" s="345"/>
    </row>
    <row r="3761" spans="1:26" ht="30" customHeight="1" x14ac:dyDescent="0.25">
      <c r="A3761" s="327" t="s">
        <v>5</v>
      </c>
      <c r="B3761" s="328">
        <v>7414</v>
      </c>
      <c r="C3761" s="1251" t="s">
        <v>2075</v>
      </c>
      <c r="D3761" s="1252"/>
      <c r="E3761" s="331" t="s">
        <v>8</v>
      </c>
      <c r="F3761" s="332" t="s">
        <v>205</v>
      </c>
      <c r="G3761" s="342" t="s">
        <v>74</v>
      </c>
      <c r="H3761" s="156">
        <v>3688</v>
      </c>
      <c r="I3761" s="331" t="s">
        <v>10</v>
      </c>
      <c r="J3761" s="1220" t="s">
        <v>3388</v>
      </c>
      <c r="K3761" s="1220"/>
      <c r="L3761" s="1221"/>
      <c r="M3761" s="54"/>
      <c r="N3761" s="54"/>
      <c r="O3761" s="336"/>
      <c r="V3761" s="345"/>
      <c r="W3761" s="345"/>
      <c r="X3761" s="345"/>
      <c r="Y3761" s="345"/>
    </row>
    <row r="3762" spans="1:26" ht="30" customHeight="1" x14ac:dyDescent="0.25">
      <c r="A3762" s="359" t="s">
        <v>295</v>
      </c>
      <c r="B3762" s="1222" t="s">
        <v>326</v>
      </c>
      <c r="C3762" s="1235"/>
      <c r="D3762" s="1223"/>
      <c r="E3762" s="577" t="s">
        <v>116</v>
      </c>
      <c r="F3762" s="577" t="s">
        <v>117</v>
      </c>
      <c r="G3762" s="1194" t="s">
        <v>118</v>
      </c>
      <c r="H3762" s="1195"/>
      <c r="I3762" s="356" t="s">
        <v>296</v>
      </c>
      <c r="J3762" s="356"/>
      <c r="K3762" s="581" t="s">
        <v>285</v>
      </c>
      <c r="L3762" s="382"/>
      <c r="M3762" s="54"/>
      <c r="N3762" s="54"/>
      <c r="O3762" s="336"/>
      <c r="U3762" s="10"/>
      <c r="Z3762" s="345"/>
    </row>
    <row r="3763" spans="1:26" s="345" customFormat="1" ht="30" customHeight="1" x14ac:dyDescent="0.25">
      <c r="A3763" s="755" t="s">
        <v>2034</v>
      </c>
      <c r="B3763" s="1214" t="s">
        <v>2035</v>
      </c>
      <c r="C3763" s="1215"/>
      <c r="D3763" s="1216"/>
      <c r="E3763" s="247">
        <v>128</v>
      </c>
      <c r="F3763" s="396" t="s">
        <v>205</v>
      </c>
      <c r="G3763" s="956"/>
      <c r="H3763" s="957"/>
      <c r="I3763" s="365">
        <v>1.05</v>
      </c>
      <c r="J3763" s="365"/>
      <c r="K3763" s="247">
        <f>+E3763*I3763</f>
        <v>134.4</v>
      </c>
      <c r="L3763" s="365" t="s">
        <v>205</v>
      </c>
      <c r="M3763" s="54"/>
      <c r="N3763" s="54"/>
      <c r="O3763" s="336"/>
      <c r="P3763" s="340"/>
      <c r="Q3763" s="334"/>
      <c r="R3763" s="334"/>
      <c r="S3763" s="334"/>
      <c r="T3763" s="334"/>
      <c r="U3763" s="10"/>
      <c r="V3763" s="334"/>
      <c r="W3763" s="334"/>
      <c r="X3763" s="334"/>
      <c r="Y3763" s="334"/>
      <c r="Z3763" s="334"/>
    </row>
    <row r="3764" spans="1:26" ht="30" customHeight="1" x14ac:dyDescent="0.25">
      <c r="A3764" s="365" t="s">
        <v>456</v>
      </c>
      <c r="B3764" s="1269" t="s">
        <v>2052</v>
      </c>
      <c r="C3764" s="1269"/>
      <c r="D3764" s="1269"/>
      <c r="E3764" s="247">
        <v>4.8600000000000003</v>
      </c>
      <c r="F3764" s="365" t="s">
        <v>205</v>
      </c>
      <c r="G3764" s="365"/>
      <c r="H3764" s="365"/>
      <c r="I3764" s="365">
        <v>1.05</v>
      </c>
      <c r="J3764" s="365"/>
      <c r="K3764" s="247">
        <f>+E3764*I3764</f>
        <v>5.1030000000000006</v>
      </c>
      <c r="L3764" s="365" t="s">
        <v>205</v>
      </c>
      <c r="M3764" s="54"/>
      <c r="N3764" s="54"/>
      <c r="O3764" s="336"/>
      <c r="T3764" s="10"/>
    </row>
    <row r="3765" spans="1:26" s="345" customFormat="1" ht="30" customHeight="1" x14ac:dyDescent="0.25">
      <c r="A3765" s="365"/>
      <c r="B3765" s="365"/>
      <c r="C3765" s="366"/>
      <c r="D3765" s="366"/>
      <c r="E3765" s="366"/>
      <c r="F3765" s="366"/>
      <c r="G3765" s="366"/>
      <c r="H3765" s="366"/>
      <c r="I3765" s="366"/>
      <c r="J3765" s="365" t="s">
        <v>343</v>
      </c>
      <c r="K3765" s="246">
        <f>SUM(K3763:K3764)</f>
        <v>139.50300000000001</v>
      </c>
      <c r="L3765" s="365" t="s">
        <v>205</v>
      </c>
      <c r="M3765" s="54"/>
      <c r="N3765" s="54"/>
      <c r="O3765" s="336"/>
      <c r="P3765" s="340"/>
      <c r="Q3765" s="334"/>
      <c r="R3765" s="334"/>
      <c r="S3765" s="334"/>
      <c r="T3765" s="10"/>
      <c r="U3765" s="334"/>
      <c r="V3765" s="334"/>
      <c r="W3765" s="334"/>
      <c r="X3765" s="334"/>
      <c r="Y3765" s="334"/>
      <c r="Z3765" s="334"/>
    </row>
    <row r="3766" spans="1:26" ht="30" customHeight="1" x14ac:dyDescent="0.25">
      <c r="A3766" s="365"/>
      <c r="B3766" s="578"/>
      <c r="C3766" s="578"/>
      <c r="D3766" s="578"/>
      <c r="E3766" s="247"/>
      <c r="F3766" s="1272" t="s">
        <v>303</v>
      </c>
      <c r="G3766" s="1283" t="s">
        <v>304</v>
      </c>
      <c r="H3766" s="1283"/>
      <c r="I3766" s="1283"/>
      <c r="J3766" s="1283"/>
      <c r="K3766" s="250">
        <v>1.07</v>
      </c>
      <c r="L3766" s="365"/>
      <c r="M3766" s="54"/>
      <c r="O3766" s="336"/>
      <c r="P3766" s="334"/>
      <c r="Q3766" s="335"/>
      <c r="R3766" s="336"/>
      <c r="S3766" s="337"/>
    </row>
    <row r="3767" spans="1:26" ht="30" customHeight="1" x14ac:dyDescent="0.25">
      <c r="A3767" s="365"/>
      <c r="B3767" s="578"/>
      <c r="C3767" s="578"/>
      <c r="D3767" s="578"/>
      <c r="E3767" s="247"/>
      <c r="F3767" s="1273"/>
      <c r="G3767" s="1284" t="s">
        <v>438</v>
      </c>
      <c r="H3767" s="1284"/>
      <c r="I3767" s="1284"/>
      <c r="J3767" s="1284"/>
      <c r="K3767" s="250">
        <v>1.08</v>
      </c>
      <c r="L3767" s="365"/>
      <c r="M3767" s="54"/>
      <c r="N3767" s="54"/>
      <c r="O3767" s="336"/>
      <c r="P3767" s="334"/>
      <c r="Q3767" s="335"/>
      <c r="R3767" s="336"/>
      <c r="S3767" s="337"/>
    </row>
    <row r="3768" spans="1:26" ht="30" customHeight="1" x14ac:dyDescent="0.25">
      <c r="A3768" s="365"/>
      <c r="B3768" s="365"/>
      <c r="C3768" s="366"/>
      <c r="D3768" s="366"/>
      <c r="E3768" s="366"/>
      <c r="F3768" s="366"/>
      <c r="G3768" s="366"/>
      <c r="H3768" s="366"/>
      <c r="I3768" s="366"/>
      <c r="J3768" s="365" t="s">
        <v>72</v>
      </c>
      <c r="K3768" s="246">
        <f>+K3765*K3766/K3767</f>
        <v>138.21130555555555</v>
      </c>
      <c r="L3768" s="365" t="s">
        <v>205</v>
      </c>
      <c r="M3768" s="54"/>
      <c r="N3768" s="54"/>
      <c r="O3768" s="336"/>
      <c r="P3768" s="334"/>
      <c r="Q3768" s="335"/>
      <c r="R3768" s="336"/>
      <c r="S3768" s="337"/>
    </row>
    <row r="3769" spans="1:26" ht="30" customHeight="1" x14ac:dyDescent="0.25">
      <c r="A3769" s="365"/>
      <c r="B3769" s="365"/>
      <c r="C3769" s="366"/>
      <c r="D3769" s="366"/>
      <c r="E3769" s="366"/>
      <c r="F3769" s="366"/>
      <c r="G3769" s="580" t="s">
        <v>306</v>
      </c>
      <c r="H3769" s="366"/>
      <c r="I3769" s="366"/>
      <c r="J3769" s="521">
        <f>VLOOKUP(B3761,'Mil Cost Premiums for PUCs'!$A$4:$R$277,18,FALSE)</f>
        <v>1.2470022895162014</v>
      </c>
      <c r="K3769" s="246">
        <f>+K3768*J3769</f>
        <v>172.34981446480106</v>
      </c>
      <c r="L3769" s="365" t="s">
        <v>205</v>
      </c>
      <c r="M3769" s="54"/>
      <c r="N3769" s="54"/>
      <c r="O3769" s="336"/>
      <c r="P3769" s="334"/>
      <c r="Q3769" s="335"/>
      <c r="R3769" s="336"/>
      <c r="S3769" s="337"/>
    </row>
    <row r="3770" spans="1:26" ht="30" customHeight="1" thickBot="1" x14ac:dyDescent="0.3">
      <c r="A3770" s="844"/>
      <c r="B3770" s="844"/>
      <c r="C3770" s="471"/>
      <c r="D3770" s="471"/>
      <c r="E3770" s="850"/>
      <c r="F3770" s="1278" t="s">
        <v>1148</v>
      </c>
      <c r="G3770" s="1278"/>
      <c r="H3770" s="1278"/>
      <c r="I3770" s="1278"/>
      <c r="J3770" s="845">
        <v>1.0833999999999999</v>
      </c>
      <c r="K3770" s="544">
        <f>K3769*J3770</f>
        <v>186.72378899116546</v>
      </c>
      <c r="L3770" s="369" t="s">
        <v>205</v>
      </c>
      <c r="N3770" s="54"/>
      <c r="O3770" s="336"/>
      <c r="P3770" s="334"/>
      <c r="Q3770" s="335"/>
      <c r="R3770" s="336"/>
      <c r="S3770" s="337"/>
    </row>
    <row r="3771" spans="1:26" ht="30" customHeight="1" thickBot="1" x14ac:dyDescent="0.3">
      <c r="A3771" s="1180"/>
      <c r="B3771" s="1181"/>
      <c r="C3771" s="1181"/>
      <c r="D3771" s="1181"/>
      <c r="E3771" s="1181"/>
      <c r="F3771" s="1181"/>
      <c r="G3771" s="1181"/>
      <c r="H3771" s="1181"/>
      <c r="I3771" s="1181"/>
      <c r="J3771" s="1181"/>
      <c r="K3771" s="1181"/>
      <c r="L3771" s="1182"/>
      <c r="M3771" s="54"/>
      <c r="N3771" s="111"/>
      <c r="O3771" s="336"/>
      <c r="P3771" s="334"/>
      <c r="Q3771" s="335"/>
      <c r="R3771" s="336"/>
      <c r="S3771" s="337"/>
    </row>
    <row r="3772" spans="1:26" ht="30" customHeight="1" x14ac:dyDescent="0.25">
      <c r="A3772" s="327" t="s">
        <v>5</v>
      </c>
      <c r="B3772" s="328">
        <v>7415</v>
      </c>
      <c r="C3772" s="1251" t="s">
        <v>2076</v>
      </c>
      <c r="D3772" s="1252"/>
      <c r="E3772" s="331" t="s">
        <v>8</v>
      </c>
      <c r="F3772" s="332" t="s">
        <v>205</v>
      </c>
      <c r="G3772" s="342" t="s">
        <v>74</v>
      </c>
      <c r="H3772" s="156">
        <v>17348</v>
      </c>
      <c r="I3772" s="331" t="s">
        <v>10</v>
      </c>
      <c r="J3772" s="1220" t="s">
        <v>3388</v>
      </c>
      <c r="K3772" s="1220"/>
      <c r="L3772" s="1221"/>
      <c r="M3772" s="54"/>
      <c r="N3772" s="54"/>
      <c r="O3772" s="543"/>
      <c r="P3772" s="334"/>
      <c r="Q3772" s="335"/>
      <c r="R3772" s="336"/>
      <c r="S3772" s="337"/>
    </row>
    <row r="3773" spans="1:26" ht="30" customHeight="1" x14ac:dyDescent="0.25">
      <c r="A3773" s="359" t="s">
        <v>295</v>
      </c>
      <c r="B3773" s="1222" t="s">
        <v>326</v>
      </c>
      <c r="C3773" s="1235"/>
      <c r="D3773" s="1223"/>
      <c r="E3773" s="577" t="s">
        <v>116</v>
      </c>
      <c r="F3773" s="577" t="s">
        <v>117</v>
      </c>
      <c r="G3773" s="1194" t="s">
        <v>118</v>
      </c>
      <c r="H3773" s="1195"/>
      <c r="I3773" s="356" t="s">
        <v>296</v>
      </c>
      <c r="J3773" s="356"/>
      <c r="K3773" s="581" t="s">
        <v>285</v>
      </c>
      <c r="L3773" s="382"/>
      <c r="M3773" s="54"/>
      <c r="N3773" s="54"/>
      <c r="P3773" s="334"/>
      <c r="Q3773" s="335"/>
      <c r="R3773" s="336"/>
      <c r="S3773" s="337"/>
    </row>
    <row r="3774" spans="1:26" ht="30" customHeight="1" x14ac:dyDescent="0.25">
      <c r="A3774" s="755" t="s">
        <v>2077</v>
      </c>
      <c r="B3774" s="1214" t="s">
        <v>2078</v>
      </c>
      <c r="C3774" s="1215"/>
      <c r="D3774" s="1216"/>
      <c r="E3774" s="247">
        <v>108</v>
      </c>
      <c r="F3774" s="396" t="s">
        <v>205</v>
      </c>
      <c r="G3774" s="956"/>
      <c r="H3774" s="957"/>
      <c r="I3774" s="365">
        <v>1.06</v>
      </c>
      <c r="J3774" s="365"/>
      <c r="K3774" s="247">
        <f>+E3774*I3774</f>
        <v>114.48</v>
      </c>
      <c r="L3774" s="365" t="s">
        <v>205</v>
      </c>
      <c r="M3774" s="54"/>
      <c r="N3774" s="54"/>
      <c r="P3774" s="334"/>
      <c r="Q3774" s="335"/>
      <c r="R3774" s="336"/>
      <c r="S3774" s="337"/>
    </row>
    <row r="3775" spans="1:26" ht="30" customHeight="1" x14ac:dyDescent="0.25">
      <c r="A3775" s="365" t="s">
        <v>2079</v>
      </c>
      <c r="B3775" s="1269" t="s">
        <v>2080</v>
      </c>
      <c r="C3775" s="1269"/>
      <c r="D3775" s="1269"/>
      <c r="E3775" s="247">
        <v>3.54</v>
      </c>
      <c r="F3775" s="365" t="s">
        <v>205</v>
      </c>
      <c r="G3775" s="365"/>
      <c r="H3775" s="365"/>
      <c r="I3775" s="365">
        <v>1.06</v>
      </c>
      <c r="J3775" s="365"/>
      <c r="K3775" s="247">
        <f>+E3775*I3775</f>
        <v>3.7524000000000002</v>
      </c>
      <c r="L3775" s="365" t="s">
        <v>205</v>
      </c>
      <c r="M3775" s="54"/>
      <c r="N3775" s="54"/>
      <c r="P3775" s="334"/>
      <c r="Q3775" s="335"/>
      <c r="R3775" s="336"/>
      <c r="S3775" s="337"/>
    </row>
    <row r="3776" spans="1:26" ht="30" customHeight="1" x14ac:dyDescent="0.25">
      <c r="A3776" s="365"/>
      <c r="B3776" s="365"/>
      <c r="C3776" s="366"/>
      <c r="D3776" s="366"/>
      <c r="E3776" s="366"/>
      <c r="F3776" s="366"/>
      <c r="G3776" s="366"/>
      <c r="H3776" s="366"/>
      <c r="I3776" s="366"/>
      <c r="J3776" s="365" t="s">
        <v>343</v>
      </c>
      <c r="K3776" s="246">
        <f>SUM(K3774:K3775)</f>
        <v>118.2324</v>
      </c>
      <c r="L3776" s="365" t="s">
        <v>205</v>
      </c>
      <c r="M3776" s="54"/>
      <c r="N3776" s="54"/>
      <c r="P3776" s="334"/>
      <c r="Q3776" s="335"/>
      <c r="R3776" s="336"/>
      <c r="S3776" s="337"/>
    </row>
    <row r="3777" spans="1:19" ht="30" customHeight="1" x14ac:dyDescent="0.25">
      <c r="A3777" s="365"/>
      <c r="B3777" s="578"/>
      <c r="C3777" s="578"/>
      <c r="D3777" s="578"/>
      <c r="E3777" s="247"/>
      <c r="F3777" s="1272" t="s">
        <v>303</v>
      </c>
      <c r="G3777" s="1283" t="s">
        <v>304</v>
      </c>
      <c r="H3777" s="1283"/>
      <c r="I3777" s="1283"/>
      <c r="J3777" s="1283"/>
      <c r="K3777" s="250">
        <v>1.07</v>
      </c>
      <c r="L3777" s="365"/>
      <c r="M3777" s="54"/>
      <c r="O3777" s="336"/>
      <c r="P3777" s="334"/>
      <c r="Q3777" s="335"/>
      <c r="R3777" s="336"/>
      <c r="S3777" s="337"/>
    </row>
    <row r="3778" spans="1:19" ht="30" customHeight="1" x14ac:dyDescent="0.25">
      <c r="A3778" s="365"/>
      <c r="B3778" s="578"/>
      <c r="C3778" s="578"/>
      <c r="D3778" s="578"/>
      <c r="E3778" s="247"/>
      <c r="F3778" s="1273"/>
      <c r="G3778" s="1284" t="s">
        <v>438</v>
      </c>
      <c r="H3778" s="1284"/>
      <c r="I3778" s="1284"/>
      <c r="J3778" s="1284"/>
      <c r="K3778" s="250">
        <v>1.08</v>
      </c>
      <c r="L3778" s="365"/>
      <c r="M3778" s="54"/>
      <c r="N3778" s="54"/>
      <c r="P3778" s="334"/>
      <c r="Q3778" s="335"/>
      <c r="R3778" s="336"/>
      <c r="S3778" s="337"/>
    </row>
    <row r="3779" spans="1:19" ht="30" customHeight="1" x14ac:dyDescent="0.25">
      <c r="A3779" s="365"/>
      <c r="B3779" s="365"/>
      <c r="C3779" s="366"/>
      <c r="D3779" s="366"/>
      <c r="E3779" s="366"/>
      <c r="F3779" s="366"/>
      <c r="G3779" s="366"/>
      <c r="H3779" s="366"/>
      <c r="I3779" s="366"/>
      <c r="J3779" s="365" t="s">
        <v>72</v>
      </c>
      <c r="K3779" s="246">
        <f>+K3776*K3777/K3778</f>
        <v>117.13765555555555</v>
      </c>
      <c r="L3779" s="365" t="s">
        <v>205</v>
      </c>
      <c r="M3779" s="54"/>
      <c r="N3779" s="54"/>
      <c r="P3779" s="334"/>
      <c r="Q3779" s="335"/>
      <c r="R3779" s="336"/>
      <c r="S3779" s="337"/>
    </row>
    <row r="3780" spans="1:19" ht="30" customHeight="1" x14ac:dyDescent="0.25">
      <c r="A3780" s="365"/>
      <c r="B3780" s="365"/>
      <c r="C3780" s="366"/>
      <c r="D3780" s="366"/>
      <c r="E3780" s="366"/>
      <c r="F3780" s="366"/>
      <c r="G3780" s="580" t="s">
        <v>306</v>
      </c>
      <c r="H3780" s="366"/>
      <c r="I3780" s="366"/>
      <c r="J3780" s="521">
        <f>VLOOKUP(B3772,'Mil Cost Premiums for PUCs'!$A$4:$R$277,18,FALSE)</f>
        <v>1.2815350593147223</v>
      </c>
      <c r="K3780" s="246">
        <f>+K3779*J3780</f>
        <v>150.1160123603764</v>
      </c>
      <c r="L3780" s="365" t="s">
        <v>205</v>
      </c>
      <c r="M3780" s="54"/>
      <c r="N3780" s="54"/>
      <c r="O3780" s="336"/>
      <c r="P3780" s="334"/>
      <c r="Q3780" s="335"/>
      <c r="R3780" s="336"/>
      <c r="S3780" s="337"/>
    </row>
    <row r="3781" spans="1:19" ht="30" customHeight="1" thickBot="1" x14ac:dyDescent="0.3">
      <c r="A3781" s="844"/>
      <c r="B3781" s="844"/>
      <c r="C3781" s="471"/>
      <c r="D3781" s="471"/>
      <c r="E3781" s="850"/>
      <c r="F3781" s="1278" t="s">
        <v>1148</v>
      </c>
      <c r="G3781" s="1278"/>
      <c r="H3781" s="1278"/>
      <c r="I3781" s="1278"/>
      <c r="J3781" s="845">
        <v>1.0833999999999999</v>
      </c>
      <c r="K3781" s="544">
        <f>K3780*J3781</f>
        <v>162.63568779123179</v>
      </c>
      <c r="L3781" s="369" t="s">
        <v>205</v>
      </c>
      <c r="N3781" s="54"/>
      <c r="O3781" s="336"/>
      <c r="P3781" s="334"/>
      <c r="Q3781" s="335"/>
      <c r="R3781" s="336"/>
      <c r="S3781" s="337"/>
    </row>
    <row r="3782" spans="1:19" ht="30" customHeight="1" thickBot="1" x14ac:dyDescent="0.3">
      <c r="A3782" s="1180"/>
      <c r="B3782" s="1181"/>
      <c r="C3782" s="1181"/>
      <c r="D3782" s="1181"/>
      <c r="E3782" s="1181"/>
      <c r="F3782" s="1181"/>
      <c r="G3782" s="1181"/>
      <c r="H3782" s="1181"/>
      <c r="I3782" s="1181"/>
      <c r="J3782" s="1181"/>
      <c r="K3782" s="1181"/>
      <c r="L3782" s="1182"/>
      <c r="M3782" s="54"/>
      <c r="N3782" s="54"/>
      <c r="O3782" s="336"/>
      <c r="P3782" s="334"/>
      <c r="Q3782" s="335"/>
      <c r="R3782" s="336"/>
      <c r="S3782" s="337"/>
    </row>
    <row r="3783" spans="1:19" ht="30" customHeight="1" x14ac:dyDescent="0.25">
      <c r="A3783" s="327" t="s">
        <v>5</v>
      </c>
      <c r="B3783" s="328">
        <v>7416</v>
      </c>
      <c r="C3783" s="1251" t="s">
        <v>2081</v>
      </c>
      <c r="D3783" s="1252"/>
      <c r="E3783" s="331" t="s">
        <v>8</v>
      </c>
      <c r="F3783" s="332" t="s">
        <v>205</v>
      </c>
      <c r="G3783" s="342" t="s">
        <v>74</v>
      </c>
      <c r="H3783" s="156">
        <v>10353</v>
      </c>
      <c r="I3783" s="331" t="s">
        <v>10</v>
      </c>
      <c r="J3783" s="1220" t="s">
        <v>3388</v>
      </c>
      <c r="K3783" s="1220"/>
      <c r="L3783" s="1221"/>
      <c r="M3783" s="54"/>
      <c r="N3783" s="54"/>
      <c r="O3783" s="336"/>
      <c r="P3783" s="334"/>
      <c r="Q3783" s="335"/>
      <c r="R3783" s="336"/>
      <c r="S3783" s="337"/>
    </row>
    <row r="3784" spans="1:19" ht="30" customHeight="1" x14ac:dyDescent="0.25">
      <c r="A3784" s="359" t="s">
        <v>295</v>
      </c>
      <c r="B3784" s="1222" t="s">
        <v>326</v>
      </c>
      <c r="C3784" s="1235"/>
      <c r="D3784" s="1223"/>
      <c r="E3784" s="577" t="s">
        <v>116</v>
      </c>
      <c r="F3784" s="577" t="s">
        <v>117</v>
      </c>
      <c r="G3784" s="1194" t="s">
        <v>118</v>
      </c>
      <c r="H3784" s="1195"/>
      <c r="I3784" s="356" t="s">
        <v>296</v>
      </c>
      <c r="J3784" s="356"/>
      <c r="K3784" s="581" t="s">
        <v>285</v>
      </c>
      <c r="L3784" s="382"/>
      <c r="M3784" s="54"/>
      <c r="N3784" s="54"/>
      <c r="O3784" s="336"/>
      <c r="P3784" s="334"/>
      <c r="Q3784" s="335"/>
      <c r="R3784" s="336"/>
      <c r="S3784" s="337"/>
    </row>
    <row r="3785" spans="1:19" ht="30" customHeight="1" x14ac:dyDescent="0.25">
      <c r="A3785" s="755" t="s">
        <v>2082</v>
      </c>
      <c r="B3785" s="1214" t="s">
        <v>2083</v>
      </c>
      <c r="C3785" s="1215"/>
      <c r="D3785" s="1216"/>
      <c r="E3785" s="247">
        <v>147</v>
      </c>
      <c r="F3785" s="396" t="s">
        <v>205</v>
      </c>
      <c r="G3785" s="956"/>
      <c r="H3785" s="957"/>
      <c r="I3785" s="365">
        <v>1.05</v>
      </c>
      <c r="J3785" s="365"/>
      <c r="K3785" s="247">
        <f>+E3785*I3785</f>
        <v>154.35</v>
      </c>
      <c r="L3785" s="365" t="s">
        <v>205</v>
      </c>
      <c r="M3785" s="54"/>
      <c r="N3785" s="54"/>
      <c r="O3785" s="336"/>
      <c r="P3785" s="334"/>
      <c r="Q3785" s="335"/>
      <c r="R3785" s="336"/>
      <c r="S3785" s="337"/>
    </row>
    <row r="3786" spans="1:19" ht="30" customHeight="1" x14ac:dyDescent="0.25">
      <c r="A3786" s="365" t="s">
        <v>456</v>
      </c>
      <c r="B3786" s="1269" t="s">
        <v>2070</v>
      </c>
      <c r="C3786" s="1269"/>
      <c r="D3786" s="1269"/>
      <c r="E3786" s="247">
        <v>4.0199999999999996</v>
      </c>
      <c r="F3786" s="365" t="s">
        <v>205</v>
      </c>
      <c r="G3786" s="365"/>
      <c r="H3786" s="365"/>
      <c r="I3786" s="365">
        <v>1.05</v>
      </c>
      <c r="J3786" s="365"/>
      <c r="K3786" s="247">
        <f>+E3786*I3786</f>
        <v>4.2210000000000001</v>
      </c>
      <c r="L3786" s="365" t="s">
        <v>205</v>
      </c>
      <c r="M3786" s="111"/>
      <c r="N3786" s="54"/>
      <c r="O3786" s="336"/>
      <c r="P3786" s="334"/>
      <c r="Q3786" s="335"/>
      <c r="R3786" s="336"/>
      <c r="S3786" s="337"/>
    </row>
    <row r="3787" spans="1:19" ht="30" customHeight="1" x14ac:dyDescent="0.25">
      <c r="A3787" s="365"/>
      <c r="B3787" s="365"/>
      <c r="C3787" s="366"/>
      <c r="D3787" s="366"/>
      <c r="E3787" s="366"/>
      <c r="F3787" s="366"/>
      <c r="G3787" s="366"/>
      <c r="H3787" s="366"/>
      <c r="I3787" s="366"/>
      <c r="J3787" s="365" t="s">
        <v>343</v>
      </c>
      <c r="K3787" s="246">
        <f>SUM(K3785:K3786)</f>
        <v>158.571</v>
      </c>
      <c r="L3787" s="365" t="s">
        <v>205</v>
      </c>
      <c r="M3787" s="54"/>
      <c r="N3787" s="54"/>
      <c r="O3787" s="336"/>
      <c r="P3787" s="334"/>
      <c r="Q3787" s="335"/>
      <c r="R3787" s="336"/>
      <c r="S3787" s="337"/>
    </row>
    <row r="3788" spans="1:19" ht="30" customHeight="1" x14ac:dyDescent="0.25">
      <c r="A3788" s="365"/>
      <c r="B3788" s="578"/>
      <c r="C3788" s="578"/>
      <c r="D3788" s="578"/>
      <c r="E3788" s="247"/>
      <c r="F3788" s="1272" t="s">
        <v>303</v>
      </c>
      <c r="G3788" s="1283" t="s">
        <v>304</v>
      </c>
      <c r="H3788" s="1283"/>
      <c r="I3788" s="1283"/>
      <c r="J3788" s="1283"/>
      <c r="K3788" s="250">
        <v>1.07</v>
      </c>
      <c r="L3788" s="365"/>
      <c r="M3788" s="54"/>
      <c r="O3788" s="336"/>
      <c r="P3788" s="334"/>
      <c r="Q3788" s="335"/>
      <c r="R3788" s="336"/>
      <c r="S3788" s="337"/>
    </row>
    <row r="3789" spans="1:19" ht="30" customHeight="1" x14ac:dyDescent="0.25">
      <c r="A3789" s="365"/>
      <c r="B3789" s="578"/>
      <c r="C3789" s="578"/>
      <c r="D3789" s="578"/>
      <c r="E3789" s="247"/>
      <c r="F3789" s="1273"/>
      <c r="G3789" s="1284" t="s">
        <v>438</v>
      </c>
      <c r="H3789" s="1284"/>
      <c r="I3789" s="1284"/>
      <c r="J3789" s="1284"/>
      <c r="K3789" s="250">
        <v>1.08</v>
      </c>
      <c r="L3789" s="365"/>
      <c r="M3789" s="54"/>
      <c r="N3789" s="54"/>
      <c r="O3789" s="336"/>
      <c r="P3789" s="334"/>
      <c r="Q3789" s="335"/>
      <c r="R3789" s="336"/>
      <c r="S3789" s="337"/>
    </row>
    <row r="3790" spans="1:19" ht="30" customHeight="1" x14ac:dyDescent="0.25">
      <c r="A3790" s="365"/>
      <c r="B3790" s="365"/>
      <c r="C3790" s="366"/>
      <c r="D3790" s="366"/>
      <c r="E3790" s="366"/>
      <c r="F3790" s="366"/>
      <c r="G3790" s="366"/>
      <c r="H3790" s="366"/>
      <c r="I3790" s="366"/>
      <c r="J3790" s="365" t="s">
        <v>72</v>
      </c>
      <c r="K3790" s="246">
        <f>+K3787*K3788/K3789</f>
        <v>157.10274999999999</v>
      </c>
      <c r="L3790" s="365" t="s">
        <v>205</v>
      </c>
      <c r="M3790" s="54"/>
      <c r="N3790" s="54"/>
      <c r="O3790" s="336"/>
      <c r="P3790" s="334"/>
      <c r="Q3790" s="335"/>
      <c r="R3790" s="336"/>
      <c r="S3790" s="337"/>
    </row>
    <row r="3791" spans="1:19" ht="30" customHeight="1" x14ac:dyDescent="0.25">
      <c r="A3791" s="369"/>
      <c r="B3791" s="369"/>
      <c r="C3791" s="371"/>
      <c r="D3791" s="371"/>
      <c r="E3791" s="371"/>
      <c r="F3791" s="371"/>
      <c r="G3791" s="791" t="s">
        <v>306</v>
      </c>
      <c r="H3791" s="371"/>
      <c r="I3791" s="371"/>
      <c r="J3791" s="521">
        <f>VLOOKUP(B3783,'Mil Cost Premiums for PUCs'!$A$4:$R$277,18,FALSE)</f>
        <v>1.3319480854780448</v>
      </c>
      <c r="K3791" s="137">
        <f>+K3790*J3791</f>
        <v>209.25270708583588</v>
      </c>
      <c r="L3791" s="369" t="s">
        <v>205</v>
      </c>
      <c r="M3791" s="54"/>
      <c r="N3791" s="54"/>
      <c r="O3791" s="336"/>
      <c r="P3791" s="334"/>
      <c r="Q3791" s="335"/>
      <c r="R3791" s="336"/>
      <c r="S3791" s="337"/>
    </row>
    <row r="3792" spans="1:19" ht="30" customHeight="1" thickBot="1" x14ac:dyDescent="0.3">
      <c r="A3792" s="844"/>
      <c r="B3792" s="844"/>
      <c r="C3792" s="471"/>
      <c r="D3792" s="471"/>
      <c r="E3792" s="850"/>
      <c r="F3792" s="1278" t="s">
        <v>1148</v>
      </c>
      <c r="G3792" s="1278"/>
      <c r="H3792" s="1278"/>
      <c r="I3792" s="1278"/>
      <c r="J3792" s="845">
        <v>1.0833999999999999</v>
      </c>
      <c r="K3792" s="544">
        <f>K3791*J3792</f>
        <v>226.70438285679458</v>
      </c>
      <c r="L3792" s="369" t="s">
        <v>205</v>
      </c>
      <c r="N3792" s="54"/>
      <c r="O3792" s="336"/>
      <c r="P3792" s="334"/>
      <c r="Q3792" s="335"/>
      <c r="R3792" s="336"/>
      <c r="S3792" s="337"/>
    </row>
    <row r="3793" spans="1:19" ht="30" customHeight="1" thickBot="1" x14ac:dyDescent="0.3">
      <c r="A3793" s="1180"/>
      <c r="B3793" s="1181"/>
      <c r="C3793" s="1181"/>
      <c r="D3793" s="1181"/>
      <c r="E3793" s="1181"/>
      <c r="F3793" s="1181"/>
      <c r="G3793" s="1181"/>
      <c r="H3793" s="1181"/>
      <c r="I3793" s="1181"/>
      <c r="J3793" s="1181"/>
      <c r="K3793" s="1181"/>
      <c r="L3793" s="1182"/>
      <c r="M3793" s="54"/>
      <c r="N3793" s="54"/>
      <c r="O3793" s="336"/>
      <c r="P3793" s="334"/>
      <c r="Q3793" s="335"/>
      <c r="R3793" s="336"/>
      <c r="S3793" s="337"/>
    </row>
    <row r="3794" spans="1:19" ht="30" customHeight="1" x14ac:dyDescent="0.25">
      <c r="A3794" s="402" t="s">
        <v>5</v>
      </c>
      <c r="B3794" s="403">
        <v>7417</v>
      </c>
      <c r="C3794" s="1600" t="s">
        <v>2084</v>
      </c>
      <c r="D3794" s="1601"/>
      <c r="E3794" s="939" t="s">
        <v>8</v>
      </c>
      <c r="F3794" s="407" t="s">
        <v>205</v>
      </c>
      <c r="G3794" s="342" t="s">
        <v>74</v>
      </c>
      <c r="H3794" s="940">
        <v>7609</v>
      </c>
      <c r="I3794" s="331" t="s">
        <v>10</v>
      </c>
      <c r="J3794" s="1220" t="s">
        <v>3388</v>
      </c>
      <c r="K3794" s="1220"/>
      <c r="L3794" s="1221"/>
      <c r="M3794" s="54"/>
      <c r="N3794" s="54"/>
      <c r="O3794" s="336"/>
      <c r="P3794" s="334"/>
      <c r="Q3794" s="335"/>
      <c r="R3794" s="336"/>
      <c r="S3794" s="337"/>
    </row>
    <row r="3795" spans="1:19" ht="30" customHeight="1" x14ac:dyDescent="0.25">
      <c r="A3795" s="941" t="s">
        <v>295</v>
      </c>
      <c r="B3795" s="1592" t="s">
        <v>326</v>
      </c>
      <c r="C3795" s="1593"/>
      <c r="D3795" s="1594"/>
      <c r="E3795" s="942" t="s">
        <v>116</v>
      </c>
      <c r="F3795" s="942" t="s">
        <v>117</v>
      </c>
      <c r="G3795" s="1595" t="s">
        <v>118</v>
      </c>
      <c r="H3795" s="1596"/>
      <c r="I3795" s="943" t="s">
        <v>2002</v>
      </c>
      <c r="J3795" s="943"/>
      <c r="K3795" s="581" t="s">
        <v>285</v>
      </c>
      <c r="L3795" s="382"/>
      <c r="M3795" s="54"/>
      <c r="N3795" s="54"/>
      <c r="O3795" s="336"/>
      <c r="P3795" s="334"/>
      <c r="Q3795" s="335"/>
      <c r="R3795" s="336"/>
      <c r="S3795" s="337"/>
    </row>
    <row r="3796" spans="1:19" ht="30" customHeight="1" x14ac:dyDescent="0.25">
      <c r="A3796" s="944" t="s">
        <v>2085</v>
      </c>
      <c r="B3796" s="1589" t="s">
        <v>2086</v>
      </c>
      <c r="C3796" s="1590"/>
      <c r="D3796" s="1591"/>
      <c r="E3796" s="945">
        <v>135</v>
      </c>
      <c r="F3796" s="946" t="s">
        <v>205</v>
      </c>
      <c r="G3796" s="947"/>
      <c r="H3796" s="948"/>
      <c r="I3796" s="447">
        <v>1.06</v>
      </c>
      <c r="J3796" s="447"/>
      <c r="K3796" s="945">
        <f>+E3796*I3796</f>
        <v>143.1</v>
      </c>
      <c r="L3796" s="447" t="s">
        <v>205</v>
      </c>
      <c r="M3796" s="54"/>
      <c r="N3796" s="54"/>
      <c r="O3796" s="336"/>
      <c r="P3796" s="334"/>
      <c r="Q3796" s="335"/>
      <c r="R3796" s="336"/>
      <c r="S3796" s="337"/>
    </row>
    <row r="3797" spans="1:19" ht="30" customHeight="1" x14ac:dyDescent="0.25">
      <c r="A3797" s="949" t="s">
        <v>2079</v>
      </c>
      <c r="B3797" s="1269" t="s">
        <v>2070</v>
      </c>
      <c r="C3797" s="1269"/>
      <c r="D3797" s="1269"/>
      <c r="E3797" s="945">
        <v>3.97</v>
      </c>
      <c r="F3797" s="447" t="s">
        <v>205</v>
      </c>
      <c r="G3797" s="950">
        <v>0.22500000000000001</v>
      </c>
      <c r="H3797" s="447" t="s">
        <v>2087</v>
      </c>
      <c r="I3797" s="447">
        <v>1.06</v>
      </c>
      <c r="J3797" s="447"/>
      <c r="K3797" s="945">
        <f>+E3797*G3797*I3797</f>
        <v>0.94684500000000016</v>
      </c>
      <c r="L3797" s="447" t="s">
        <v>205</v>
      </c>
      <c r="M3797" s="54"/>
      <c r="N3797" s="54"/>
      <c r="O3797" s="336"/>
      <c r="P3797" s="334"/>
      <c r="Q3797" s="335"/>
      <c r="R3797" s="336"/>
      <c r="S3797" s="337"/>
    </row>
    <row r="3798" spans="1:19" ht="30" customHeight="1" x14ac:dyDescent="0.25">
      <c r="A3798" s="447"/>
      <c r="B3798" s="1589"/>
      <c r="C3798" s="1590"/>
      <c r="D3798" s="1591"/>
      <c r="E3798" s="945"/>
      <c r="F3798" s="447"/>
      <c r="G3798" s="447"/>
      <c r="H3798" s="447"/>
      <c r="I3798" s="447"/>
      <c r="J3798" s="447" t="s">
        <v>343</v>
      </c>
      <c r="K3798" s="945">
        <f>SUM(K3796:K3797)</f>
        <v>144.04684499999999</v>
      </c>
      <c r="L3798" s="447" t="s">
        <v>205</v>
      </c>
      <c r="M3798" s="54"/>
      <c r="N3798" s="54"/>
      <c r="O3798" s="336"/>
      <c r="P3798" s="334"/>
      <c r="Q3798" s="335"/>
      <c r="R3798" s="336"/>
      <c r="S3798" s="337"/>
    </row>
    <row r="3799" spans="1:19" ht="30" customHeight="1" x14ac:dyDescent="0.25">
      <c r="A3799" s="365"/>
      <c r="B3799" s="578"/>
      <c r="C3799" s="578"/>
      <c r="D3799" s="578"/>
      <c r="E3799" s="247"/>
      <c r="F3799" s="1272" t="s">
        <v>303</v>
      </c>
      <c r="G3799" s="1283" t="s">
        <v>304</v>
      </c>
      <c r="H3799" s="1283"/>
      <c r="I3799" s="1283"/>
      <c r="J3799" s="1283"/>
      <c r="K3799" s="250">
        <v>1.07</v>
      </c>
      <c r="L3799" s="365"/>
      <c r="M3799" s="54"/>
      <c r="N3799" s="54"/>
      <c r="O3799" s="336"/>
      <c r="P3799" s="334"/>
      <c r="Q3799" s="335"/>
      <c r="R3799" s="336"/>
      <c r="S3799" s="337"/>
    </row>
    <row r="3800" spans="1:19" ht="30" customHeight="1" x14ac:dyDescent="0.25">
      <c r="A3800" s="365"/>
      <c r="B3800" s="578"/>
      <c r="C3800" s="578"/>
      <c r="D3800" s="578"/>
      <c r="E3800" s="247"/>
      <c r="F3800" s="1273"/>
      <c r="G3800" s="1284" t="s">
        <v>438</v>
      </c>
      <c r="H3800" s="1284"/>
      <c r="I3800" s="1284"/>
      <c r="J3800" s="1284"/>
      <c r="K3800" s="250">
        <v>1.08</v>
      </c>
      <c r="L3800" s="365"/>
      <c r="M3800" s="54"/>
      <c r="N3800" s="54"/>
      <c r="O3800" s="336"/>
      <c r="P3800" s="334"/>
      <c r="Q3800" s="335"/>
      <c r="R3800" s="336"/>
      <c r="S3800" s="337"/>
    </row>
    <row r="3801" spans="1:19" ht="30" customHeight="1" x14ac:dyDescent="0.25">
      <c r="A3801" s="447"/>
      <c r="B3801" s="447"/>
      <c r="C3801" s="442"/>
      <c r="D3801" s="442"/>
      <c r="E3801" s="442"/>
      <c r="F3801" s="442"/>
      <c r="G3801" s="442"/>
      <c r="H3801" s="442"/>
      <c r="I3801" s="442"/>
      <c r="J3801" s="447" t="s">
        <v>72</v>
      </c>
      <c r="K3801" s="951">
        <f>+K3798*K3799/K3800</f>
        <v>142.71307791666666</v>
      </c>
      <c r="L3801" s="447" t="s">
        <v>205</v>
      </c>
      <c r="M3801" s="54"/>
      <c r="N3801" s="54"/>
      <c r="O3801" s="336"/>
      <c r="P3801" s="334"/>
      <c r="Q3801" s="335"/>
      <c r="R3801" s="336"/>
      <c r="S3801" s="337"/>
    </row>
    <row r="3802" spans="1:19" ht="30" customHeight="1" x14ac:dyDescent="0.25">
      <c r="A3802" s="447"/>
      <c r="B3802" s="447"/>
      <c r="C3802" s="442"/>
      <c r="D3802" s="442"/>
      <c r="E3802" s="442"/>
      <c r="F3802" s="442"/>
      <c r="H3802" s="442"/>
      <c r="I3802" s="954" t="s">
        <v>414</v>
      </c>
      <c r="J3802" s="521">
        <f>VLOOKUP(B3794,'Mil Cost Premiums for PUCs'!$A$4:$R$277,18,FALSE)</f>
        <v>1.2981950150858137</v>
      </c>
      <c r="K3802" s="951">
        <f>+K3801*J3802</f>
        <v>185.26940633896999</v>
      </c>
      <c r="L3802" s="447" t="s">
        <v>205</v>
      </c>
      <c r="M3802" s="54"/>
      <c r="N3802" s="54"/>
      <c r="O3802" s="336"/>
      <c r="P3802" s="334"/>
      <c r="Q3802" s="335"/>
      <c r="R3802" s="336"/>
      <c r="S3802" s="337"/>
    </row>
    <row r="3803" spans="1:19" ht="30" customHeight="1" x14ac:dyDescent="0.25">
      <c r="A3803" s="844"/>
      <c r="B3803" s="844"/>
      <c r="C3803" s="471"/>
      <c r="D3803" s="471"/>
      <c r="E3803" s="850"/>
      <c r="F3803" s="1278" t="s">
        <v>1148</v>
      </c>
      <c r="G3803" s="1278"/>
      <c r="H3803" s="1278"/>
      <c r="I3803" s="1278"/>
      <c r="J3803" s="845">
        <v>1.0833999999999999</v>
      </c>
      <c r="K3803" s="544">
        <f>K3802*J3803</f>
        <v>200.72087482764007</v>
      </c>
      <c r="L3803" s="369" t="s">
        <v>205</v>
      </c>
      <c r="N3803" s="54"/>
      <c r="O3803" s="336"/>
      <c r="P3803" s="334"/>
      <c r="Q3803" s="335"/>
      <c r="R3803" s="336"/>
      <c r="S3803" s="337"/>
    </row>
    <row r="3804" spans="1:19" ht="75" customHeight="1" x14ac:dyDescent="0.25">
      <c r="A3804" s="1230" t="s">
        <v>307</v>
      </c>
      <c r="B3804" s="1231"/>
      <c r="C3804" s="1231"/>
      <c r="D3804" s="1231"/>
      <c r="E3804" s="1231"/>
      <c r="F3804" s="1231"/>
      <c r="G3804" s="1231"/>
      <c r="H3804" s="1231"/>
      <c r="I3804" s="1231"/>
      <c r="J3804" s="1231"/>
      <c r="K3804" s="1231"/>
      <c r="L3804" s="1232"/>
      <c r="M3804" s="54"/>
      <c r="N3804" s="54"/>
      <c r="O3804" s="336"/>
      <c r="P3804" s="334"/>
      <c r="Q3804" s="335"/>
      <c r="R3804" s="336"/>
      <c r="S3804" s="337"/>
    </row>
    <row r="3805" spans="1:19" ht="30" customHeight="1" x14ac:dyDescent="0.25">
      <c r="A3805" s="1268" t="s">
        <v>308</v>
      </c>
      <c r="B3805" s="1167"/>
      <c r="C3805" s="1168"/>
      <c r="D3805" s="1230" t="s">
        <v>2011</v>
      </c>
      <c r="E3805" s="1231"/>
      <c r="F3805" s="1231"/>
      <c r="G3805" s="1231"/>
      <c r="H3805" s="1231"/>
      <c r="I3805" s="1231"/>
      <c r="J3805" s="1231"/>
      <c r="K3805" s="1231"/>
      <c r="L3805" s="1232"/>
      <c r="M3805" s="54"/>
      <c r="N3805" s="54"/>
      <c r="O3805" s="336"/>
      <c r="P3805" s="334"/>
      <c r="Q3805" s="335"/>
      <c r="R3805" s="336"/>
      <c r="S3805" s="337"/>
    </row>
    <row r="3806" spans="1:19" ht="30" customHeight="1" x14ac:dyDescent="0.25">
      <c r="A3806" s="1268" t="s">
        <v>310</v>
      </c>
      <c r="B3806" s="1167"/>
      <c r="C3806" s="1168"/>
      <c r="D3806" s="1230" t="s">
        <v>1819</v>
      </c>
      <c r="E3806" s="1231"/>
      <c r="F3806" s="1231"/>
      <c r="G3806" s="1231"/>
      <c r="H3806" s="1231"/>
      <c r="I3806" s="1231"/>
      <c r="J3806" s="1231"/>
      <c r="K3806" s="1231"/>
      <c r="L3806" s="1232"/>
      <c r="M3806" s="54"/>
      <c r="N3806" s="54"/>
      <c r="O3806" s="336"/>
      <c r="P3806" s="334"/>
      <c r="Q3806" s="335"/>
      <c r="R3806" s="336"/>
      <c r="S3806" s="337"/>
    </row>
    <row r="3807" spans="1:19" ht="30" customHeight="1" x14ac:dyDescent="0.25">
      <c r="A3807" s="1268" t="s">
        <v>312</v>
      </c>
      <c r="B3807" s="1167"/>
      <c r="C3807" s="1168"/>
      <c r="D3807" s="1230" t="s">
        <v>2088</v>
      </c>
      <c r="E3807" s="1231"/>
      <c r="F3807" s="1231"/>
      <c r="G3807" s="1231"/>
      <c r="H3807" s="1231"/>
      <c r="I3807" s="1231"/>
      <c r="J3807" s="1231"/>
      <c r="K3807" s="1231"/>
      <c r="L3807" s="1232"/>
      <c r="M3807" s="54"/>
      <c r="N3807" s="54"/>
      <c r="O3807" s="336"/>
      <c r="P3807" s="334"/>
      <c r="Q3807" s="335"/>
      <c r="R3807" s="336"/>
      <c r="S3807" s="337"/>
    </row>
    <row r="3808" spans="1:19" ht="75" customHeight="1" x14ac:dyDescent="0.25">
      <c r="A3808" s="1268" t="s">
        <v>314</v>
      </c>
      <c r="B3808" s="1167"/>
      <c r="C3808" s="1168"/>
      <c r="D3808" s="1230" t="s">
        <v>2089</v>
      </c>
      <c r="E3808" s="1231"/>
      <c r="F3808" s="1231"/>
      <c r="G3808" s="1231"/>
      <c r="H3808" s="1231"/>
      <c r="I3808" s="1231"/>
      <c r="J3808" s="1231"/>
      <c r="K3808" s="1231"/>
      <c r="L3808" s="1232"/>
      <c r="M3808" s="54"/>
      <c r="N3808" s="54"/>
      <c r="O3808" s="336"/>
      <c r="P3808" s="334"/>
      <c r="Q3808" s="335"/>
      <c r="R3808" s="336"/>
      <c r="S3808" s="337"/>
    </row>
    <row r="3809" spans="1:26" ht="30" customHeight="1" x14ac:dyDescent="0.25">
      <c r="A3809" s="1268" t="s">
        <v>316</v>
      </c>
      <c r="B3809" s="1167"/>
      <c r="C3809" s="1168"/>
      <c r="D3809" s="1230" t="s">
        <v>2028</v>
      </c>
      <c r="E3809" s="1231"/>
      <c r="F3809" s="1231"/>
      <c r="G3809" s="1231"/>
      <c r="H3809" s="1231"/>
      <c r="I3809" s="1231"/>
      <c r="J3809" s="1231"/>
      <c r="K3809" s="1231"/>
      <c r="L3809" s="1232"/>
      <c r="M3809" s="54"/>
      <c r="O3809" s="336"/>
      <c r="P3809" s="334"/>
      <c r="Q3809" s="335"/>
      <c r="R3809" s="336"/>
      <c r="S3809" s="337"/>
    </row>
    <row r="3810" spans="1:26" ht="30" customHeight="1" x14ac:dyDescent="0.25">
      <c r="A3810" s="1268" t="s">
        <v>318</v>
      </c>
      <c r="B3810" s="1167"/>
      <c r="C3810" s="1168"/>
      <c r="D3810" s="1230" t="s">
        <v>319</v>
      </c>
      <c r="E3810" s="1231"/>
      <c r="F3810" s="1231"/>
      <c r="G3810" s="1231"/>
      <c r="H3810" s="1231"/>
      <c r="I3810" s="1231"/>
      <c r="J3810" s="1231"/>
      <c r="K3810" s="1231"/>
      <c r="L3810" s="1232"/>
      <c r="M3810" s="54"/>
      <c r="N3810" s="111"/>
      <c r="O3810" s="336"/>
      <c r="P3810" s="334"/>
      <c r="Q3810" s="335"/>
      <c r="R3810" s="336"/>
      <c r="S3810" s="337"/>
    </row>
    <row r="3811" spans="1:26" ht="30" customHeight="1" x14ac:dyDescent="0.25">
      <c r="A3811" s="1268" t="s">
        <v>320</v>
      </c>
      <c r="B3811" s="1167"/>
      <c r="C3811" s="1168"/>
      <c r="D3811" s="1230" t="s">
        <v>1823</v>
      </c>
      <c r="E3811" s="1231"/>
      <c r="F3811" s="1231"/>
      <c r="G3811" s="1231"/>
      <c r="H3811" s="1231"/>
      <c r="I3811" s="1231"/>
      <c r="J3811" s="1231"/>
      <c r="K3811" s="1231"/>
      <c r="L3811" s="1232"/>
      <c r="M3811" s="54"/>
      <c r="N3811" s="54"/>
      <c r="O3811" s="336"/>
      <c r="P3811" s="334"/>
      <c r="Q3811" s="335"/>
      <c r="R3811" s="336"/>
      <c r="S3811" s="337"/>
    </row>
    <row r="3812" spans="1:26" ht="75" customHeight="1" x14ac:dyDescent="0.25">
      <c r="A3812" s="1268" t="s">
        <v>322</v>
      </c>
      <c r="B3812" s="1167"/>
      <c r="C3812" s="1168"/>
      <c r="D3812" s="1230" t="s">
        <v>422</v>
      </c>
      <c r="E3812" s="1231"/>
      <c r="F3812" s="1231"/>
      <c r="G3812" s="1231"/>
      <c r="H3812" s="1231"/>
      <c r="I3812" s="1231"/>
      <c r="J3812" s="1231"/>
      <c r="K3812" s="1231"/>
      <c r="L3812" s="1232"/>
      <c r="M3812" s="54"/>
      <c r="N3812" s="111"/>
      <c r="O3812" s="336"/>
      <c r="P3812" s="334"/>
      <c r="Q3812" s="335"/>
      <c r="R3812" s="336"/>
      <c r="S3812" s="337"/>
    </row>
    <row r="3813" spans="1:26" ht="45" customHeight="1" thickBot="1" x14ac:dyDescent="0.3">
      <c r="A3813" s="1268" t="s">
        <v>350</v>
      </c>
      <c r="B3813" s="1167"/>
      <c r="C3813" s="1168"/>
      <c r="D3813" s="1291" t="s">
        <v>3437</v>
      </c>
      <c r="E3813" s="1292"/>
      <c r="F3813" s="1292"/>
      <c r="G3813" s="1292"/>
      <c r="H3813" s="1292"/>
      <c r="I3813" s="1292"/>
      <c r="J3813" s="1292"/>
      <c r="K3813" s="1292"/>
      <c r="L3813" s="1293"/>
      <c r="M3813" s="54"/>
      <c r="N3813" s="54"/>
      <c r="O3813" s="336"/>
      <c r="P3813" s="334"/>
      <c r="Q3813" s="335"/>
      <c r="R3813" s="336"/>
      <c r="S3813" s="337"/>
      <c r="U3813" s="345"/>
    </row>
    <row r="3814" spans="1:26" ht="30" customHeight="1" thickBot="1" x14ac:dyDescent="0.3">
      <c r="A3814" s="1180"/>
      <c r="B3814" s="1181"/>
      <c r="C3814" s="1181"/>
      <c r="D3814" s="1181"/>
      <c r="E3814" s="1181"/>
      <c r="F3814" s="1181"/>
      <c r="G3814" s="1181"/>
      <c r="H3814" s="1181"/>
      <c r="I3814" s="1181"/>
      <c r="J3814" s="1181"/>
      <c r="K3814" s="1181"/>
      <c r="L3814" s="1182"/>
      <c r="M3814" s="54"/>
      <c r="N3814" s="54"/>
      <c r="O3814" s="336"/>
      <c r="P3814" s="334"/>
      <c r="Q3814" s="335"/>
      <c r="R3814" s="336"/>
      <c r="S3814" s="337"/>
      <c r="U3814" s="345"/>
    </row>
    <row r="3815" spans="1:26" ht="30" customHeight="1" x14ac:dyDescent="0.25">
      <c r="A3815" s="327" t="s">
        <v>5</v>
      </c>
      <c r="B3815" s="328">
        <v>7418</v>
      </c>
      <c r="C3815" s="1251" t="s">
        <v>2090</v>
      </c>
      <c r="D3815" s="1252"/>
      <c r="E3815" s="331" t="s">
        <v>8</v>
      </c>
      <c r="F3815" s="332" t="s">
        <v>205</v>
      </c>
      <c r="G3815" s="342" t="s">
        <v>74</v>
      </c>
      <c r="H3815" s="156">
        <v>23192</v>
      </c>
      <c r="I3815" s="331" t="s">
        <v>10</v>
      </c>
      <c r="J3815" s="1220" t="s">
        <v>3388</v>
      </c>
      <c r="K3815" s="1220"/>
      <c r="L3815" s="1221"/>
      <c r="M3815" s="54"/>
      <c r="N3815" s="54"/>
      <c r="O3815" s="336"/>
      <c r="P3815" s="344"/>
      <c r="Q3815" s="345"/>
      <c r="R3815" s="345"/>
      <c r="S3815" s="345"/>
      <c r="T3815" s="345"/>
      <c r="U3815" s="345"/>
      <c r="V3815" s="345"/>
      <c r="W3815" s="345"/>
      <c r="X3815" s="345"/>
      <c r="Y3815" s="345"/>
    </row>
    <row r="3816" spans="1:26" ht="30" customHeight="1" x14ac:dyDescent="0.25">
      <c r="A3816" s="359" t="s">
        <v>295</v>
      </c>
      <c r="B3816" s="1222" t="s">
        <v>326</v>
      </c>
      <c r="C3816" s="1235"/>
      <c r="D3816" s="1223"/>
      <c r="E3816" s="577" t="s">
        <v>116</v>
      </c>
      <c r="F3816" s="577" t="s">
        <v>117</v>
      </c>
      <c r="G3816" s="1194" t="s">
        <v>118</v>
      </c>
      <c r="H3816" s="1195"/>
      <c r="I3816" s="356" t="s">
        <v>296</v>
      </c>
      <c r="J3816" s="356"/>
      <c r="K3816" s="581" t="s">
        <v>285</v>
      </c>
      <c r="L3816" s="382"/>
      <c r="M3816" s="54"/>
      <c r="N3816" s="54"/>
      <c r="O3816" s="336"/>
      <c r="P3816" s="344"/>
      <c r="Q3816" s="345"/>
      <c r="R3816" s="345"/>
      <c r="S3816" s="345"/>
      <c r="T3816" s="345"/>
      <c r="Z3816" s="345"/>
    </row>
    <row r="3817" spans="1:26" ht="30" customHeight="1" x14ac:dyDescent="0.25">
      <c r="A3817" s="755" t="s">
        <v>2091</v>
      </c>
      <c r="B3817" s="1214" t="s">
        <v>2092</v>
      </c>
      <c r="C3817" s="1215"/>
      <c r="D3817" s="1216"/>
      <c r="E3817" s="247">
        <v>99.5</v>
      </c>
      <c r="F3817" s="396" t="s">
        <v>205</v>
      </c>
      <c r="G3817" s="956"/>
      <c r="H3817" s="957"/>
      <c r="I3817" s="365">
        <v>1.06</v>
      </c>
      <c r="J3817" s="365"/>
      <c r="K3817" s="247">
        <f>+E3817*I3817</f>
        <v>105.47</v>
      </c>
      <c r="L3817" s="365" t="s">
        <v>205</v>
      </c>
      <c r="M3817" s="111"/>
      <c r="N3817" s="54"/>
      <c r="O3817" s="336"/>
      <c r="P3817" s="344"/>
      <c r="Q3817" s="345"/>
      <c r="R3817" s="345"/>
      <c r="S3817" s="345"/>
      <c r="T3817" s="345"/>
      <c r="U3817" s="10"/>
    </row>
    <row r="3818" spans="1:26" ht="30" customHeight="1" x14ac:dyDescent="0.25">
      <c r="A3818" s="365" t="s">
        <v>2079</v>
      </c>
      <c r="B3818" s="1269" t="s">
        <v>2080</v>
      </c>
      <c r="C3818" s="1269"/>
      <c r="D3818" s="1269"/>
      <c r="E3818" s="247">
        <v>3.54</v>
      </c>
      <c r="F3818" s="365" t="s">
        <v>205</v>
      </c>
      <c r="G3818" s="365"/>
      <c r="H3818" s="365"/>
      <c r="I3818" s="365">
        <v>1.06</v>
      </c>
      <c r="J3818" s="365"/>
      <c r="K3818" s="247">
        <f>+E3818*I3818</f>
        <v>3.7524000000000002</v>
      </c>
      <c r="L3818" s="365" t="s">
        <v>205</v>
      </c>
      <c r="M3818" s="54"/>
      <c r="N3818" s="54"/>
      <c r="O3818" s="336"/>
      <c r="U3818" s="10"/>
    </row>
    <row r="3819" spans="1:26" s="345" customFormat="1" ht="30" customHeight="1" x14ac:dyDescent="0.25">
      <c r="A3819" s="447"/>
      <c r="B3819" s="1589"/>
      <c r="C3819" s="1590"/>
      <c r="D3819" s="1591"/>
      <c r="E3819" s="945"/>
      <c r="F3819" s="447"/>
      <c r="G3819" s="447"/>
      <c r="H3819" s="447"/>
      <c r="I3819" s="447"/>
      <c r="J3819" s="447" t="s">
        <v>343</v>
      </c>
      <c r="K3819" s="945">
        <f>SUM(K3817:K3818)</f>
        <v>109.22239999999999</v>
      </c>
      <c r="L3819" s="447" t="s">
        <v>205</v>
      </c>
      <c r="M3819" s="54"/>
      <c r="N3819" s="54"/>
      <c r="O3819" s="336"/>
      <c r="P3819" s="340"/>
      <c r="Q3819" s="334"/>
      <c r="R3819" s="334"/>
      <c r="S3819" s="334"/>
      <c r="T3819" s="10"/>
      <c r="U3819" s="334"/>
      <c r="V3819" s="334"/>
      <c r="W3819" s="334"/>
      <c r="X3819" s="334"/>
      <c r="Y3819" s="334"/>
      <c r="Z3819" s="334"/>
    </row>
    <row r="3820" spans="1:26" ht="30" customHeight="1" x14ac:dyDescent="0.25">
      <c r="A3820" s="365"/>
      <c r="B3820" s="578"/>
      <c r="C3820" s="578"/>
      <c r="D3820" s="578"/>
      <c r="E3820" s="247"/>
      <c r="F3820" s="1272" t="s">
        <v>303</v>
      </c>
      <c r="G3820" s="1283" t="s">
        <v>304</v>
      </c>
      <c r="H3820" s="1283"/>
      <c r="I3820" s="1283"/>
      <c r="J3820" s="1283"/>
      <c r="K3820" s="250">
        <v>1.07</v>
      </c>
      <c r="L3820" s="365"/>
      <c r="M3820" s="54"/>
      <c r="N3820" s="54"/>
      <c r="O3820" s="336"/>
      <c r="T3820" s="10"/>
    </row>
    <row r="3821" spans="1:26" ht="30" customHeight="1" x14ac:dyDescent="0.25">
      <c r="A3821" s="365"/>
      <c r="B3821" s="578"/>
      <c r="C3821" s="578"/>
      <c r="D3821" s="578"/>
      <c r="E3821" s="247"/>
      <c r="F3821" s="1273"/>
      <c r="G3821" s="1284" t="s">
        <v>438</v>
      </c>
      <c r="H3821" s="1284"/>
      <c r="I3821" s="1284"/>
      <c r="J3821" s="1284"/>
      <c r="K3821" s="250">
        <v>1.08</v>
      </c>
      <c r="L3821" s="365"/>
      <c r="M3821" s="54"/>
      <c r="N3821" s="54"/>
      <c r="O3821" s="336"/>
      <c r="P3821" s="334"/>
      <c r="Q3821" s="335"/>
      <c r="R3821" s="336"/>
      <c r="S3821" s="337"/>
    </row>
    <row r="3822" spans="1:26" ht="30" customHeight="1" x14ac:dyDescent="0.25">
      <c r="A3822" s="365"/>
      <c r="B3822" s="365"/>
      <c r="C3822" s="366"/>
      <c r="D3822" s="366"/>
      <c r="E3822" s="366"/>
      <c r="F3822" s="366"/>
      <c r="G3822" s="366"/>
      <c r="H3822" s="366"/>
      <c r="I3822" s="366"/>
      <c r="J3822" s="365" t="s">
        <v>72</v>
      </c>
      <c r="K3822" s="246">
        <f>+K3819*K3820/K3821</f>
        <v>108.21108148148147</v>
      </c>
      <c r="L3822" s="365" t="s">
        <v>205</v>
      </c>
      <c r="M3822" s="54"/>
      <c r="N3822" s="54"/>
      <c r="O3822" s="336"/>
      <c r="P3822" s="334"/>
      <c r="Q3822" s="335"/>
      <c r="R3822" s="336"/>
      <c r="S3822" s="337"/>
    </row>
    <row r="3823" spans="1:26" ht="30" customHeight="1" x14ac:dyDescent="0.25">
      <c r="A3823" s="365"/>
      <c r="B3823" s="365"/>
      <c r="C3823" s="366"/>
      <c r="D3823" s="366"/>
      <c r="E3823" s="366"/>
      <c r="F3823" s="366"/>
      <c r="G3823" s="580" t="s">
        <v>306</v>
      </c>
      <c r="H3823" s="366"/>
      <c r="I3823" s="366"/>
      <c r="J3823" s="521">
        <f>VLOOKUP(B3815,'Mil Cost Premiums for PUCs'!$A$4:$R$277,18,FALSE)</f>
        <v>1.1896666233280813</v>
      </c>
      <c r="K3823" s="246">
        <f>+K3822*J3823</f>
        <v>128.73511191275392</v>
      </c>
      <c r="L3823" s="365" t="s">
        <v>205</v>
      </c>
      <c r="M3823" s="54"/>
      <c r="N3823" s="54"/>
      <c r="O3823" s="336"/>
      <c r="P3823" s="334"/>
      <c r="Q3823" s="335"/>
      <c r="R3823" s="336"/>
      <c r="S3823" s="337"/>
    </row>
    <row r="3824" spans="1:26" ht="30" customHeight="1" thickBot="1" x14ac:dyDescent="0.3">
      <c r="A3824" s="844"/>
      <c r="B3824" s="844"/>
      <c r="C3824" s="471"/>
      <c r="D3824" s="471"/>
      <c r="E3824" s="850"/>
      <c r="F3824" s="1278" t="s">
        <v>1148</v>
      </c>
      <c r="G3824" s="1278"/>
      <c r="H3824" s="1278"/>
      <c r="I3824" s="1278"/>
      <c r="J3824" s="845">
        <v>1.0833999999999999</v>
      </c>
      <c r="K3824" s="544">
        <f>K3823*J3824</f>
        <v>139.47162024627758</v>
      </c>
      <c r="L3824" s="369" t="s">
        <v>205</v>
      </c>
      <c r="N3824" s="54"/>
      <c r="O3824" s="336"/>
      <c r="P3824" s="334"/>
      <c r="Q3824" s="335"/>
      <c r="R3824" s="336"/>
      <c r="S3824" s="337"/>
    </row>
    <row r="3825" spans="1:19" ht="30" customHeight="1" thickBot="1" x14ac:dyDescent="0.3">
      <c r="A3825" s="1180"/>
      <c r="B3825" s="1181"/>
      <c r="C3825" s="1181"/>
      <c r="D3825" s="1181"/>
      <c r="E3825" s="1181"/>
      <c r="F3825" s="1181"/>
      <c r="G3825" s="1181"/>
      <c r="H3825" s="1181"/>
      <c r="I3825" s="1181"/>
      <c r="J3825" s="1181"/>
      <c r="K3825" s="1181"/>
      <c r="L3825" s="1182"/>
      <c r="M3825" s="111"/>
      <c r="O3825" s="336"/>
      <c r="P3825" s="334"/>
      <c r="Q3825" s="335"/>
      <c r="R3825" s="336"/>
      <c r="S3825" s="337"/>
    </row>
    <row r="3826" spans="1:19" ht="30" customHeight="1" x14ac:dyDescent="0.25">
      <c r="A3826" s="958" t="s">
        <v>5</v>
      </c>
      <c r="B3826" s="959">
        <v>7421</v>
      </c>
      <c r="C3826" s="1218" t="s">
        <v>2093</v>
      </c>
      <c r="D3826" s="1219"/>
      <c r="E3826" s="331" t="s">
        <v>8</v>
      </c>
      <c r="F3826" s="332" t="s">
        <v>205</v>
      </c>
      <c r="G3826" s="342" t="s">
        <v>74</v>
      </c>
      <c r="H3826" s="160">
        <v>15595</v>
      </c>
      <c r="I3826" s="331" t="s">
        <v>10</v>
      </c>
      <c r="J3826" s="1220" t="s">
        <v>629</v>
      </c>
      <c r="K3826" s="1220"/>
      <c r="L3826" s="1221"/>
      <c r="M3826" s="111"/>
      <c r="N3826" s="54"/>
      <c r="O3826" s="336"/>
      <c r="P3826" s="334"/>
      <c r="Q3826" s="335"/>
      <c r="R3826" s="336"/>
      <c r="S3826" s="337"/>
    </row>
    <row r="3827" spans="1:19" ht="30" customHeight="1" x14ac:dyDescent="0.25">
      <c r="A3827" s="356" t="s">
        <v>282</v>
      </c>
      <c r="B3827" s="1163" t="s">
        <v>13</v>
      </c>
      <c r="C3827" s="1163"/>
      <c r="D3827" s="1163"/>
      <c r="E3827" s="546" t="s">
        <v>116</v>
      </c>
      <c r="F3827" s="356" t="s">
        <v>283</v>
      </c>
      <c r="G3827" s="1314" t="s">
        <v>118</v>
      </c>
      <c r="H3827" s="1315"/>
      <c r="I3827" s="1276" t="s">
        <v>284</v>
      </c>
      <c r="J3827" s="1277"/>
      <c r="K3827" s="581" t="s">
        <v>285</v>
      </c>
      <c r="L3827" s="382"/>
      <c r="M3827" s="111"/>
      <c r="N3827" s="54"/>
      <c r="O3827" s="543"/>
      <c r="P3827" s="334"/>
      <c r="Q3827" s="335"/>
      <c r="R3827" s="336"/>
      <c r="S3827" s="337"/>
    </row>
    <row r="3828" spans="1:19" ht="30" customHeight="1" x14ac:dyDescent="0.25">
      <c r="A3828" s="365">
        <v>74028</v>
      </c>
      <c r="B3828" s="1214" t="s">
        <v>630</v>
      </c>
      <c r="C3828" s="1215"/>
      <c r="D3828" s="1216"/>
      <c r="E3828" s="247">
        <v>250</v>
      </c>
      <c r="F3828" s="257">
        <v>62000</v>
      </c>
      <c r="G3828" s="341"/>
      <c r="H3828" s="367"/>
      <c r="I3828" s="1416">
        <f>+'2022 MILCON Inflation Table'!$F$16</f>
        <v>1.0945893340593744</v>
      </c>
      <c r="J3828" s="1417"/>
      <c r="K3828" s="242">
        <f>+E3828*I3828</f>
        <v>273.64733351484358</v>
      </c>
      <c r="L3828" s="367" t="s">
        <v>205</v>
      </c>
      <c r="M3828" s="54"/>
      <c r="N3828" s="54"/>
      <c r="O3828" s="544"/>
      <c r="P3828" s="334"/>
      <c r="Q3828" s="335"/>
      <c r="R3828" s="336"/>
      <c r="S3828" s="337"/>
    </row>
    <row r="3829" spans="1:19" ht="30" customHeight="1" thickBot="1" x14ac:dyDescent="0.3">
      <c r="A3829" s="365"/>
      <c r="B3829" s="1214"/>
      <c r="C3829" s="1215"/>
      <c r="D3829" s="1216"/>
      <c r="E3829" s="333"/>
      <c r="F3829" s="744"/>
      <c r="G3829" s="333"/>
      <c r="H3829" s="729"/>
      <c r="I3829" s="366"/>
      <c r="J3829" s="359" t="s">
        <v>72</v>
      </c>
      <c r="K3829" s="243">
        <f>SUM(K3828:K3828)</f>
        <v>273.64733351484358</v>
      </c>
      <c r="L3829" s="367" t="s">
        <v>205</v>
      </c>
      <c r="M3829" s="54"/>
      <c r="N3829" s="54"/>
      <c r="O3829" s="543"/>
      <c r="P3829" s="334"/>
      <c r="Q3829" s="335"/>
      <c r="R3829" s="336"/>
      <c r="S3829" s="337"/>
    </row>
    <row r="3830" spans="1:19" ht="30" customHeight="1" thickBot="1" x14ac:dyDescent="0.3">
      <c r="A3830" s="1180"/>
      <c r="B3830" s="1181"/>
      <c r="C3830" s="1181"/>
      <c r="D3830" s="1181"/>
      <c r="E3830" s="1181"/>
      <c r="F3830" s="1181"/>
      <c r="G3830" s="1181"/>
      <c r="H3830" s="1181"/>
      <c r="I3830" s="1181"/>
      <c r="J3830" s="1181"/>
      <c r="K3830" s="1181"/>
      <c r="L3830" s="1182"/>
      <c r="M3830" s="54"/>
      <c r="N3830" s="54"/>
      <c r="P3830" s="334"/>
      <c r="Q3830" s="335"/>
      <c r="R3830" s="336"/>
      <c r="S3830" s="337"/>
    </row>
    <row r="3831" spans="1:19" ht="30" customHeight="1" x14ac:dyDescent="0.25">
      <c r="A3831" s="327" t="s">
        <v>5</v>
      </c>
      <c r="B3831" s="328">
        <v>7422</v>
      </c>
      <c r="C3831" s="1251" t="s">
        <v>2094</v>
      </c>
      <c r="D3831" s="1252"/>
      <c r="E3831" s="331" t="s">
        <v>8</v>
      </c>
      <c r="F3831" s="332" t="s">
        <v>205</v>
      </c>
      <c r="G3831" s="338" t="s">
        <v>1982</v>
      </c>
      <c r="H3831" s="156">
        <v>12410</v>
      </c>
      <c r="I3831" s="331" t="s">
        <v>10</v>
      </c>
      <c r="J3831" s="1220" t="s">
        <v>3388</v>
      </c>
      <c r="K3831" s="1220"/>
      <c r="L3831" s="1221"/>
      <c r="M3831" s="54"/>
      <c r="N3831" s="54"/>
      <c r="P3831" s="334"/>
      <c r="Q3831" s="335"/>
      <c r="R3831" s="336"/>
      <c r="S3831" s="337"/>
    </row>
    <row r="3832" spans="1:19" ht="30" customHeight="1" x14ac:dyDescent="0.25">
      <c r="A3832" s="359" t="s">
        <v>295</v>
      </c>
      <c r="B3832" s="1222" t="s">
        <v>326</v>
      </c>
      <c r="C3832" s="1235"/>
      <c r="D3832" s="1223"/>
      <c r="E3832" s="577" t="s">
        <v>116</v>
      </c>
      <c r="F3832" s="577" t="s">
        <v>117</v>
      </c>
      <c r="G3832" s="1194" t="s">
        <v>118</v>
      </c>
      <c r="H3832" s="1195"/>
      <c r="I3832" s="356" t="s">
        <v>296</v>
      </c>
      <c r="J3832" s="356"/>
      <c r="K3832" s="581" t="s">
        <v>285</v>
      </c>
      <c r="L3832" s="382"/>
      <c r="M3832" s="54"/>
      <c r="N3832" s="54"/>
      <c r="P3832" s="334"/>
      <c r="Q3832" s="335"/>
      <c r="R3832" s="336"/>
      <c r="S3832" s="337"/>
    </row>
    <row r="3833" spans="1:19" ht="30" customHeight="1" x14ac:dyDescent="0.25">
      <c r="A3833" s="755" t="s">
        <v>647</v>
      </c>
      <c r="B3833" s="1214" t="s">
        <v>2095</v>
      </c>
      <c r="C3833" s="1215"/>
      <c r="D3833" s="1216"/>
      <c r="E3833" s="247">
        <v>128</v>
      </c>
      <c r="F3833" s="396" t="s">
        <v>205</v>
      </c>
      <c r="G3833" s="956"/>
      <c r="H3833" s="957"/>
      <c r="I3833" s="365">
        <v>1.04</v>
      </c>
      <c r="J3833" s="706"/>
      <c r="K3833" s="247">
        <f>+E3833*I3833</f>
        <v>133.12</v>
      </c>
      <c r="L3833" s="365" t="s">
        <v>205</v>
      </c>
      <c r="M3833" s="54"/>
      <c r="N3833" s="54"/>
      <c r="O3833" s="336"/>
      <c r="P3833" s="334"/>
      <c r="Q3833" s="335"/>
      <c r="R3833" s="336"/>
      <c r="S3833" s="337"/>
    </row>
    <row r="3834" spans="1:19" ht="30" customHeight="1" x14ac:dyDescent="0.25">
      <c r="A3834" s="365" t="s">
        <v>649</v>
      </c>
      <c r="B3834" s="1269" t="s">
        <v>2096</v>
      </c>
      <c r="C3834" s="1269"/>
      <c r="D3834" s="1269"/>
      <c r="E3834" s="247">
        <v>3.74</v>
      </c>
      <c r="F3834" s="365" t="s">
        <v>205</v>
      </c>
      <c r="G3834" s="365"/>
      <c r="H3834" s="365"/>
      <c r="I3834" s="365">
        <v>1.04</v>
      </c>
      <c r="J3834" s="706"/>
      <c r="K3834" s="247">
        <f>+E3834*I3834</f>
        <v>3.8896000000000002</v>
      </c>
      <c r="L3834" s="365" t="s">
        <v>205</v>
      </c>
      <c r="M3834" s="54"/>
      <c r="N3834" s="334"/>
      <c r="O3834" s="336"/>
      <c r="P3834" s="334"/>
      <c r="Q3834" s="335"/>
      <c r="R3834" s="336"/>
      <c r="S3834" s="337"/>
    </row>
    <row r="3835" spans="1:19" ht="30" customHeight="1" x14ac:dyDescent="0.25">
      <c r="A3835" s="447"/>
      <c r="B3835" s="1589"/>
      <c r="C3835" s="1590"/>
      <c r="D3835" s="1591"/>
      <c r="E3835" s="945"/>
      <c r="F3835" s="447"/>
      <c r="G3835" s="447"/>
      <c r="H3835" s="447"/>
      <c r="I3835" s="447"/>
      <c r="J3835" s="447" t="s">
        <v>343</v>
      </c>
      <c r="K3835" s="945">
        <f>SUM(K3833:K3834)</f>
        <v>137.00960000000001</v>
      </c>
      <c r="L3835" s="447" t="s">
        <v>205</v>
      </c>
      <c r="M3835" s="54"/>
      <c r="N3835" s="54"/>
      <c r="O3835" s="336"/>
      <c r="P3835" s="334"/>
      <c r="Q3835" s="335"/>
      <c r="R3835" s="336"/>
      <c r="S3835" s="337"/>
    </row>
    <row r="3836" spans="1:19" ht="30" customHeight="1" x14ac:dyDescent="0.25">
      <c r="A3836" s="365"/>
      <c r="B3836" s="578"/>
      <c r="C3836" s="578"/>
      <c r="D3836" s="578"/>
      <c r="E3836" s="247"/>
      <c r="F3836" s="1272" t="s">
        <v>303</v>
      </c>
      <c r="G3836" s="1283" t="s">
        <v>304</v>
      </c>
      <c r="H3836" s="1283"/>
      <c r="I3836" s="1283"/>
      <c r="J3836" s="1283"/>
      <c r="K3836" s="250">
        <v>1.07</v>
      </c>
      <c r="L3836" s="365"/>
      <c r="M3836" s="54"/>
      <c r="N3836" s="73"/>
      <c r="O3836" s="867"/>
      <c r="P3836" s="334"/>
      <c r="Q3836" s="335"/>
      <c r="R3836" s="336"/>
      <c r="S3836" s="337"/>
    </row>
    <row r="3837" spans="1:19" ht="30" customHeight="1" x14ac:dyDescent="0.25">
      <c r="A3837" s="365"/>
      <c r="B3837" s="578"/>
      <c r="C3837" s="578"/>
      <c r="D3837" s="578"/>
      <c r="E3837" s="247"/>
      <c r="F3837" s="1273"/>
      <c r="G3837" s="1284" t="s">
        <v>438</v>
      </c>
      <c r="H3837" s="1284"/>
      <c r="I3837" s="1284"/>
      <c r="J3837" s="1284"/>
      <c r="K3837" s="250">
        <v>1.08</v>
      </c>
      <c r="L3837" s="365"/>
      <c r="M3837" s="54"/>
      <c r="O3837" s="336"/>
      <c r="P3837" s="334"/>
      <c r="Q3837" s="335"/>
      <c r="R3837" s="336"/>
      <c r="S3837" s="337"/>
    </row>
    <row r="3838" spans="1:19" ht="30" customHeight="1" x14ac:dyDescent="0.25">
      <c r="A3838" s="365"/>
      <c r="B3838" s="365"/>
      <c r="C3838" s="366"/>
      <c r="D3838" s="366"/>
      <c r="E3838" s="366"/>
      <c r="F3838" s="366"/>
      <c r="G3838" s="366"/>
      <c r="H3838" s="366"/>
      <c r="I3838" s="366"/>
      <c r="J3838" s="365" t="s">
        <v>72</v>
      </c>
      <c r="K3838" s="246">
        <f>+K3835*K3836/K3837</f>
        <v>135.74099259259259</v>
      </c>
      <c r="L3838" s="365" t="s">
        <v>205</v>
      </c>
      <c r="M3838" s="54"/>
      <c r="N3838" s="54"/>
      <c r="P3838" s="334"/>
      <c r="Q3838" s="335"/>
      <c r="R3838" s="336"/>
      <c r="S3838" s="337"/>
    </row>
    <row r="3839" spans="1:19" ht="30" customHeight="1" x14ac:dyDescent="0.25">
      <c r="A3839" s="365"/>
      <c r="B3839" s="365"/>
      <c r="C3839" s="366"/>
      <c r="D3839" s="366"/>
      <c r="E3839" s="366"/>
      <c r="F3839" s="366"/>
      <c r="G3839" s="580" t="s">
        <v>306</v>
      </c>
      <c r="H3839" s="366"/>
      <c r="I3839" s="366"/>
      <c r="J3839" s="521">
        <f>VLOOKUP(B3831,'Mil Cost Premiums for PUCs'!$A$4:$R$277,18,FALSE)</f>
        <v>1.2051322894313463</v>
      </c>
      <c r="K3839" s="246">
        <f>+K3838*J3839</f>
        <v>163.58585317279454</v>
      </c>
      <c r="L3839" s="365" t="s">
        <v>205</v>
      </c>
      <c r="M3839" s="54"/>
      <c r="N3839" s="54"/>
      <c r="O3839" s="336"/>
      <c r="P3839" s="334"/>
      <c r="Q3839" s="335"/>
      <c r="R3839" s="336"/>
      <c r="S3839" s="337"/>
    </row>
    <row r="3840" spans="1:19" ht="30" customHeight="1" thickBot="1" x14ac:dyDescent="0.3">
      <c r="A3840" s="844"/>
      <c r="B3840" s="844"/>
      <c r="C3840" s="471"/>
      <c r="D3840" s="471"/>
      <c r="E3840" s="850"/>
      <c r="F3840" s="1278" t="s">
        <v>1148</v>
      </c>
      <c r="G3840" s="1278"/>
      <c r="H3840" s="1278"/>
      <c r="I3840" s="1278"/>
      <c r="J3840" s="845">
        <v>1.0833999999999999</v>
      </c>
      <c r="K3840" s="544">
        <f>K3839*J3840</f>
        <v>177.22891332740559</v>
      </c>
      <c r="L3840" s="369" t="s">
        <v>205</v>
      </c>
      <c r="N3840" s="54"/>
      <c r="O3840" s="73"/>
      <c r="P3840" s="73"/>
      <c r="Q3840" s="335"/>
      <c r="R3840" s="336"/>
      <c r="S3840" s="337"/>
    </row>
    <row r="3841" spans="1:26" ht="30" customHeight="1" thickBot="1" x14ac:dyDescent="0.3">
      <c r="A3841" s="1180"/>
      <c r="B3841" s="1181"/>
      <c r="C3841" s="1181"/>
      <c r="D3841" s="1181"/>
      <c r="E3841" s="1181"/>
      <c r="F3841" s="1181"/>
      <c r="G3841" s="1181"/>
      <c r="H3841" s="1181"/>
      <c r="I3841" s="1181"/>
      <c r="J3841" s="1181"/>
      <c r="K3841" s="1181"/>
      <c r="L3841" s="1182"/>
      <c r="M3841" s="54"/>
      <c r="N3841" s="54"/>
      <c r="O3841" s="336"/>
      <c r="P3841" s="334"/>
      <c r="Q3841" s="335"/>
      <c r="R3841" s="336"/>
      <c r="S3841" s="337"/>
    </row>
    <row r="3842" spans="1:26" ht="30" customHeight="1" x14ac:dyDescent="0.25">
      <c r="A3842" s="327" t="s">
        <v>5</v>
      </c>
      <c r="B3842" s="328">
        <v>7431</v>
      </c>
      <c r="C3842" s="1251" t="s">
        <v>2097</v>
      </c>
      <c r="D3842" s="1252"/>
      <c r="E3842" s="331" t="s">
        <v>8</v>
      </c>
      <c r="F3842" s="332" t="s">
        <v>205</v>
      </c>
      <c r="G3842" s="342" t="s">
        <v>74</v>
      </c>
      <c r="H3842" s="156">
        <v>9284</v>
      </c>
      <c r="I3842" s="331" t="s">
        <v>10</v>
      </c>
      <c r="J3842" s="1220" t="s">
        <v>3388</v>
      </c>
      <c r="K3842" s="1220"/>
      <c r="L3842" s="1221"/>
      <c r="M3842" s="54"/>
      <c r="N3842" s="54"/>
      <c r="O3842" s="336"/>
      <c r="P3842" s="334"/>
      <c r="Q3842" s="335"/>
      <c r="R3842" s="336"/>
      <c r="S3842" s="337"/>
    </row>
    <row r="3843" spans="1:26" ht="30" customHeight="1" x14ac:dyDescent="0.25">
      <c r="A3843" s="359" t="s">
        <v>295</v>
      </c>
      <c r="B3843" s="1222" t="s">
        <v>326</v>
      </c>
      <c r="C3843" s="1235"/>
      <c r="D3843" s="1223"/>
      <c r="E3843" s="577" t="s">
        <v>116</v>
      </c>
      <c r="F3843" s="577" t="s">
        <v>117</v>
      </c>
      <c r="G3843" s="1194" t="s">
        <v>118</v>
      </c>
      <c r="H3843" s="1195"/>
      <c r="I3843" s="356" t="s">
        <v>296</v>
      </c>
      <c r="J3843" s="356"/>
      <c r="K3843" s="581" t="s">
        <v>285</v>
      </c>
      <c r="L3843" s="382"/>
      <c r="M3843" s="54"/>
      <c r="N3843" s="111"/>
      <c r="O3843" s="336"/>
      <c r="P3843" s="334"/>
      <c r="Q3843" s="335"/>
      <c r="R3843" s="336"/>
      <c r="S3843" s="337"/>
    </row>
    <row r="3844" spans="1:26" ht="30" customHeight="1" x14ac:dyDescent="0.25">
      <c r="A3844" s="960" t="s">
        <v>2098</v>
      </c>
      <c r="B3844" s="1602" t="s">
        <v>2099</v>
      </c>
      <c r="C3844" s="1603"/>
      <c r="D3844" s="1604"/>
      <c r="E3844" s="177">
        <v>109</v>
      </c>
      <c r="F3844" s="961" t="s">
        <v>205</v>
      </c>
      <c r="G3844" s="956"/>
      <c r="H3844" s="957"/>
      <c r="I3844" s="369">
        <v>1.06</v>
      </c>
      <c r="J3844" s="962"/>
      <c r="K3844" s="177">
        <f>+E3844*I3844</f>
        <v>115.54</v>
      </c>
      <c r="L3844" s="369" t="s">
        <v>205</v>
      </c>
      <c r="M3844" s="54"/>
      <c r="N3844" s="54"/>
      <c r="O3844" s="336"/>
      <c r="P3844" s="334"/>
      <c r="Q3844" s="335"/>
      <c r="R3844" s="336"/>
      <c r="S3844" s="337"/>
      <c r="U3844" s="345"/>
    </row>
    <row r="3845" spans="1:26" ht="30" customHeight="1" x14ac:dyDescent="0.25">
      <c r="A3845" s="927" t="s">
        <v>2100</v>
      </c>
      <c r="B3845" s="1209" t="s">
        <v>2101</v>
      </c>
      <c r="C3845" s="1210"/>
      <c r="D3845" s="1211"/>
      <c r="E3845" s="247">
        <f>(194+239)/2</f>
        <v>216.5</v>
      </c>
      <c r="F3845" s="365" t="s">
        <v>2102</v>
      </c>
      <c r="G3845" s="365">
        <f>1000*E3845/H3842</f>
        <v>23.319689788884101</v>
      </c>
      <c r="H3845" s="365" t="s">
        <v>2103</v>
      </c>
      <c r="I3845" s="365">
        <v>1.03</v>
      </c>
      <c r="J3845" s="706"/>
      <c r="K3845" s="247">
        <f>G3845*I3845</f>
        <v>24.019280482550624</v>
      </c>
      <c r="L3845" s="365" t="s">
        <v>205</v>
      </c>
      <c r="M3845" s="54"/>
      <c r="N3845" s="54"/>
      <c r="O3845" s="336"/>
      <c r="P3845" s="334"/>
      <c r="Q3845" s="335"/>
      <c r="R3845" s="336"/>
      <c r="S3845" s="337"/>
      <c r="U3845" s="345"/>
    </row>
    <row r="3846" spans="1:26" ht="30" customHeight="1" x14ac:dyDescent="0.25">
      <c r="A3846" s="365" t="s">
        <v>2079</v>
      </c>
      <c r="B3846" s="1269" t="s">
        <v>2070</v>
      </c>
      <c r="C3846" s="1269"/>
      <c r="D3846" s="1269"/>
      <c r="E3846" s="247">
        <v>3.97</v>
      </c>
      <c r="F3846" s="365" t="s">
        <v>205</v>
      </c>
      <c r="G3846" s="365"/>
      <c r="H3846" s="365"/>
      <c r="I3846" s="365">
        <v>1.06</v>
      </c>
      <c r="J3846" s="706"/>
      <c r="K3846" s="177">
        <f>E3846*I3846</f>
        <v>4.2082000000000006</v>
      </c>
      <c r="L3846" s="365" t="s">
        <v>205</v>
      </c>
      <c r="M3846" s="54"/>
      <c r="N3846" s="54"/>
      <c r="O3846" s="336"/>
      <c r="P3846" s="344"/>
      <c r="Q3846" s="345"/>
      <c r="R3846" s="345"/>
      <c r="S3846" s="345"/>
      <c r="T3846" s="345"/>
      <c r="U3846" s="345"/>
      <c r="V3846" s="345"/>
      <c r="W3846" s="345"/>
      <c r="X3846" s="345"/>
      <c r="Y3846" s="345"/>
    </row>
    <row r="3847" spans="1:26" ht="30" customHeight="1" x14ac:dyDescent="0.25">
      <c r="A3847" s="447"/>
      <c r="B3847" s="1589"/>
      <c r="C3847" s="1590"/>
      <c r="D3847" s="1591"/>
      <c r="E3847" s="945"/>
      <c r="F3847" s="447"/>
      <c r="G3847" s="447"/>
      <c r="H3847" s="447"/>
      <c r="I3847" s="447"/>
      <c r="J3847" s="447" t="s">
        <v>343</v>
      </c>
      <c r="K3847" s="945">
        <f>SUM(K3844:K3846)</f>
        <v>143.76748048255064</v>
      </c>
      <c r="L3847" s="447" t="s">
        <v>205</v>
      </c>
      <c r="M3847" s="54"/>
      <c r="N3847" s="54"/>
      <c r="O3847" s="336"/>
      <c r="P3847" s="344"/>
      <c r="Q3847" s="345"/>
      <c r="R3847" s="345"/>
      <c r="S3847" s="345"/>
      <c r="T3847" s="345"/>
      <c r="Z3847" s="345"/>
    </row>
    <row r="3848" spans="1:26" ht="30" customHeight="1" x14ac:dyDescent="0.25">
      <c r="A3848" s="365"/>
      <c r="B3848" s="578"/>
      <c r="C3848" s="578"/>
      <c r="D3848" s="578"/>
      <c r="E3848" s="247"/>
      <c r="F3848" s="1272" t="s">
        <v>303</v>
      </c>
      <c r="G3848" s="1283" t="s">
        <v>304</v>
      </c>
      <c r="H3848" s="1283"/>
      <c r="I3848" s="1283"/>
      <c r="J3848" s="1283"/>
      <c r="K3848" s="250">
        <v>1.07</v>
      </c>
      <c r="L3848" s="365"/>
      <c r="M3848" s="54"/>
      <c r="O3848" s="336"/>
      <c r="P3848" s="334"/>
      <c r="Q3848" s="335"/>
      <c r="R3848" s="336"/>
      <c r="S3848" s="337"/>
    </row>
    <row r="3849" spans="1:26" ht="30" customHeight="1" x14ac:dyDescent="0.25">
      <c r="A3849" s="365"/>
      <c r="B3849" s="578"/>
      <c r="C3849" s="578"/>
      <c r="D3849" s="578"/>
      <c r="E3849" s="247"/>
      <c r="F3849" s="1273"/>
      <c r="G3849" s="1284" t="s">
        <v>438</v>
      </c>
      <c r="H3849" s="1284"/>
      <c r="I3849" s="1284"/>
      <c r="J3849" s="1284"/>
      <c r="K3849" s="250">
        <v>1.08</v>
      </c>
      <c r="L3849" s="365"/>
      <c r="M3849" s="963"/>
      <c r="N3849" s="54"/>
      <c r="O3849" s="336"/>
      <c r="P3849" s="344"/>
      <c r="Q3849" s="345"/>
      <c r="R3849" s="345"/>
      <c r="S3849" s="345"/>
      <c r="T3849" s="345"/>
      <c r="V3849" s="345"/>
      <c r="W3849" s="345"/>
      <c r="X3849" s="345"/>
      <c r="Y3849" s="345"/>
    </row>
    <row r="3850" spans="1:26" ht="30" customHeight="1" x14ac:dyDescent="0.25">
      <c r="A3850" s="365"/>
      <c r="B3850" s="365"/>
      <c r="C3850" s="366"/>
      <c r="D3850" s="366"/>
      <c r="E3850" s="366"/>
      <c r="F3850" s="366"/>
      <c r="G3850" s="366"/>
      <c r="H3850" s="366"/>
      <c r="I3850" s="366"/>
      <c r="J3850" s="365" t="s">
        <v>72</v>
      </c>
      <c r="K3850" s="246">
        <f>+K3847*K3848/K3849</f>
        <v>142.43630010771221</v>
      </c>
      <c r="L3850" s="365" t="s">
        <v>205</v>
      </c>
      <c r="M3850" s="54"/>
      <c r="N3850" s="54"/>
      <c r="O3850" s="336"/>
      <c r="V3850" s="345"/>
      <c r="W3850" s="345"/>
      <c r="X3850" s="345"/>
      <c r="Y3850" s="345"/>
      <c r="Z3850" s="345"/>
    </row>
    <row r="3851" spans="1:26" s="345" customFormat="1" ht="30" customHeight="1" x14ac:dyDescent="0.25">
      <c r="A3851" s="365"/>
      <c r="B3851" s="365"/>
      <c r="C3851" s="366"/>
      <c r="D3851" s="366"/>
      <c r="E3851" s="366"/>
      <c r="F3851" s="366"/>
      <c r="G3851" s="580" t="s">
        <v>306</v>
      </c>
      <c r="H3851" s="366"/>
      <c r="I3851" s="366"/>
      <c r="J3851" s="521">
        <f>VLOOKUP(B3842,'Mil Cost Premiums for PUCs'!$A$4:$R$277,18,FALSE)</f>
        <v>1.3148549708569053</v>
      </c>
      <c r="K3851" s="246">
        <f>+K3850*J3851</f>
        <v>187.28307722709135</v>
      </c>
      <c r="L3851" s="365" t="s">
        <v>205</v>
      </c>
      <c r="M3851" s="210"/>
      <c r="N3851" s="54"/>
      <c r="O3851" s="336"/>
      <c r="P3851" s="340"/>
      <c r="Q3851" s="334"/>
      <c r="R3851" s="334"/>
      <c r="S3851" s="334"/>
      <c r="T3851" s="334"/>
      <c r="U3851" s="334"/>
    </row>
    <row r="3852" spans="1:26" ht="30" customHeight="1" thickBot="1" x14ac:dyDescent="0.3">
      <c r="A3852" s="844"/>
      <c r="B3852" s="844"/>
      <c r="C3852" s="471"/>
      <c r="D3852" s="471"/>
      <c r="E3852" s="850"/>
      <c r="F3852" s="1278" t="s">
        <v>1148</v>
      </c>
      <c r="G3852" s="1278"/>
      <c r="H3852" s="1278"/>
      <c r="I3852" s="1278"/>
      <c r="J3852" s="845">
        <v>1.0833999999999999</v>
      </c>
      <c r="K3852" s="544">
        <f>K3851*J3852</f>
        <v>202.90248586783076</v>
      </c>
      <c r="L3852" s="369" t="s">
        <v>205</v>
      </c>
      <c r="N3852" s="54"/>
      <c r="O3852" s="336"/>
      <c r="U3852" s="10"/>
      <c r="Z3852" s="345"/>
    </row>
    <row r="3853" spans="1:26" s="345" customFormat="1" ht="30" customHeight="1" thickBot="1" x14ac:dyDescent="0.3">
      <c r="A3853" s="1180"/>
      <c r="B3853" s="1181"/>
      <c r="C3853" s="1181"/>
      <c r="D3853" s="1181"/>
      <c r="E3853" s="1181"/>
      <c r="F3853" s="1181"/>
      <c r="G3853" s="1181"/>
      <c r="H3853" s="1181"/>
      <c r="I3853" s="1181"/>
      <c r="J3853" s="1181"/>
      <c r="K3853" s="1181"/>
      <c r="L3853" s="1182"/>
      <c r="M3853" s="54"/>
      <c r="N3853" s="54"/>
      <c r="O3853" s="336"/>
      <c r="P3853" s="340"/>
      <c r="Q3853" s="334"/>
      <c r="R3853" s="334"/>
      <c r="S3853" s="334"/>
      <c r="T3853" s="334"/>
      <c r="U3853" s="10"/>
      <c r="V3853" s="334"/>
      <c r="W3853" s="334"/>
      <c r="X3853" s="334"/>
      <c r="Y3853" s="334"/>
      <c r="Z3853" s="334"/>
    </row>
    <row r="3854" spans="1:26" s="345" customFormat="1" ht="30" customHeight="1" x14ac:dyDescent="0.25">
      <c r="A3854" s="327" t="s">
        <v>5</v>
      </c>
      <c r="B3854" s="328">
        <v>7440</v>
      </c>
      <c r="C3854" s="1251" t="s">
        <v>2104</v>
      </c>
      <c r="D3854" s="1252"/>
      <c r="E3854" s="331" t="s">
        <v>8</v>
      </c>
      <c r="F3854" s="332" t="s">
        <v>205</v>
      </c>
      <c r="G3854" s="342" t="s">
        <v>74</v>
      </c>
      <c r="H3854" s="156">
        <v>9304</v>
      </c>
      <c r="I3854" s="331" t="s">
        <v>10</v>
      </c>
      <c r="J3854" s="1220" t="s">
        <v>3388</v>
      </c>
      <c r="K3854" s="1220"/>
      <c r="L3854" s="1221"/>
      <c r="M3854" s="54"/>
      <c r="N3854" s="54"/>
      <c r="O3854" s="336"/>
      <c r="P3854" s="340"/>
      <c r="Q3854" s="334"/>
      <c r="R3854" s="334"/>
      <c r="S3854" s="334"/>
      <c r="T3854" s="10"/>
      <c r="U3854" s="334"/>
      <c r="V3854" s="334"/>
      <c r="W3854" s="334"/>
      <c r="X3854" s="334"/>
      <c r="Y3854" s="334"/>
      <c r="Z3854" s="334"/>
    </row>
    <row r="3855" spans="1:26" s="345" customFormat="1" ht="30" customHeight="1" x14ac:dyDescent="0.25">
      <c r="A3855" s="359" t="s">
        <v>295</v>
      </c>
      <c r="B3855" s="1222" t="s">
        <v>326</v>
      </c>
      <c r="C3855" s="1235"/>
      <c r="D3855" s="1223"/>
      <c r="E3855" s="577" t="s">
        <v>116</v>
      </c>
      <c r="F3855" s="577" t="s">
        <v>117</v>
      </c>
      <c r="G3855" s="1194" t="s">
        <v>118</v>
      </c>
      <c r="H3855" s="1195"/>
      <c r="I3855" s="356" t="s">
        <v>296</v>
      </c>
      <c r="J3855" s="356"/>
      <c r="K3855" s="581" t="s">
        <v>285</v>
      </c>
      <c r="L3855" s="382"/>
      <c r="M3855" s="54"/>
      <c r="N3855" s="54"/>
      <c r="O3855" s="336"/>
      <c r="P3855" s="340"/>
      <c r="Q3855" s="334"/>
      <c r="R3855" s="334"/>
      <c r="S3855" s="334"/>
      <c r="T3855" s="10"/>
      <c r="U3855" s="334"/>
      <c r="V3855" s="334"/>
      <c r="W3855" s="334"/>
      <c r="X3855" s="334"/>
      <c r="Y3855" s="334"/>
      <c r="Z3855" s="334"/>
    </row>
    <row r="3856" spans="1:26" ht="30" customHeight="1" x14ac:dyDescent="0.25">
      <c r="A3856" s="755" t="s">
        <v>2085</v>
      </c>
      <c r="B3856" s="1269" t="s">
        <v>2105</v>
      </c>
      <c r="C3856" s="1269"/>
      <c r="D3856" s="1269"/>
      <c r="E3856" s="247">
        <v>177</v>
      </c>
      <c r="F3856" s="365" t="s">
        <v>205</v>
      </c>
      <c r="G3856" s="365"/>
      <c r="H3856" s="365"/>
      <c r="I3856" s="365">
        <v>1.06</v>
      </c>
      <c r="J3856" s="365"/>
      <c r="K3856" s="247">
        <f>+E3856*I3856</f>
        <v>187.62</v>
      </c>
      <c r="L3856" s="365" t="s">
        <v>205</v>
      </c>
      <c r="M3856" s="54"/>
      <c r="N3856" s="73"/>
      <c r="O3856" s="336"/>
      <c r="P3856" s="334"/>
      <c r="Q3856" s="335"/>
      <c r="R3856" s="336"/>
      <c r="S3856" s="337"/>
    </row>
    <row r="3857" spans="1:19" ht="30" customHeight="1" x14ac:dyDescent="0.25">
      <c r="A3857" s="755" t="s">
        <v>2079</v>
      </c>
      <c r="B3857" s="1269" t="s">
        <v>2036</v>
      </c>
      <c r="C3857" s="1269"/>
      <c r="D3857" s="1269"/>
      <c r="E3857" s="247">
        <v>3.97</v>
      </c>
      <c r="F3857" s="365" t="s">
        <v>205</v>
      </c>
      <c r="G3857" s="365"/>
      <c r="H3857" s="365"/>
      <c r="I3857" s="365">
        <v>1.06</v>
      </c>
      <c r="J3857" s="365"/>
      <c r="K3857" s="247">
        <f>+E3857*I3857</f>
        <v>4.2082000000000006</v>
      </c>
      <c r="L3857" s="365" t="s">
        <v>205</v>
      </c>
      <c r="M3857" s="54"/>
      <c r="N3857" s="73"/>
      <c r="O3857" s="336"/>
      <c r="P3857" s="334"/>
      <c r="Q3857" s="335"/>
      <c r="R3857" s="336"/>
      <c r="S3857" s="337"/>
    </row>
    <row r="3858" spans="1:19" ht="30" customHeight="1" x14ac:dyDescent="0.25">
      <c r="A3858" s="447"/>
      <c r="B3858" s="1589"/>
      <c r="C3858" s="1590"/>
      <c r="D3858" s="1591"/>
      <c r="E3858" s="945"/>
      <c r="F3858" s="447"/>
      <c r="G3858" s="447"/>
      <c r="H3858" s="447"/>
      <c r="I3858" s="447"/>
      <c r="J3858" s="447" t="s">
        <v>343</v>
      </c>
      <c r="K3858" s="945">
        <f>SUM(K3856:K3857)</f>
        <v>191.82820000000001</v>
      </c>
      <c r="L3858" s="447" t="s">
        <v>205</v>
      </c>
      <c r="M3858" s="111"/>
      <c r="N3858" s="54"/>
      <c r="O3858" s="543"/>
      <c r="P3858" s="334"/>
      <c r="Q3858" s="335"/>
      <c r="R3858" s="336"/>
      <c r="S3858" s="337"/>
    </row>
    <row r="3859" spans="1:19" ht="30" customHeight="1" x14ac:dyDescent="0.25">
      <c r="A3859" s="365"/>
      <c r="B3859" s="578"/>
      <c r="C3859" s="578"/>
      <c r="D3859" s="578"/>
      <c r="E3859" s="247"/>
      <c r="F3859" s="1272" t="s">
        <v>303</v>
      </c>
      <c r="G3859" s="1283" t="s">
        <v>304</v>
      </c>
      <c r="H3859" s="1283"/>
      <c r="I3859" s="1283"/>
      <c r="J3859" s="1283"/>
      <c r="K3859" s="250">
        <v>1.07</v>
      </c>
      <c r="L3859" s="365"/>
      <c r="M3859" s="54"/>
      <c r="N3859" s="54"/>
      <c r="O3859" s="73"/>
      <c r="P3859" s="73"/>
      <c r="Q3859" s="335"/>
      <c r="R3859" s="336"/>
      <c r="S3859" s="337"/>
    </row>
    <row r="3860" spans="1:19" ht="30" customHeight="1" x14ac:dyDescent="0.25">
      <c r="A3860" s="365"/>
      <c r="B3860" s="578"/>
      <c r="C3860" s="578"/>
      <c r="D3860" s="578"/>
      <c r="E3860" s="247"/>
      <c r="F3860" s="1273"/>
      <c r="G3860" s="1284" t="s">
        <v>438</v>
      </c>
      <c r="H3860" s="1284"/>
      <c r="I3860" s="1284"/>
      <c r="J3860" s="1284"/>
      <c r="K3860" s="250">
        <v>1.08</v>
      </c>
      <c r="L3860" s="365"/>
      <c r="M3860" s="54"/>
      <c r="N3860" s="54"/>
      <c r="O3860" s="73"/>
      <c r="P3860" s="334"/>
      <c r="Q3860" s="335"/>
      <c r="R3860" s="336"/>
      <c r="S3860" s="337"/>
    </row>
    <row r="3861" spans="1:19" ht="30" customHeight="1" x14ac:dyDescent="0.25">
      <c r="A3861" s="365"/>
      <c r="B3861" s="365"/>
      <c r="C3861" s="366"/>
      <c r="D3861" s="366"/>
      <c r="E3861" s="366"/>
      <c r="F3861" s="366"/>
      <c r="G3861" s="366"/>
      <c r="H3861" s="366"/>
      <c r="I3861" s="366"/>
      <c r="J3861" s="365" t="s">
        <v>72</v>
      </c>
      <c r="K3861" s="246">
        <f>+K3858*K3859/K3860</f>
        <v>190.05201296296298</v>
      </c>
      <c r="L3861" s="365" t="s">
        <v>205</v>
      </c>
      <c r="M3861" s="54"/>
      <c r="N3861" s="54"/>
      <c r="O3861" s="543"/>
      <c r="P3861" s="334"/>
      <c r="Q3861" s="335"/>
      <c r="R3861" s="336"/>
      <c r="S3861" s="337"/>
    </row>
    <row r="3862" spans="1:19" ht="30" customHeight="1" x14ac:dyDescent="0.25">
      <c r="A3862" s="365"/>
      <c r="B3862" s="365"/>
      <c r="C3862" s="366"/>
      <c r="D3862" s="366"/>
      <c r="E3862" s="366"/>
      <c r="F3862" s="366"/>
      <c r="G3862" s="580" t="s">
        <v>306</v>
      </c>
      <c r="H3862" s="366"/>
      <c r="I3862" s="366"/>
      <c r="J3862" s="521">
        <f>VLOOKUP(B3854,'Mil Cost Premiums for PUCs'!$A$4:$R$277,18,FALSE)</f>
        <v>1.3148549708569053</v>
      </c>
      <c r="K3862" s="246">
        <f>+K3861*J3862</f>
        <v>249.89083396571286</v>
      </c>
      <c r="L3862" s="365" t="s">
        <v>205</v>
      </c>
      <c r="M3862" s="54"/>
      <c r="N3862" s="54"/>
      <c r="O3862" s="543"/>
      <c r="P3862" s="334"/>
      <c r="Q3862" s="335"/>
      <c r="R3862" s="336"/>
      <c r="S3862" s="337"/>
    </row>
    <row r="3863" spans="1:19" ht="30" customHeight="1" thickBot="1" x14ac:dyDescent="0.3">
      <c r="A3863" s="844"/>
      <c r="B3863" s="844"/>
      <c r="C3863" s="471"/>
      <c r="D3863" s="471"/>
      <c r="E3863" s="850"/>
      <c r="F3863" s="1278" t="s">
        <v>1148</v>
      </c>
      <c r="G3863" s="1278"/>
      <c r="H3863" s="1278"/>
      <c r="I3863" s="1278"/>
      <c r="J3863" s="845">
        <v>1.0833999999999999</v>
      </c>
      <c r="K3863" s="544">
        <f>K3862*J3863</f>
        <v>270.73172951845328</v>
      </c>
      <c r="L3863" s="369" t="s">
        <v>205</v>
      </c>
      <c r="N3863" s="54"/>
      <c r="P3863" s="334"/>
      <c r="Q3863" s="335"/>
      <c r="R3863" s="336"/>
      <c r="S3863" s="337"/>
    </row>
    <row r="3864" spans="1:19" ht="30" customHeight="1" thickBot="1" x14ac:dyDescent="0.3">
      <c r="A3864" s="1180"/>
      <c r="B3864" s="1181"/>
      <c r="C3864" s="1181"/>
      <c r="D3864" s="1181"/>
      <c r="E3864" s="1181"/>
      <c r="F3864" s="1181"/>
      <c r="G3864" s="1181"/>
      <c r="H3864" s="1181"/>
      <c r="I3864" s="1181"/>
      <c r="J3864" s="1181"/>
      <c r="K3864" s="1181"/>
      <c r="L3864" s="1182"/>
      <c r="M3864" s="54"/>
      <c r="N3864" s="111"/>
      <c r="P3864" s="334"/>
      <c r="Q3864" s="335"/>
      <c r="R3864" s="336"/>
      <c r="S3864" s="337"/>
    </row>
    <row r="3865" spans="1:19" ht="30" customHeight="1" x14ac:dyDescent="0.25">
      <c r="A3865" s="327" t="s">
        <v>5</v>
      </c>
      <c r="B3865" s="328">
        <v>7441</v>
      </c>
      <c r="C3865" s="1218" t="s">
        <v>2106</v>
      </c>
      <c r="D3865" s="1219"/>
      <c r="E3865" s="331" t="s">
        <v>8</v>
      </c>
      <c r="F3865" s="332" t="s">
        <v>205</v>
      </c>
      <c r="G3865" s="342" t="s">
        <v>74</v>
      </c>
      <c r="H3865" s="156">
        <v>16917</v>
      </c>
      <c r="I3865" s="367" t="s">
        <v>10</v>
      </c>
      <c r="J3865" s="1606" t="s">
        <v>2107</v>
      </c>
      <c r="K3865" s="1220"/>
      <c r="L3865" s="1221"/>
      <c r="M3865" s="111"/>
      <c r="N3865" s="54"/>
      <c r="P3865" s="334"/>
      <c r="Q3865" s="335"/>
      <c r="R3865" s="336"/>
      <c r="S3865" s="337"/>
    </row>
    <row r="3866" spans="1:19" ht="30" customHeight="1" x14ac:dyDescent="0.25">
      <c r="A3866" s="356" t="s">
        <v>282</v>
      </c>
      <c r="B3866" s="1163" t="s">
        <v>13</v>
      </c>
      <c r="C3866" s="1163"/>
      <c r="D3866" s="1163"/>
      <c r="E3866" s="546" t="s">
        <v>116</v>
      </c>
      <c r="F3866" s="356" t="s">
        <v>283</v>
      </c>
      <c r="G3866" s="1314" t="s">
        <v>118</v>
      </c>
      <c r="H3866" s="1315"/>
      <c r="I3866" s="1249" t="s">
        <v>2108</v>
      </c>
      <c r="J3866" s="1249"/>
      <c r="K3866" s="359" t="s">
        <v>285</v>
      </c>
      <c r="L3866" s="359"/>
      <c r="M3866" s="54"/>
      <c r="O3866" s="336"/>
      <c r="P3866" s="334"/>
      <c r="Q3866" s="335"/>
      <c r="R3866" s="336"/>
      <c r="S3866" s="337"/>
    </row>
    <row r="3867" spans="1:19" ht="30" customHeight="1" x14ac:dyDescent="0.25">
      <c r="A3867" s="365">
        <v>72412</v>
      </c>
      <c r="B3867" s="1209" t="s">
        <v>2109</v>
      </c>
      <c r="C3867" s="1210"/>
      <c r="D3867" s="1211"/>
      <c r="E3867" s="247">
        <v>377</v>
      </c>
      <c r="F3867" s="257">
        <v>51738</v>
      </c>
      <c r="G3867" s="341"/>
      <c r="H3867" s="367"/>
      <c r="I3867" s="1605">
        <f>+'2022 MILCON Inflation Table'!$F$19</f>
        <v>0.97847358121330719</v>
      </c>
      <c r="J3867" s="1605"/>
      <c r="K3867" s="242">
        <f>+E3867*I3867</f>
        <v>368.8845401174168</v>
      </c>
      <c r="L3867" s="367" t="s">
        <v>205</v>
      </c>
      <c r="M3867" s="54"/>
      <c r="N3867" s="54"/>
      <c r="P3867" s="334"/>
      <c r="Q3867" s="335"/>
      <c r="R3867" s="336"/>
      <c r="S3867" s="337"/>
    </row>
    <row r="3868" spans="1:19" ht="30" customHeight="1" x14ac:dyDescent="0.25">
      <c r="A3868" s="365">
        <v>72412</v>
      </c>
      <c r="B3868" s="1209" t="s">
        <v>2110</v>
      </c>
      <c r="C3868" s="1210"/>
      <c r="D3868" s="1211"/>
      <c r="E3868" s="247">
        <v>305</v>
      </c>
      <c r="F3868" s="257">
        <v>28000</v>
      </c>
      <c r="G3868" s="341"/>
      <c r="H3868" s="367"/>
      <c r="I3868" s="1416">
        <f>+'2022 MILCON Inflation Table'!$F$15</f>
        <v>1.1446122264727614</v>
      </c>
      <c r="J3868" s="1417"/>
      <c r="K3868" s="242">
        <f>+E3868*I3868</f>
        <v>349.10672907419223</v>
      </c>
      <c r="L3868" s="367" t="s">
        <v>205</v>
      </c>
      <c r="M3868" s="54"/>
      <c r="N3868" s="54"/>
      <c r="O3868" s="336"/>
      <c r="P3868" s="334"/>
      <c r="Q3868" s="335"/>
      <c r="R3868" s="336"/>
      <c r="S3868" s="337"/>
    </row>
    <row r="3869" spans="1:19" ht="30" customHeight="1" x14ac:dyDescent="0.25">
      <c r="A3869" s="365"/>
      <c r="B3869" s="561"/>
      <c r="C3869" s="562"/>
      <c r="D3869" s="563"/>
      <c r="E3869" s="153"/>
      <c r="F3869" s="172"/>
      <c r="G3869" s="711"/>
      <c r="H3869" s="341"/>
      <c r="I3869" s="853"/>
      <c r="J3869" s="854" t="s">
        <v>300</v>
      </c>
      <c r="K3869" s="242">
        <f>AVERAGE(K3867:K3868)</f>
        <v>358.99563459580452</v>
      </c>
      <c r="L3869" s="367" t="s">
        <v>205</v>
      </c>
      <c r="M3869" s="54"/>
      <c r="N3869" s="54"/>
      <c r="O3869" s="336"/>
      <c r="P3869" s="334"/>
      <c r="Q3869" s="335"/>
      <c r="R3869" s="336"/>
      <c r="S3869" s="337"/>
    </row>
    <row r="3870" spans="1:19" ht="30" customHeight="1" thickBot="1" x14ac:dyDescent="0.3">
      <c r="A3870" s="365"/>
      <c r="B3870" s="1214"/>
      <c r="C3870" s="1215"/>
      <c r="D3870" s="1216"/>
      <c r="E3870" s="333"/>
      <c r="F3870" s="744"/>
      <c r="G3870" s="333"/>
      <c r="H3870" s="729"/>
      <c r="I3870" s="366"/>
      <c r="J3870" s="365" t="s">
        <v>72</v>
      </c>
      <c r="K3870" s="243">
        <f>+K3869</f>
        <v>358.99563459580452</v>
      </c>
      <c r="L3870" s="367" t="s">
        <v>205</v>
      </c>
      <c r="M3870" s="54"/>
      <c r="N3870" s="54"/>
      <c r="Q3870" s="335"/>
      <c r="R3870" s="336"/>
      <c r="S3870" s="337"/>
    </row>
    <row r="3871" spans="1:19" ht="30" customHeight="1" thickBot="1" x14ac:dyDescent="0.3">
      <c r="A3871" s="1180"/>
      <c r="B3871" s="1181"/>
      <c r="C3871" s="1181"/>
      <c r="D3871" s="1181"/>
      <c r="E3871" s="1181"/>
      <c r="F3871" s="1181"/>
      <c r="G3871" s="1181"/>
      <c r="H3871" s="1181"/>
      <c r="I3871" s="1181"/>
      <c r="J3871" s="1181"/>
      <c r="K3871" s="1181"/>
      <c r="L3871" s="1182"/>
      <c r="M3871" s="210"/>
      <c r="N3871" s="544"/>
      <c r="O3871" s="336"/>
      <c r="P3871" s="334"/>
      <c r="Q3871" s="335"/>
      <c r="R3871" s="336"/>
      <c r="S3871" s="337"/>
    </row>
    <row r="3872" spans="1:19" ht="30" customHeight="1" x14ac:dyDescent="0.25">
      <c r="A3872" s="327" t="s">
        <v>5</v>
      </c>
      <c r="B3872" s="328">
        <v>7442</v>
      </c>
      <c r="C3872" s="1251" t="s">
        <v>2111</v>
      </c>
      <c r="D3872" s="1252"/>
      <c r="E3872" s="331" t="s">
        <v>8</v>
      </c>
      <c r="F3872" s="332" t="s">
        <v>205</v>
      </c>
      <c r="G3872" s="342" t="s">
        <v>74</v>
      </c>
      <c r="H3872" s="156">
        <v>2613</v>
      </c>
      <c r="I3872" s="331" t="s">
        <v>10</v>
      </c>
      <c r="J3872" s="1220" t="s">
        <v>3388</v>
      </c>
      <c r="K3872" s="1220"/>
      <c r="L3872" s="1221"/>
      <c r="M3872" s="210"/>
      <c r="N3872" s="54"/>
      <c r="O3872" s="336"/>
      <c r="P3872" s="334"/>
      <c r="Q3872" s="335"/>
      <c r="R3872" s="336"/>
      <c r="S3872" s="337"/>
    </row>
    <row r="3873" spans="1:19" ht="30" customHeight="1" x14ac:dyDescent="0.25">
      <c r="A3873" s="359" t="s">
        <v>295</v>
      </c>
      <c r="B3873" s="1222" t="s">
        <v>326</v>
      </c>
      <c r="C3873" s="1235"/>
      <c r="D3873" s="1223"/>
      <c r="E3873" s="577" t="s">
        <v>116</v>
      </c>
      <c r="F3873" s="577" t="s">
        <v>117</v>
      </c>
      <c r="G3873" s="1194" t="s">
        <v>118</v>
      </c>
      <c r="H3873" s="1195"/>
      <c r="I3873" s="356" t="s">
        <v>296</v>
      </c>
      <c r="J3873" s="356"/>
      <c r="K3873" s="581" t="s">
        <v>285</v>
      </c>
      <c r="L3873" s="382"/>
      <c r="M3873" s="54"/>
      <c r="N3873" s="54"/>
      <c r="O3873" s="336"/>
      <c r="P3873" s="334"/>
      <c r="Q3873" s="335"/>
      <c r="R3873" s="336"/>
      <c r="S3873" s="337"/>
    </row>
    <row r="3874" spans="1:19" ht="30" customHeight="1" x14ac:dyDescent="0.25">
      <c r="A3874" s="755" t="s">
        <v>2112</v>
      </c>
      <c r="B3874" s="1269" t="s">
        <v>2113</v>
      </c>
      <c r="C3874" s="1269"/>
      <c r="D3874" s="1269"/>
      <c r="E3874" s="247">
        <v>96.5</v>
      </c>
      <c r="F3874" s="365" t="s">
        <v>205</v>
      </c>
      <c r="G3874" s="365"/>
      <c r="H3874" s="365"/>
      <c r="I3874" s="365">
        <v>1.02</v>
      </c>
      <c r="J3874" s="365"/>
      <c r="K3874" s="247">
        <f>+E3874*I3874</f>
        <v>98.43</v>
      </c>
      <c r="L3874" s="365" t="s">
        <v>205</v>
      </c>
      <c r="M3874" s="54"/>
      <c r="N3874" s="54"/>
      <c r="O3874" s="336"/>
      <c r="P3874" s="334"/>
      <c r="Q3874" s="335"/>
      <c r="R3874" s="336"/>
      <c r="S3874" s="337"/>
    </row>
    <row r="3875" spans="1:19" ht="30" customHeight="1" x14ac:dyDescent="0.25">
      <c r="A3875" s="755" t="s">
        <v>1867</v>
      </c>
      <c r="B3875" s="1269" t="s">
        <v>1835</v>
      </c>
      <c r="C3875" s="1269"/>
      <c r="D3875" s="1269"/>
      <c r="E3875" s="247">
        <v>3.92</v>
      </c>
      <c r="F3875" s="365" t="s">
        <v>205</v>
      </c>
      <c r="G3875" s="365"/>
      <c r="H3875" s="365"/>
      <c r="I3875" s="365">
        <v>1.02</v>
      </c>
      <c r="J3875" s="365"/>
      <c r="K3875" s="247">
        <f>+E3875*I3875</f>
        <v>3.9984000000000002</v>
      </c>
      <c r="L3875" s="365" t="s">
        <v>205</v>
      </c>
      <c r="M3875" s="54"/>
      <c r="O3875" s="336"/>
      <c r="P3875" s="334"/>
      <c r="Q3875" s="335"/>
      <c r="R3875" s="336"/>
      <c r="S3875" s="337"/>
    </row>
    <row r="3876" spans="1:19" ht="30" customHeight="1" x14ac:dyDescent="0.25">
      <c r="A3876" s="447"/>
      <c r="B3876" s="1589"/>
      <c r="C3876" s="1590"/>
      <c r="D3876" s="1591"/>
      <c r="E3876" s="945"/>
      <c r="F3876" s="447"/>
      <c r="G3876" s="447"/>
      <c r="H3876" s="447"/>
      <c r="I3876" s="447"/>
      <c r="J3876" s="447" t="s">
        <v>343</v>
      </c>
      <c r="K3876" s="945">
        <f>SUM(K3874:K3875)</f>
        <v>102.42840000000001</v>
      </c>
      <c r="L3876" s="447" t="s">
        <v>205</v>
      </c>
      <c r="M3876" s="54"/>
      <c r="N3876" s="54"/>
      <c r="O3876" s="336"/>
      <c r="P3876" s="334"/>
      <c r="Q3876" s="335"/>
      <c r="R3876" s="336"/>
      <c r="S3876" s="337"/>
    </row>
    <row r="3877" spans="1:19" ht="30" customHeight="1" x14ac:dyDescent="0.25">
      <c r="A3877" s="365"/>
      <c r="B3877" s="578"/>
      <c r="C3877" s="578"/>
      <c r="D3877" s="578"/>
      <c r="E3877" s="247"/>
      <c r="F3877" s="1272" t="s">
        <v>303</v>
      </c>
      <c r="G3877" s="1283" t="s">
        <v>304</v>
      </c>
      <c r="H3877" s="1283"/>
      <c r="I3877" s="1283"/>
      <c r="J3877" s="1283"/>
      <c r="K3877" s="250">
        <v>1.07</v>
      </c>
      <c r="L3877" s="365"/>
      <c r="M3877" s="54"/>
      <c r="N3877" s="54"/>
      <c r="O3877" s="336"/>
      <c r="P3877" s="334"/>
      <c r="Q3877" s="335"/>
      <c r="R3877" s="336"/>
      <c r="S3877" s="337"/>
    </row>
    <row r="3878" spans="1:19" ht="30" customHeight="1" x14ac:dyDescent="0.25">
      <c r="A3878" s="365"/>
      <c r="B3878" s="578"/>
      <c r="C3878" s="578"/>
      <c r="D3878" s="578"/>
      <c r="E3878" s="247"/>
      <c r="F3878" s="1273"/>
      <c r="G3878" s="1284" t="s">
        <v>438</v>
      </c>
      <c r="H3878" s="1284"/>
      <c r="I3878" s="1284"/>
      <c r="J3878" s="1284"/>
      <c r="K3878" s="250">
        <v>1.08</v>
      </c>
      <c r="L3878" s="365"/>
      <c r="M3878" s="54"/>
      <c r="N3878" s="54"/>
      <c r="O3878" s="336"/>
      <c r="P3878" s="334"/>
      <c r="Q3878" s="335"/>
      <c r="R3878" s="336"/>
      <c r="S3878" s="337"/>
    </row>
    <row r="3879" spans="1:19" ht="30" customHeight="1" x14ac:dyDescent="0.25">
      <c r="A3879" s="365"/>
      <c r="B3879" s="365"/>
      <c r="C3879" s="366"/>
      <c r="D3879" s="366"/>
      <c r="E3879" s="366"/>
      <c r="F3879" s="366"/>
      <c r="G3879" s="366"/>
      <c r="H3879" s="366"/>
      <c r="I3879" s="366"/>
      <c r="J3879" s="365" t="s">
        <v>72</v>
      </c>
      <c r="K3879" s="246">
        <f>+K3876*K3877/K3878</f>
        <v>101.4799888888889</v>
      </c>
      <c r="L3879" s="365" t="s">
        <v>205</v>
      </c>
      <c r="M3879" s="111"/>
      <c r="N3879" s="54"/>
      <c r="O3879" s="336"/>
      <c r="P3879" s="334"/>
      <c r="Q3879" s="335"/>
      <c r="R3879" s="336"/>
      <c r="S3879" s="337"/>
    </row>
    <row r="3880" spans="1:19" ht="30" customHeight="1" x14ac:dyDescent="0.25">
      <c r="A3880" s="365"/>
      <c r="B3880" s="365"/>
      <c r="C3880" s="366"/>
      <c r="D3880" s="366"/>
      <c r="E3880" s="366"/>
      <c r="F3880" s="366"/>
      <c r="G3880" s="580" t="s">
        <v>306</v>
      </c>
      <c r="H3880" s="366"/>
      <c r="I3880" s="366"/>
      <c r="J3880" s="521">
        <f>VLOOKUP(B3872,'Mil Cost Premiums for PUCs'!$A$4:$R$277,18,FALSE)</f>
        <v>1.12897214704308</v>
      </c>
      <c r="K3880" s="246">
        <f>+K3879*J3880</f>
        <v>114.56808093779681</v>
      </c>
      <c r="L3880" s="365" t="s">
        <v>205</v>
      </c>
      <c r="M3880" s="54"/>
      <c r="N3880" s="54"/>
      <c r="O3880" s="336"/>
      <c r="P3880" s="334"/>
      <c r="Q3880" s="335"/>
      <c r="R3880" s="336"/>
      <c r="S3880" s="337"/>
    </row>
    <row r="3881" spans="1:19" ht="30" customHeight="1" thickBot="1" x14ac:dyDescent="0.3">
      <c r="A3881" s="844"/>
      <c r="B3881" s="844"/>
      <c r="C3881" s="471"/>
      <c r="D3881" s="471"/>
      <c r="E3881" s="850"/>
      <c r="F3881" s="1278" t="s">
        <v>1148</v>
      </c>
      <c r="G3881" s="1278"/>
      <c r="H3881" s="1278"/>
      <c r="I3881" s="1278"/>
      <c r="J3881" s="845">
        <v>1.0833999999999999</v>
      </c>
      <c r="K3881" s="544">
        <f>K3880*J3881</f>
        <v>124.12305888800906</v>
      </c>
      <c r="L3881" s="369" t="s">
        <v>205</v>
      </c>
      <c r="N3881" s="54"/>
      <c r="O3881" s="336"/>
      <c r="P3881" s="334"/>
      <c r="Q3881" s="335"/>
      <c r="R3881" s="336"/>
      <c r="S3881" s="337"/>
    </row>
    <row r="3882" spans="1:19" ht="30" customHeight="1" thickBot="1" x14ac:dyDescent="0.3">
      <c r="A3882" s="1180"/>
      <c r="B3882" s="1181"/>
      <c r="C3882" s="1181"/>
      <c r="D3882" s="1181"/>
      <c r="E3882" s="1181"/>
      <c r="F3882" s="1181"/>
      <c r="G3882" s="1181"/>
      <c r="H3882" s="1181"/>
      <c r="I3882" s="1181"/>
      <c r="J3882" s="1181"/>
      <c r="K3882" s="1181"/>
      <c r="L3882" s="1182"/>
      <c r="M3882" s="54"/>
      <c r="N3882" s="54"/>
      <c r="O3882" s="336"/>
      <c r="P3882" s="334"/>
      <c r="Q3882" s="335"/>
      <c r="R3882" s="336"/>
      <c r="S3882" s="337"/>
    </row>
    <row r="3883" spans="1:19" ht="30" customHeight="1" x14ac:dyDescent="0.25">
      <c r="A3883" s="327" t="s">
        <v>5</v>
      </c>
      <c r="B3883" s="328">
        <v>7443</v>
      </c>
      <c r="C3883" s="1218" t="s">
        <v>2114</v>
      </c>
      <c r="D3883" s="1219"/>
      <c r="E3883" s="331" t="s">
        <v>8</v>
      </c>
      <c r="F3883" s="332" t="s">
        <v>205</v>
      </c>
      <c r="G3883" s="342" t="s">
        <v>74</v>
      </c>
      <c r="H3883" s="156">
        <v>1875</v>
      </c>
      <c r="I3883" s="331" t="s">
        <v>10</v>
      </c>
      <c r="J3883" s="1220" t="s">
        <v>3388</v>
      </c>
      <c r="K3883" s="1220"/>
      <c r="L3883" s="1221"/>
      <c r="M3883" s="54"/>
      <c r="N3883" s="54"/>
      <c r="O3883" s="336"/>
      <c r="P3883" s="334"/>
      <c r="Q3883" s="335"/>
      <c r="R3883" s="336"/>
      <c r="S3883" s="337"/>
    </row>
    <row r="3884" spans="1:19" ht="30" customHeight="1" x14ac:dyDescent="0.25">
      <c r="A3884" s="359" t="s">
        <v>295</v>
      </c>
      <c r="B3884" s="1222" t="s">
        <v>326</v>
      </c>
      <c r="C3884" s="1235"/>
      <c r="D3884" s="1223"/>
      <c r="E3884" s="577" t="s">
        <v>116</v>
      </c>
      <c r="F3884" s="577" t="s">
        <v>117</v>
      </c>
      <c r="G3884" s="1194" t="s">
        <v>118</v>
      </c>
      <c r="H3884" s="1195"/>
      <c r="I3884" s="356" t="s">
        <v>296</v>
      </c>
      <c r="J3884" s="356"/>
      <c r="K3884" s="581" t="s">
        <v>285</v>
      </c>
      <c r="L3884" s="382"/>
      <c r="M3884" s="54"/>
      <c r="O3884" s="336"/>
      <c r="P3884" s="334"/>
      <c r="Q3884" s="335"/>
      <c r="R3884" s="336"/>
      <c r="S3884" s="337"/>
    </row>
    <row r="3885" spans="1:19" ht="30" customHeight="1" x14ac:dyDescent="0.25">
      <c r="A3885" s="755" t="s">
        <v>1794</v>
      </c>
      <c r="B3885" s="1214" t="s">
        <v>1795</v>
      </c>
      <c r="C3885" s="1215"/>
      <c r="D3885" s="1216"/>
      <c r="E3885" s="247">
        <v>27.5</v>
      </c>
      <c r="F3885" s="396" t="s">
        <v>205</v>
      </c>
      <c r="G3885" s="956"/>
      <c r="H3885" s="957"/>
      <c r="I3885" s="706">
        <v>1.06</v>
      </c>
      <c r="J3885" s="365"/>
      <c r="K3885" s="247">
        <f>+E3885*I3885</f>
        <v>29.150000000000002</v>
      </c>
      <c r="L3885" s="365" t="s">
        <v>205</v>
      </c>
      <c r="M3885" s="54"/>
      <c r="N3885" s="54"/>
      <c r="O3885" s="336"/>
      <c r="P3885" s="334"/>
      <c r="Q3885" s="335"/>
      <c r="R3885" s="336"/>
      <c r="S3885" s="337"/>
    </row>
    <row r="3886" spans="1:19" ht="30" customHeight="1" x14ac:dyDescent="0.25">
      <c r="A3886" s="365"/>
      <c r="B3886" s="578"/>
      <c r="C3886" s="578"/>
      <c r="D3886" s="578"/>
      <c r="E3886" s="247"/>
      <c r="F3886" s="1272" t="s">
        <v>303</v>
      </c>
      <c r="G3886" s="1283" t="s">
        <v>304</v>
      </c>
      <c r="H3886" s="1283"/>
      <c r="I3886" s="1283"/>
      <c r="J3886" s="1283"/>
      <c r="K3886" s="250">
        <v>1.07</v>
      </c>
      <c r="L3886" s="365"/>
      <c r="M3886" s="544"/>
      <c r="N3886" s="54"/>
      <c r="O3886" s="336"/>
      <c r="P3886" s="334"/>
      <c r="Q3886" s="335"/>
      <c r="R3886" s="336"/>
      <c r="S3886" s="337"/>
    </row>
    <row r="3887" spans="1:19" ht="30" customHeight="1" x14ac:dyDescent="0.25">
      <c r="A3887" s="365"/>
      <c r="B3887" s="578"/>
      <c r="C3887" s="578"/>
      <c r="D3887" s="578"/>
      <c r="E3887" s="247"/>
      <c r="F3887" s="1273"/>
      <c r="G3887" s="1284" t="s">
        <v>438</v>
      </c>
      <c r="H3887" s="1284"/>
      <c r="I3887" s="1284"/>
      <c r="J3887" s="1284"/>
      <c r="K3887" s="250">
        <v>1.08</v>
      </c>
      <c r="L3887" s="365"/>
      <c r="M3887" s="54"/>
      <c r="N3887" s="54"/>
      <c r="O3887" s="336"/>
      <c r="P3887" s="334"/>
      <c r="Q3887" s="335"/>
      <c r="R3887" s="336"/>
      <c r="S3887" s="337"/>
    </row>
    <row r="3888" spans="1:19" ht="30" customHeight="1" x14ac:dyDescent="0.25">
      <c r="A3888" s="755"/>
      <c r="B3888" s="1214"/>
      <c r="C3888" s="1215"/>
      <c r="D3888" s="1216"/>
      <c r="E3888" s="247"/>
      <c r="F3888" s="689"/>
      <c r="G3888" s="661"/>
      <c r="H3888" s="698"/>
      <c r="I3888" s="365"/>
      <c r="J3888" s="365" t="s">
        <v>72</v>
      </c>
      <c r="K3888" s="246">
        <f>+K3885*K3886/K3887</f>
        <v>28.880092592592593</v>
      </c>
      <c r="L3888" s="365" t="s">
        <v>205</v>
      </c>
      <c r="M3888" s="54"/>
      <c r="N3888" s="54"/>
      <c r="O3888" s="336"/>
      <c r="P3888" s="334"/>
      <c r="Q3888" s="335"/>
      <c r="R3888" s="336"/>
      <c r="S3888" s="337"/>
    </row>
    <row r="3889" spans="1:19" ht="30" customHeight="1" x14ac:dyDescent="0.25">
      <c r="A3889" s="365"/>
      <c r="B3889" s="365"/>
      <c r="C3889" s="366"/>
      <c r="D3889" s="366"/>
      <c r="E3889" s="366"/>
      <c r="F3889" s="366"/>
      <c r="G3889" s="580" t="s">
        <v>306</v>
      </c>
      <c r="H3889" s="366"/>
      <c r="I3889" s="366"/>
      <c r="J3889" s="521">
        <f>VLOOKUP(B3883,'Mil Cost Premiums for PUCs'!$A$4:$R$277,18,FALSE)</f>
        <v>1.0590296311349996</v>
      </c>
      <c r="K3889" s="246">
        <f>+K3888*J3889</f>
        <v>30.584873805477969</v>
      </c>
      <c r="L3889" s="365" t="s">
        <v>205</v>
      </c>
      <c r="M3889" s="54"/>
      <c r="N3889" s="54"/>
      <c r="O3889" s="336"/>
      <c r="P3889" s="334"/>
      <c r="Q3889" s="335"/>
      <c r="R3889" s="336"/>
      <c r="S3889" s="337"/>
    </row>
    <row r="3890" spans="1:19" ht="30" customHeight="1" thickBot="1" x14ac:dyDescent="0.3">
      <c r="A3890" s="844"/>
      <c r="B3890" s="844"/>
      <c r="C3890" s="471"/>
      <c r="D3890" s="471"/>
      <c r="E3890" s="850"/>
      <c r="F3890" s="1278" t="s">
        <v>1148</v>
      </c>
      <c r="G3890" s="1278"/>
      <c r="H3890" s="1278"/>
      <c r="I3890" s="1278"/>
      <c r="J3890" s="845">
        <v>1.0833999999999999</v>
      </c>
      <c r="K3890" s="544">
        <f>K3889*J3890</f>
        <v>33.135652280854828</v>
      </c>
      <c r="L3890" s="369" t="s">
        <v>205</v>
      </c>
      <c r="N3890" s="54"/>
      <c r="O3890" s="336"/>
      <c r="P3890" s="334"/>
      <c r="Q3890" s="335"/>
      <c r="R3890" s="336"/>
      <c r="S3890" s="337"/>
    </row>
    <row r="3891" spans="1:19" ht="30" customHeight="1" thickBot="1" x14ac:dyDescent="0.3">
      <c r="A3891" s="1180"/>
      <c r="B3891" s="1181"/>
      <c r="C3891" s="1181"/>
      <c r="D3891" s="1181"/>
      <c r="E3891" s="1181"/>
      <c r="F3891" s="1181"/>
      <c r="G3891" s="1181"/>
      <c r="H3891" s="1181"/>
      <c r="I3891" s="1181"/>
      <c r="J3891" s="1181"/>
      <c r="K3891" s="1181"/>
      <c r="L3891" s="1182"/>
      <c r="M3891" s="54"/>
      <c r="N3891" s="54"/>
      <c r="O3891" s="336"/>
      <c r="P3891" s="334"/>
      <c r="Q3891" s="335"/>
      <c r="R3891" s="336"/>
      <c r="S3891" s="337"/>
    </row>
    <row r="3892" spans="1:19" ht="30" customHeight="1" x14ac:dyDescent="0.25">
      <c r="A3892" s="327" t="s">
        <v>5</v>
      </c>
      <c r="B3892" s="328">
        <v>7444</v>
      </c>
      <c r="C3892" s="1251" t="s">
        <v>2115</v>
      </c>
      <c r="D3892" s="1252"/>
      <c r="E3892" s="331" t="s">
        <v>8</v>
      </c>
      <c r="F3892" s="332" t="s">
        <v>205</v>
      </c>
      <c r="G3892" s="342" t="s">
        <v>74</v>
      </c>
      <c r="H3892" s="156">
        <v>2504</v>
      </c>
      <c r="I3892" s="331" t="s">
        <v>10</v>
      </c>
      <c r="J3892" s="1220" t="s">
        <v>3388</v>
      </c>
      <c r="K3892" s="1220"/>
      <c r="L3892" s="1221"/>
      <c r="M3892" s="54"/>
      <c r="N3892" s="54"/>
      <c r="O3892" s="336"/>
      <c r="P3892" s="334"/>
      <c r="Q3892" s="335"/>
      <c r="R3892" s="336"/>
      <c r="S3892" s="337"/>
    </row>
    <row r="3893" spans="1:19" ht="30" customHeight="1" x14ac:dyDescent="0.25">
      <c r="A3893" s="359" t="s">
        <v>295</v>
      </c>
      <c r="B3893" s="1222" t="s">
        <v>326</v>
      </c>
      <c r="C3893" s="1235"/>
      <c r="D3893" s="1223"/>
      <c r="E3893" s="577" t="s">
        <v>116</v>
      </c>
      <c r="F3893" s="577" t="s">
        <v>117</v>
      </c>
      <c r="G3893" s="1194" t="s">
        <v>118</v>
      </c>
      <c r="H3893" s="1195"/>
      <c r="I3893" s="356" t="s">
        <v>296</v>
      </c>
      <c r="J3893" s="356"/>
      <c r="K3893" s="581" t="s">
        <v>285</v>
      </c>
      <c r="L3893" s="382"/>
      <c r="M3893" s="54"/>
      <c r="O3893" s="336"/>
      <c r="P3893" s="334"/>
      <c r="Q3893" s="335"/>
      <c r="R3893" s="336"/>
      <c r="S3893" s="337"/>
    </row>
    <row r="3894" spans="1:19" ht="30" customHeight="1" x14ac:dyDescent="0.25">
      <c r="A3894" s="755" t="s">
        <v>2116</v>
      </c>
      <c r="B3894" s="1269" t="s">
        <v>2117</v>
      </c>
      <c r="C3894" s="1269"/>
      <c r="D3894" s="1269"/>
      <c r="E3894" s="247">
        <v>36.25</v>
      </c>
      <c r="F3894" s="365" t="s">
        <v>205</v>
      </c>
      <c r="G3894" s="365"/>
      <c r="H3894" s="365"/>
      <c r="I3894" s="706">
        <v>1.06</v>
      </c>
      <c r="J3894" s="365"/>
      <c r="K3894" s="247">
        <f>+E3894*I3894</f>
        <v>38.425000000000004</v>
      </c>
      <c r="L3894" s="365" t="s">
        <v>205</v>
      </c>
      <c r="M3894" s="54"/>
      <c r="N3894" s="54"/>
      <c r="O3894" s="336"/>
      <c r="P3894" s="334"/>
      <c r="Q3894" s="335"/>
      <c r="R3894" s="336"/>
      <c r="S3894" s="337"/>
    </row>
    <row r="3895" spans="1:19" ht="30" customHeight="1" x14ac:dyDescent="0.25">
      <c r="A3895" s="365"/>
      <c r="B3895" s="578"/>
      <c r="C3895" s="578"/>
      <c r="D3895" s="578"/>
      <c r="E3895" s="247"/>
      <c r="F3895" s="1272" t="s">
        <v>303</v>
      </c>
      <c r="G3895" s="1283" t="s">
        <v>304</v>
      </c>
      <c r="H3895" s="1283"/>
      <c r="I3895" s="1283"/>
      <c r="J3895" s="1283"/>
      <c r="K3895" s="250">
        <v>1.07</v>
      </c>
      <c r="L3895" s="365"/>
      <c r="M3895" s="54"/>
      <c r="N3895" s="54"/>
      <c r="O3895" s="336"/>
      <c r="P3895" s="334"/>
      <c r="Q3895" s="335"/>
      <c r="R3895" s="336"/>
      <c r="S3895" s="337"/>
    </row>
    <row r="3896" spans="1:19" ht="30" customHeight="1" x14ac:dyDescent="0.25">
      <c r="A3896" s="365"/>
      <c r="B3896" s="578"/>
      <c r="C3896" s="578"/>
      <c r="D3896" s="578"/>
      <c r="E3896" s="247"/>
      <c r="F3896" s="1273"/>
      <c r="G3896" s="1284" t="s">
        <v>438</v>
      </c>
      <c r="H3896" s="1284"/>
      <c r="I3896" s="1284"/>
      <c r="J3896" s="1284"/>
      <c r="K3896" s="250">
        <v>1.08</v>
      </c>
      <c r="L3896" s="365"/>
      <c r="M3896" s="54"/>
      <c r="N3896" s="54"/>
      <c r="O3896" s="336"/>
      <c r="P3896" s="334"/>
      <c r="Q3896" s="335"/>
      <c r="R3896" s="336"/>
      <c r="S3896" s="337"/>
    </row>
    <row r="3897" spans="1:19" ht="30" customHeight="1" x14ac:dyDescent="0.25">
      <c r="A3897" s="365"/>
      <c r="B3897" s="365"/>
      <c r="C3897" s="366"/>
      <c r="D3897" s="366"/>
      <c r="E3897" s="366"/>
      <c r="F3897" s="366"/>
      <c r="G3897" s="366"/>
      <c r="H3897" s="366"/>
      <c r="I3897" s="366"/>
      <c r="J3897" s="365" t="s">
        <v>72</v>
      </c>
      <c r="K3897" s="246">
        <f>+K3894*K3895/K3896</f>
        <v>38.069212962962965</v>
      </c>
      <c r="L3897" s="365" t="s">
        <v>205</v>
      </c>
      <c r="M3897" s="54"/>
      <c r="N3897" s="111"/>
      <c r="O3897" s="336"/>
      <c r="P3897" s="334"/>
      <c r="Q3897" s="335"/>
      <c r="R3897" s="336"/>
      <c r="S3897" s="337"/>
    </row>
    <row r="3898" spans="1:19" ht="30" customHeight="1" x14ac:dyDescent="0.25">
      <c r="A3898" s="365"/>
      <c r="B3898" s="365"/>
      <c r="C3898" s="366"/>
      <c r="D3898" s="366"/>
      <c r="E3898" s="366"/>
      <c r="F3898" s="366"/>
      <c r="G3898" s="580" t="s">
        <v>306</v>
      </c>
      <c r="H3898" s="366"/>
      <c r="I3898" s="366"/>
      <c r="J3898" s="521">
        <f>VLOOKUP(B3892,'Mil Cost Premiums for PUCs'!$A$4:$R$277,18,FALSE)</f>
        <v>1.0209999999999999</v>
      </c>
      <c r="K3898" s="246">
        <f>+K3897*J3898</f>
        <v>38.868666435185183</v>
      </c>
      <c r="L3898" s="365" t="s">
        <v>205</v>
      </c>
      <c r="M3898" s="54"/>
      <c r="N3898" s="54"/>
      <c r="O3898" s="336"/>
      <c r="P3898" s="334"/>
      <c r="Q3898" s="335"/>
      <c r="R3898" s="336"/>
      <c r="S3898" s="337"/>
    </row>
    <row r="3899" spans="1:19" ht="30" customHeight="1" thickBot="1" x14ac:dyDescent="0.3">
      <c r="A3899" s="844"/>
      <c r="B3899" s="844"/>
      <c r="C3899" s="471"/>
      <c r="D3899" s="471"/>
      <c r="E3899" s="850"/>
      <c r="F3899" s="1278" t="s">
        <v>1148</v>
      </c>
      <c r="G3899" s="1278"/>
      <c r="H3899" s="1278"/>
      <c r="I3899" s="1278"/>
      <c r="J3899" s="845">
        <v>1.0833999999999999</v>
      </c>
      <c r="K3899" s="544">
        <f>K3898*J3899</f>
        <v>42.110313215879621</v>
      </c>
      <c r="L3899" s="369" t="s">
        <v>205</v>
      </c>
      <c r="N3899" s="54"/>
      <c r="O3899" s="336"/>
      <c r="P3899" s="334"/>
      <c r="Q3899" s="335"/>
      <c r="R3899" s="336"/>
      <c r="S3899" s="337"/>
    </row>
    <row r="3900" spans="1:19" ht="30" customHeight="1" thickBot="1" x14ac:dyDescent="0.3">
      <c r="A3900" s="1180"/>
      <c r="B3900" s="1181"/>
      <c r="C3900" s="1181"/>
      <c r="D3900" s="1181"/>
      <c r="E3900" s="1181"/>
      <c r="F3900" s="1181"/>
      <c r="G3900" s="1181"/>
      <c r="H3900" s="1181"/>
      <c r="I3900" s="1181"/>
      <c r="J3900" s="1181"/>
      <c r="K3900" s="1181"/>
      <c r="L3900" s="1182"/>
      <c r="M3900" s="54"/>
      <c r="N3900" s="54"/>
      <c r="O3900" s="336"/>
      <c r="P3900" s="334"/>
      <c r="Q3900" s="335"/>
      <c r="R3900" s="336"/>
      <c r="S3900" s="337"/>
    </row>
    <row r="3901" spans="1:19" ht="30" customHeight="1" x14ac:dyDescent="0.25">
      <c r="A3901" s="327" t="s">
        <v>5</v>
      </c>
      <c r="B3901" s="328">
        <v>7445</v>
      </c>
      <c r="C3901" s="1251" t="s">
        <v>2118</v>
      </c>
      <c r="D3901" s="1252"/>
      <c r="E3901" s="331" t="s">
        <v>8</v>
      </c>
      <c r="F3901" s="332" t="s">
        <v>205</v>
      </c>
      <c r="G3901" s="342" t="s">
        <v>74</v>
      </c>
      <c r="H3901" s="176">
        <v>3094</v>
      </c>
      <c r="I3901" s="331" t="s">
        <v>10</v>
      </c>
      <c r="J3901" s="1220" t="s">
        <v>3388</v>
      </c>
      <c r="K3901" s="1220"/>
      <c r="L3901" s="1221"/>
      <c r="M3901" s="54"/>
      <c r="N3901" s="54"/>
      <c r="O3901" s="336"/>
      <c r="P3901" s="334"/>
      <c r="Q3901" s="335"/>
      <c r="R3901" s="336"/>
      <c r="S3901" s="337"/>
    </row>
    <row r="3902" spans="1:19" ht="30" customHeight="1" x14ac:dyDescent="0.25">
      <c r="A3902" s="359" t="s">
        <v>295</v>
      </c>
      <c r="B3902" s="1222" t="s">
        <v>326</v>
      </c>
      <c r="C3902" s="1235"/>
      <c r="D3902" s="1223"/>
      <c r="E3902" s="577" t="s">
        <v>116</v>
      </c>
      <c r="F3902" s="577" t="s">
        <v>117</v>
      </c>
      <c r="G3902" s="1194" t="s">
        <v>118</v>
      </c>
      <c r="H3902" s="1195"/>
      <c r="I3902" s="356" t="s">
        <v>296</v>
      </c>
      <c r="J3902" s="356"/>
      <c r="K3902" s="581" t="s">
        <v>285</v>
      </c>
      <c r="L3902" s="382"/>
      <c r="M3902" s="54"/>
      <c r="N3902" s="54"/>
      <c r="O3902" s="336"/>
      <c r="P3902" s="334"/>
      <c r="Q3902" s="335"/>
      <c r="R3902" s="336"/>
      <c r="S3902" s="337"/>
    </row>
    <row r="3903" spans="1:19" ht="30" customHeight="1" x14ac:dyDescent="0.25">
      <c r="A3903" s="755" t="s">
        <v>597</v>
      </c>
      <c r="B3903" s="1214" t="s">
        <v>2119</v>
      </c>
      <c r="C3903" s="1215"/>
      <c r="D3903" s="1216"/>
      <c r="E3903" s="247">
        <v>32.25</v>
      </c>
      <c r="F3903" s="396" t="s">
        <v>205</v>
      </c>
      <c r="G3903" s="956"/>
      <c r="H3903" s="957"/>
      <c r="I3903" s="706">
        <v>1.06</v>
      </c>
      <c r="J3903" s="365"/>
      <c r="K3903" s="247">
        <f>+E3903*I3903</f>
        <v>34.185000000000002</v>
      </c>
      <c r="L3903" s="365" t="s">
        <v>205</v>
      </c>
      <c r="M3903" s="54"/>
      <c r="N3903" s="54"/>
      <c r="O3903" s="336"/>
      <c r="P3903" s="334"/>
      <c r="Q3903" s="335"/>
      <c r="R3903" s="336"/>
      <c r="S3903" s="337"/>
    </row>
    <row r="3904" spans="1:19" ht="30" customHeight="1" x14ac:dyDescent="0.25">
      <c r="A3904" s="365"/>
      <c r="B3904" s="578"/>
      <c r="C3904" s="578"/>
      <c r="D3904" s="578"/>
      <c r="E3904" s="247"/>
      <c r="F3904" s="1272" t="s">
        <v>303</v>
      </c>
      <c r="G3904" s="1283" t="s">
        <v>304</v>
      </c>
      <c r="H3904" s="1283"/>
      <c r="I3904" s="1283"/>
      <c r="J3904" s="1283"/>
      <c r="K3904" s="250">
        <v>1.07</v>
      </c>
      <c r="L3904" s="365"/>
      <c r="M3904" s="54"/>
      <c r="O3904" s="336"/>
      <c r="P3904" s="334"/>
      <c r="Q3904" s="335"/>
      <c r="R3904" s="336"/>
      <c r="S3904" s="337"/>
    </row>
    <row r="3905" spans="1:19" ht="30" customHeight="1" x14ac:dyDescent="0.25">
      <c r="A3905" s="365"/>
      <c r="B3905" s="578"/>
      <c r="C3905" s="578"/>
      <c r="D3905" s="578"/>
      <c r="E3905" s="247"/>
      <c r="F3905" s="1273"/>
      <c r="G3905" s="1284" t="s">
        <v>438</v>
      </c>
      <c r="H3905" s="1284"/>
      <c r="I3905" s="1284"/>
      <c r="J3905" s="1284"/>
      <c r="K3905" s="250">
        <v>1.08</v>
      </c>
      <c r="L3905" s="365"/>
      <c r="M3905" s="54"/>
      <c r="N3905" s="54"/>
      <c r="O3905" s="336"/>
      <c r="P3905" s="334"/>
      <c r="Q3905" s="335"/>
      <c r="R3905" s="336"/>
      <c r="S3905" s="337"/>
    </row>
    <row r="3906" spans="1:19" ht="30" customHeight="1" x14ac:dyDescent="0.25">
      <c r="A3906" s="365"/>
      <c r="B3906" s="365"/>
      <c r="C3906" s="366"/>
      <c r="D3906" s="366"/>
      <c r="E3906" s="366"/>
      <c r="F3906" s="366"/>
      <c r="G3906" s="366"/>
      <c r="H3906" s="366"/>
      <c r="I3906" s="366"/>
      <c r="J3906" s="365" t="s">
        <v>72</v>
      </c>
      <c r="K3906" s="246">
        <f>+K3903*K3904/K3905</f>
        <v>33.868472222222223</v>
      </c>
      <c r="L3906" s="365" t="s">
        <v>205</v>
      </c>
      <c r="M3906" s="54"/>
      <c r="N3906" s="54"/>
      <c r="O3906" s="336"/>
      <c r="P3906" s="334"/>
      <c r="Q3906" s="335"/>
      <c r="R3906" s="336"/>
      <c r="S3906" s="337"/>
    </row>
    <row r="3907" spans="1:19" ht="30" customHeight="1" x14ac:dyDescent="0.25">
      <c r="A3907" s="365"/>
      <c r="B3907" s="365"/>
      <c r="C3907" s="366"/>
      <c r="D3907" s="366"/>
      <c r="E3907" s="366"/>
      <c r="F3907" s="366"/>
      <c r="G3907" s="580" t="s">
        <v>306</v>
      </c>
      <c r="H3907" s="366"/>
      <c r="I3907" s="366"/>
      <c r="J3907" s="521">
        <f>VLOOKUP(B3901,'Mil Cost Premiums for PUCs'!$A$4:$R$277,18,FALSE)</f>
        <v>1.0209999999999999</v>
      </c>
      <c r="K3907" s="246">
        <f>+K3906*J3907</f>
        <v>34.579710138888885</v>
      </c>
      <c r="L3907" s="365" t="s">
        <v>205</v>
      </c>
      <c r="M3907" s="54"/>
      <c r="N3907" s="54"/>
      <c r="O3907" s="336"/>
      <c r="P3907" s="334"/>
      <c r="Q3907" s="335"/>
      <c r="R3907" s="336"/>
      <c r="S3907" s="337"/>
    </row>
    <row r="3908" spans="1:19" ht="30" customHeight="1" thickBot="1" x14ac:dyDescent="0.3">
      <c r="A3908" s="844"/>
      <c r="B3908" s="844"/>
      <c r="C3908" s="471"/>
      <c r="D3908" s="471"/>
      <c r="E3908" s="850"/>
      <c r="F3908" s="1278" t="s">
        <v>1148</v>
      </c>
      <c r="G3908" s="1278"/>
      <c r="H3908" s="1278"/>
      <c r="I3908" s="1278"/>
      <c r="J3908" s="845">
        <v>1.0833999999999999</v>
      </c>
      <c r="K3908" s="544">
        <f>K3907*J3908</f>
        <v>37.463657964472212</v>
      </c>
      <c r="L3908" s="369" t="s">
        <v>205</v>
      </c>
      <c r="N3908" s="54"/>
      <c r="O3908" s="336"/>
      <c r="P3908" s="334"/>
      <c r="Q3908" s="335"/>
      <c r="R3908" s="336"/>
      <c r="S3908" s="337"/>
    </row>
    <row r="3909" spans="1:19" ht="30" customHeight="1" thickBot="1" x14ac:dyDescent="0.3">
      <c r="A3909" s="1180"/>
      <c r="B3909" s="1181"/>
      <c r="C3909" s="1181"/>
      <c r="D3909" s="1181"/>
      <c r="E3909" s="1181"/>
      <c r="F3909" s="1181"/>
      <c r="G3909" s="1181"/>
      <c r="H3909" s="1181"/>
      <c r="I3909" s="1181"/>
      <c r="J3909" s="1181"/>
      <c r="K3909" s="1181"/>
      <c r="L3909" s="1182"/>
      <c r="M3909" s="54"/>
      <c r="N3909" s="54"/>
      <c r="O3909" s="336"/>
      <c r="P3909" s="334"/>
      <c r="Q3909" s="335"/>
      <c r="R3909" s="336"/>
      <c r="S3909" s="337"/>
    </row>
    <row r="3910" spans="1:19" ht="30" customHeight="1" x14ac:dyDescent="0.25">
      <c r="A3910" s="327" t="s">
        <v>5</v>
      </c>
      <c r="B3910" s="328">
        <v>7446</v>
      </c>
      <c r="C3910" s="1251" t="s">
        <v>2120</v>
      </c>
      <c r="D3910" s="1252"/>
      <c r="E3910" s="331" t="s">
        <v>8</v>
      </c>
      <c r="F3910" s="332" t="s">
        <v>205</v>
      </c>
      <c r="G3910" s="342" t="s">
        <v>74</v>
      </c>
      <c r="H3910" s="179">
        <v>3309</v>
      </c>
      <c r="I3910" s="331" t="s">
        <v>10</v>
      </c>
      <c r="J3910" s="1220" t="s">
        <v>3388</v>
      </c>
      <c r="K3910" s="1220"/>
      <c r="L3910" s="1221"/>
      <c r="M3910" s="54"/>
      <c r="N3910" s="54"/>
      <c r="O3910" s="336"/>
      <c r="P3910" s="334"/>
      <c r="Q3910" s="335"/>
      <c r="R3910" s="336"/>
      <c r="S3910" s="337"/>
    </row>
    <row r="3911" spans="1:19" ht="30" customHeight="1" x14ac:dyDescent="0.25">
      <c r="A3911" s="359" t="s">
        <v>295</v>
      </c>
      <c r="B3911" s="1222" t="s">
        <v>326</v>
      </c>
      <c r="C3911" s="1235"/>
      <c r="D3911" s="1223"/>
      <c r="E3911" s="577" t="s">
        <v>116</v>
      </c>
      <c r="F3911" s="577" t="s">
        <v>117</v>
      </c>
      <c r="G3911" s="1194" t="s">
        <v>118</v>
      </c>
      <c r="H3911" s="1195"/>
      <c r="I3911" s="356" t="s">
        <v>296</v>
      </c>
      <c r="J3911" s="356"/>
      <c r="K3911" s="581" t="s">
        <v>285</v>
      </c>
      <c r="L3911" s="382"/>
      <c r="M3911" s="54"/>
      <c r="N3911" s="54"/>
      <c r="O3911" s="336"/>
      <c r="P3911" s="334"/>
      <c r="Q3911" s="335"/>
      <c r="R3911" s="336"/>
      <c r="S3911" s="337"/>
    </row>
    <row r="3912" spans="1:19" ht="30" customHeight="1" x14ac:dyDescent="0.25">
      <c r="A3912" s="755" t="s">
        <v>2034</v>
      </c>
      <c r="B3912" s="1214" t="s">
        <v>2035</v>
      </c>
      <c r="C3912" s="1215"/>
      <c r="D3912" s="1216"/>
      <c r="E3912" s="247">
        <v>128</v>
      </c>
      <c r="F3912" s="396" t="s">
        <v>205</v>
      </c>
      <c r="G3912" s="366"/>
      <c r="H3912" s="366"/>
      <c r="I3912" s="365">
        <v>1.05</v>
      </c>
      <c r="J3912" s="365"/>
      <c r="K3912" s="247">
        <f>+E3912*I3912</f>
        <v>134.4</v>
      </c>
      <c r="L3912" s="365" t="s">
        <v>205</v>
      </c>
      <c r="M3912" s="111"/>
      <c r="N3912" s="54"/>
      <c r="O3912" s="336"/>
      <c r="P3912" s="334"/>
      <c r="Q3912" s="335"/>
      <c r="R3912" s="336"/>
      <c r="S3912" s="337"/>
    </row>
    <row r="3913" spans="1:19" ht="30" customHeight="1" x14ac:dyDescent="0.25">
      <c r="A3913" s="755" t="s">
        <v>456</v>
      </c>
      <c r="B3913" s="1269" t="s">
        <v>2121</v>
      </c>
      <c r="C3913" s="1269"/>
      <c r="D3913" s="1269"/>
      <c r="E3913" s="247">
        <v>4.8600000000000003</v>
      </c>
      <c r="F3913" s="396" t="s">
        <v>205</v>
      </c>
      <c r="G3913" s="366"/>
      <c r="H3913" s="366"/>
      <c r="I3913" s="365">
        <v>1.05</v>
      </c>
      <c r="J3913" s="365"/>
      <c r="K3913" s="247">
        <f>+E3913*I3913</f>
        <v>5.1030000000000006</v>
      </c>
      <c r="L3913" s="365" t="s">
        <v>205</v>
      </c>
      <c r="M3913" s="54"/>
      <c r="N3913" s="54"/>
      <c r="O3913" s="336"/>
      <c r="P3913" s="334"/>
      <c r="Q3913" s="335"/>
      <c r="R3913" s="336"/>
      <c r="S3913" s="337"/>
    </row>
    <row r="3914" spans="1:19" ht="30" customHeight="1" x14ac:dyDescent="0.25">
      <c r="A3914" s="447"/>
      <c r="B3914" s="1589"/>
      <c r="C3914" s="1590"/>
      <c r="D3914" s="1591"/>
      <c r="E3914" s="945"/>
      <c r="F3914" s="447"/>
      <c r="G3914" s="447"/>
      <c r="H3914" s="447"/>
      <c r="I3914" s="447"/>
      <c r="J3914" s="447" t="s">
        <v>343</v>
      </c>
      <c r="K3914" s="945">
        <f>SUM(K3912:K3913)</f>
        <v>139.50300000000001</v>
      </c>
      <c r="L3914" s="447" t="s">
        <v>205</v>
      </c>
      <c r="M3914" s="54"/>
      <c r="N3914" s="54"/>
      <c r="O3914" s="336"/>
      <c r="P3914" s="334"/>
      <c r="Q3914" s="335"/>
      <c r="R3914" s="336"/>
      <c r="S3914" s="337"/>
    </row>
    <row r="3915" spans="1:19" ht="30" customHeight="1" x14ac:dyDescent="0.25">
      <c r="A3915" s="365"/>
      <c r="B3915" s="578"/>
      <c r="C3915" s="578"/>
      <c r="D3915" s="578"/>
      <c r="E3915" s="247"/>
      <c r="F3915" s="1272" t="s">
        <v>303</v>
      </c>
      <c r="G3915" s="1283" t="s">
        <v>304</v>
      </c>
      <c r="H3915" s="1283"/>
      <c r="I3915" s="1283"/>
      <c r="J3915" s="1283"/>
      <c r="K3915" s="250">
        <v>1.07</v>
      </c>
      <c r="L3915" s="365"/>
      <c r="M3915" s="54"/>
      <c r="N3915" s="54"/>
      <c r="O3915" s="336"/>
      <c r="P3915" s="334"/>
      <c r="Q3915" s="335"/>
      <c r="R3915" s="336"/>
      <c r="S3915" s="337"/>
    </row>
    <row r="3916" spans="1:19" ht="30" customHeight="1" x14ac:dyDescent="0.25">
      <c r="A3916" s="365"/>
      <c r="B3916" s="578"/>
      <c r="C3916" s="578"/>
      <c r="D3916" s="578"/>
      <c r="E3916" s="247"/>
      <c r="F3916" s="1273"/>
      <c r="G3916" s="1284" t="s">
        <v>438</v>
      </c>
      <c r="H3916" s="1284"/>
      <c r="I3916" s="1284"/>
      <c r="J3916" s="1284"/>
      <c r="K3916" s="250">
        <v>1.08</v>
      </c>
      <c r="L3916" s="365"/>
      <c r="M3916" s="54"/>
      <c r="N3916" s="54"/>
      <c r="O3916" s="336"/>
      <c r="P3916" s="334"/>
      <c r="Q3916" s="335"/>
      <c r="R3916" s="336"/>
      <c r="S3916" s="337"/>
    </row>
    <row r="3917" spans="1:19" ht="30" customHeight="1" x14ac:dyDescent="0.25">
      <c r="A3917" s="365"/>
      <c r="B3917" s="365"/>
      <c r="C3917" s="366"/>
      <c r="D3917" s="366"/>
      <c r="E3917" s="366"/>
      <c r="F3917" s="366"/>
      <c r="G3917" s="366"/>
      <c r="H3917" s="366"/>
      <c r="I3917" s="366"/>
      <c r="J3917" s="365" t="s">
        <v>72</v>
      </c>
      <c r="K3917" s="246">
        <f>+K3914*K3915/K3916</f>
        <v>138.21130555555555</v>
      </c>
      <c r="L3917" s="365" t="s">
        <v>205</v>
      </c>
      <c r="M3917" s="54"/>
      <c r="N3917" s="54"/>
      <c r="O3917" s="336"/>
      <c r="P3917" s="334"/>
      <c r="Q3917" s="335"/>
      <c r="R3917" s="336"/>
      <c r="S3917" s="337"/>
    </row>
    <row r="3918" spans="1:19" ht="30" customHeight="1" x14ac:dyDescent="0.25">
      <c r="A3918" s="365"/>
      <c r="B3918" s="365"/>
      <c r="C3918" s="366"/>
      <c r="D3918" s="366"/>
      <c r="E3918" s="366"/>
      <c r="F3918" s="366"/>
      <c r="G3918" s="580" t="s">
        <v>306</v>
      </c>
      <c r="H3918" s="366"/>
      <c r="I3918" s="366"/>
      <c r="J3918" s="521">
        <f>VLOOKUP(B3910,'Mil Cost Premiums for PUCs'!$A$4:$R$277,18,FALSE)</f>
        <v>1.0209999999999999</v>
      </c>
      <c r="K3918" s="246">
        <f>+K3917*J3918</f>
        <v>141.11374297222221</v>
      </c>
      <c r="L3918" s="365" t="s">
        <v>205</v>
      </c>
      <c r="M3918" s="54"/>
      <c r="N3918" s="54"/>
      <c r="O3918" s="336"/>
      <c r="P3918" s="334"/>
      <c r="Q3918" s="335"/>
      <c r="R3918" s="336"/>
      <c r="S3918" s="337"/>
    </row>
    <row r="3919" spans="1:19" ht="30" customHeight="1" thickBot="1" x14ac:dyDescent="0.3">
      <c r="A3919" s="844"/>
      <c r="B3919" s="844"/>
      <c r="C3919" s="471"/>
      <c r="D3919" s="471"/>
      <c r="E3919" s="850"/>
      <c r="F3919" s="1278" t="s">
        <v>1148</v>
      </c>
      <c r="G3919" s="1278"/>
      <c r="H3919" s="1278"/>
      <c r="I3919" s="1278"/>
      <c r="J3919" s="845">
        <v>1.0833999999999999</v>
      </c>
      <c r="K3919" s="544">
        <f>K3918*J3919</f>
        <v>152.88262913610552</v>
      </c>
      <c r="L3919" s="369" t="s">
        <v>205</v>
      </c>
      <c r="N3919" s="54"/>
      <c r="O3919" s="336"/>
      <c r="P3919" s="334"/>
      <c r="Q3919" s="335"/>
      <c r="R3919" s="336"/>
      <c r="S3919" s="337"/>
    </row>
    <row r="3920" spans="1:19" ht="30" customHeight="1" thickBot="1" x14ac:dyDescent="0.3">
      <c r="A3920" s="1180"/>
      <c r="B3920" s="1181"/>
      <c r="C3920" s="1181"/>
      <c r="D3920" s="1181"/>
      <c r="E3920" s="1181"/>
      <c r="F3920" s="1181"/>
      <c r="G3920" s="1181"/>
      <c r="H3920" s="1181"/>
      <c r="I3920" s="1181"/>
      <c r="J3920" s="1181"/>
      <c r="K3920" s="1181"/>
      <c r="L3920" s="1182"/>
      <c r="M3920" s="54"/>
      <c r="N3920" s="54"/>
      <c r="O3920" s="336"/>
      <c r="P3920" s="334"/>
      <c r="Q3920" s="335"/>
      <c r="R3920" s="336"/>
      <c r="S3920" s="337"/>
    </row>
    <row r="3921" spans="1:21" ht="30" customHeight="1" x14ac:dyDescent="0.25">
      <c r="A3921" s="327" t="s">
        <v>5</v>
      </c>
      <c r="B3921" s="328">
        <v>7447</v>
      </c>
      <c r="C3921" s="1218" t="s">
        <v>2122</v>
      </c>
      <c r="D3921" s="1219"/>
      <c r="E3921" s="331" t="s">
        <v>8</v>
      </c>
      <c r="F3921" s="332" t="s">
        <v>205</v>
      </c>
      <c r="G3921" s="342" t="s">
        <v>74</v>
      </c>
      <c r="H3921" s="160">
        <v>4255</v>
      </c>
      <c r="I3921" s="331" t="s">
        <v>10</v>
      </c>
      <c r="J3921" s="1220" t="s">
        <v>382</v>
      </c>
      <c r="K3921" s="1220"/>
      <c r="L3921" s="1221"/>
      <c r="M3921" s="111"/>
      <c r="O3921" s="336"/>
      <c r="P3921" s="334"/>
      <c r="Q3921" s="335"/>
      <c r="R3921" s="336"/>
      <c r="S3921" s="337"/>
    </row>
    <row r="3922" spans="1:21" ht="30" customHeight="1" x14ac:dyDescent="0.25">
      <c r="A3922" s="356" t="s">
        <v>282</v>
      </c>
      <c r="B3922" s="1163" t="s">
        <v>13</v>
      </c>
      <c r="C3922" s="1163"/>
      <c r="D3922" s="1163"/>
      <c r="E3922" s="356" t="s">
        <v>116</v>
      </c>
      <c r="F3922" s="356" t="s">
        <v>283</v>
      </c>
      <c r="G3922" s="1249" t="s">
        <v>118</v>
      </c>
      <c r="H3922" s="1249"/>
      <c r="I3922" s="1276" t="s">
        <v>284</v>
      </c>
      <c r="J3922" s="1277"/>
      <c r="K3922" s="581" t="s">
        <v>285</v>
      </c>
      <c r="L3922" s="382"/>
      <c r="M3922" s="54"/>
      <c r="N3922" s="54"/>
      <c r="O3922" s="336"/>
      <c r="P3922" s="334"/>
      <c r="Q3922" s="335"/>
      <c r="R3922" s="336"/>
      <c r="S3922" s="337"/>
    </row>
    <row r="3923" spans="1:21" ht="30" customHeight="1" x14ac:dyDescent="0.25">
      <c r="A3923" s="365">
        <v>44220</v>
      </c>
      <c r="B3923" s="1214" t="s">
        <v>2123</v>
      </c>
      <c r="C3923" s="1215"/>
      <c r="D3923" s="1216"/>
      <c r="E3923" s="247">
        <v>139</v>
      </c>
      <c r="F3923" s="257">
        <v>4191</v>
      </c>
      <c r="G3923" s="367"/>
      <c r="H3923" s="367"/>
      <c r="I3923" s="1416">
        <v>0.9405</v>
      </c>
      <c r="J3923" s="1417"/>
      <c r="K3923" s="242">
        <f>+E3923*I3923</f>
        <v>130.7295</v>
      </c>
      <c r="L3923" s="367" t="s">
        <v>205</v>
      </c>
      <c r="M3923" s="54"/>
      <c r="N3923" s="54"/>
      <c r="O3923" s="336"/>
      <c r="P3923" s="334"/>
      <c r="Q3923" s="335"/>
      <c r="R3923" s="336"/>
      <c r="S3923" s="337"/>
    </row>
    <row r="3924" spans="1:21" ht="30" customHeight="1" x14ac:dyDescent="0.25">
      <c r="A3924" s="365">
        <v>44220</v>
      </c>
      <c r="B3924" s="1209" t="s">
        <v>2124</v>
      </c>
      <c r="C3924" s="1210"/>
      <c r="D3924" s="1211"/>
      <c r="E3924" s="247">
        <v>352</v>
      </c>
      <c r="F3924" s="257">
        <v>8600</v>
      </c>
      <c r="G3924" s="367"/>
      <c r="H3924" s="367"/>
      <c r="I3924" s="1416">
        <v>0.9405</v>
      </c>
      <c r="J3924" s="1417"/>
      <c r="K3924" s="242">
        <f>+E3924*I3924</f>
        <v>331.05599999999998</v>
      </c>
      <c r="L3924" s="367" t="s">
        <v>205</v>
      </c>
      <c r="M3924" s="54"/>
      <c r="N3924" s="54"/>
      <c r="O3924" s="336"/>
      <c r="P3924" s="334"/>
      <c r="Q3924" s="335"/>
      <c r="R3924" s="336"/>
      <c r="S3924" s="337"/>
    </row>
    <row r="3925" spans="1:21" ht="30" customHeight="1" thickBot="1" x14ac:dyDescent="0.3">
      <c r="A3925" s="365"/>
      <c r="B3925" s="1214"/>
      <c r="C3925" s="1215"/>
      <c r="D3925" s="1216"/>
      <c r="E3925" s="732"/>
      <c r="F3925" s="964"/>
      <c r="G3925" s="732"/>
      <c r="H3925" s="732" t="s">
        <v>300</v>
      </c>
      <c r="I3925" s="366"/>
      <c r="J3925" s="359" t="s">
        <v>72</v>
      </c>
      <c r="K3925" s="243">
        <f>AVERAGE(K3923:K3924)</f>
        <v>230.89274999999998</v>
      </c>
      <c r="L3925" s="367" t="s">
        <v>205</v>
      </c>
      <c r="M3925" s="54"/>
      <c r="N3925" s="54"/>
      <c r="O3925" s="336"/>
      <c r="P3925" s="334"/>
      <c r="Q3925" s="335"/>
      <c r="R3925" s="336"/>
      <c r="S3925" s="337"/>
    </row>
    <row r="3926" spans="1:21" ht="30" customHeight="1" thickBot="1" x14ac:dyDescent="0.3">
      <c r="A3926" s="1180"/>
      <c r="B3926" s="1181"/>
      <c r="C3926" s="1181"/>
      <c r="D3926" s="1181"/>
      <c r="E3926" s="1181"/>
      <c r="F3926" s="1181"/>
      <c r="G3926" s="1181"/>
      <c r="H3926" s="1181"/>
      <c r="I3926" s="1181"/>
      <c r="J3926" s="1181"/>
      <c r="K3926" s="1181"/>
      <c r="L3926" s="1182"/>
      <c r="M3926" s="54"/>
      <c r="N3926" s="54"/>
      <c r="O3926" s="336"/>
      <c r="P3926" s="334"/>
      <c r="Q3926" s="335"/>
      <c r="R3926" s="336"/>
      <c r="S3926" s="337"/>
    </row>
    <row r="3927" spans="1:21" ht="30" customHeight="1" x14ac:dyDescent="0.25">
      <c r="A3927" s="402" t="s">
        <v>5</v>
      </c>
      <c r="B3927" s="403">
        <v>7448</v>
      </c>
      <c r="C3927" s="1607" t="s">
        <v>2125</v>
      </c>
      <c r="D3927" s="1608"/>
      <c r="E3927" s="939" t="s">
        <v>8</v>
      </c>
      <c r="F3927" s="952" t="s">
        <v>205</v>
      </c>
      <c r="G3927" s="342" t="s">
        <v>74</v>
      </c>
      <c r="H3927" s="940">
        <v>1360</v>
      </c>
      <c r="I3927" s="939" t="s">
        <v>10</v>
      </c>
      <c r="J3927" s="1220" t="s">
        <v>3388</v>
      </c>
      <c r="K3927" s="1220"/>
      <c r="L3927" s="1221"/>
      <c r="M3927" s="54"/>
      <c r="N3927" s="54"/>
      <c r="O3927" s="336"/>
      <c r="P3927" s="334"/>
      <c r="Q3927" s="335"/>
      <c r="R3927" s="336"/>
      <c r="S3927" s="337"/>
    </row>
    <row r="3928" spans="1:21" ht="30" customHeight="1" x14ac:dyDescent="0.25">
      <c r="A3928" s="941" t="s">
        <v>295</v>
      </c>
      <c r="B3928" s="1592" t="s">
        <v>326</v>
      </c>
      <c r="C3928" s="1593"/>
      <c r="D3928" s="1594"/>
      <c r="E3928" s="942" t="s">
        <v>116</v>
      </c>
      <c r="F3928" s="942" t="s">
        <v>117</v>
      </c>
      <c r="G3928" s="1595" t="s">
        <v>118</v>
      </c>
      <c r="H3928" s="1596"/>
      <c r="I3928" s="943" t="s">
        <v>2002</v>
      </c>
      <c r="J3928" s="356" t="s">
        <v>284</v>
      </c>
      <c r="K3928" s="581" t="s">
        <v>285</v>
      </c>
      <c r="L3928" s="382"/>
      <c r="M3928" s="54"/>
      <c r="N3928" s="54"/>
      <c r="O3928" s="336"/>
      <c r="P3928" s="334"/>
      <c r="Q3928" s="335"/>
      <c r="R3928" s="336"/>
      <c r="S3928" s="337"/>
    </row>
    <row r="3929" spans="1:21" ht="30" customHeight="1" x14ac:dyDescent="0.25">
      <c r="A3929" s="447" t="s">
        <v>1904</v>
      </c>
      <c r="B3929" s="1609" t="s">
        <v>2126</v>
      </c>
      <c r="C3929" s="1610"/>
      <c r="D3929" s="1611"/>
      <c r="E3929" s="965">
        <v>61.5</v>
      </c>
      <c r="F3929" s="946" t="s">
        <v>205</v>
      </c>
      <c r="G3929" s="966"/>
      <c r="H3929" s="948"/>
      <c r="I3929" s="447">
        <v>1.04</v>
      </c>
      <c r="J3929" s="933">
        <f>+'2022 MILCON Inflation Table'!$F$13</f>
        <v>1.2561273320332946</v>
      </c>
      <c r="K3929" s="951">
        <f>+E3929*I3929*J3929</f>
        <v>80.341904156849523</v>
      </c>
      <c r="L3929" s="946" t="s">
        <v>205</v>
      </c>
      <c r="M3929" s="54"/>
      <c r="N3929" s="54"/>
      <c r="O3929" s="336"/>
      <c r="P3929" s="334"/>
      <c r="Q3929" s="335"/>
      <c r="R3929" s="336"/>
      <c r="S3929" s="337"/>
    </row>
    <row r="3930" spans="1:21" ht="30" customHeight="1" x14ac:dyDescent="0.25">
      <c r="A3930" s="944" t="s">
        <v>406</v>
      </c>
      <c r="B3930" s="1589" t="s">
        <v>2127</v>
      </c>
      <c r="C3930" s="1590"/>
      <c r="D3930" s="1591"/>
      <c r="E3930" s="945">
        <v>4.1500000000000004</v>
      </c>
      <c r="F3930" s="946" t="s">
        <v>205</v>
      </c>
      <c r="G3930" s="967">
        <v>1.1499999999999999</v>
      </c>
      <c r="H3930" s="968" t="s">
        <v>2128</v>
      </c>
      <c r="I3930" s="447">
        <v>1.04</v>
      </c>
      <c r="J3930" s="946"/>
      <c r="K3930" s="951">
        <f>+E3930*G3930*I3930</f>
        <v>4.9634</v>
      </c>
      <c r="L3930" s="447"/>
      <c r="M3930" s="54"/>
      <c r="N3930" s="54"/>
      <c r="O3930" s="336"/>
      <c r="P3930" s="334"/>
      <c r="Q3930" s="335"/>
      <c r="R3930" s="336"/>
      <c r="S3930" s="337"/>
    </row>
    <row r="3931" spans="1:21" ht="30" customHeight="1" x14ac:dyDescent="0.25">
      <c r="A3931" s="969"/>
      <c r="B3931" s="442"/>
      <c r="C3931" s="442"/>
      <c r="D3931" s="442"/>
      <c r="E3931" s="945"/>
      <c r="F3931" s="447"/>
      <c r="G3931" s="447"/>
      <c r="H3931" s="447"/>
      <c r="I3931" s="447"/>
      <c r="J3931" s="447" t="s">
        <v>343</v>
      </c>
      <c r="K3931" s="945">
        <f>SUM(K3929:K3930)</f>
        <v>85.30530415684953</v>
      </c>
      <c r="L3931" s="447" t="s">
        <v>205</v>
      </c>
      <c r="M3931" s="54"/>
      <c r="N3931" s="54"/>
      <c r="O3931" s="336"/>
      <c r="P3931" s="334"/>
      <c r="Q3931" s="335"/>
      <c r="R3931" s="336"/>
      <c r="S3931" s="337"/>
    </row>
    <row r="3932" spans="1:21" ht="30" customHeight="1" x14ac:dyDescent="0.25">
      <c r="A3932" s="365"/>
      <c r="B3932" s="578"/>
      <c r="C3932" s="578"/>
      <c r="D3932" s="578"/>
      <c r="E3932" s="247"/>
      <c r="F3932" s="1272" t="s">
        <v>303</v>
      </c>
      <c r="G3932" s="1283" t="s">
        <v>304</v>
      </c>
      <c r="H3932" s="1283"/>
      <c r="I3932" s="1283"/>
      <c r="J3932" s="1283"/>
      <c r="K3932" s="250">
        <v>1.07</v>
      </c>
      <c r="L3932" s="365"/>
      <c r="M3932" s="54"/>
      <c r="N3932" s="54"/>
      <c r="O3932" s="336"/>
      <c r="P3932" s="334"/>
      <c r="Q3932" s="335"/>
      <c r="R3932" s="336"/>
      <c r="S3932" s="337"/>
    </row>
    <row r="3933" spans="1:21" ht="30" customHeight="1" x14ac:dyDescent="0.25">
      <c r="A3933" s="365"/>
      <c r="B3933" s="578"/>
      <c r="C3933" s="578"/>
      <c r="D3933" s="578"/>
      <c r="E3933" s="247"/>
      <c r="F3933" s="1273"/>
      <c r="G3933" s="1284" t="s">
        <v>438</v>
      </c>
      <c r="H3933" s="1284"/>
      <c r="I3933" s="1284"/>
      <c r="J3933" s="1284"/>
      <c r="K3933" s="250">
        <v>1.08</v>
      </c>
      <c r="L3933" s="365"/>
      <c r="M3933" s="54"/>
      <c r="N3933" s="54"/>
      <c r="O3933" s="336"/>
      <c r="P3933" s="334"/>
      <c r="Q3933" s="335"/>
      <c r="R3933" s="336"/>
      <c r="S3933" s="337"/>
    </row>
    <row r="3934" spans="1:21" ht="30" customHeight="1" x14ac:dyDescent="0.25">
      <c r="A3934" s="447"/>
      <c r="B3934" s="447"/>
      <c r="C3934" s="442"/>
      <c r="D3934" s="442"/>
      <c r="E3934" s="442"/>
      <c r="F3934" s="442"/>
      <c r="G3934" s="442"/>
      <c r="H3934" s="442"/>
      <c r="I3934" s="442"/>
      <c r="J3934" s="447" t="s">
        <v>72</v>
      </c>
      <c r="K3934" s="951">
        <f>+K3931*K3932/K3933</f>
        <v>84.515440229471295</v>
      </c>
      <c r="L3934" s="447" t="s">
        <v>205</v>
      </c>
      <c r="M3934" s="54"/>
      <c r="N3934" s="54"/>
      <c r="O3934" s="336"/>
      <c r="P3934" s="344"/>
      <c r="Q3934" s="335"/>
      <c r="R3934" s="336"/>
      <c r="S3934" s="337"/>
    </row>
    <row r="3935" spans="1:21" ht="30" customHeight="1" x14ac:dyDescent="0.25">
      <c r="A3935" s="447"/>
      <c r="B3935" s="447"/>
      <c r="C3935" s="442"/>
      <c r="D3935" s="442"/>
      <c r="E3935" s="442"/>
      <c r="F3935" s="442"/>
      <c r="G3935" s="580" t="s">
        <v>306</v>
      </c>
      <c r="H3935" s="442"/>
      <c r="I3935" s="442"/>
      <c r="J3935" s="521">
        <f>VLOOKUP(B3927,'Mil Cost Premiums for PUCs'!$A$4:$R$277,18,FALSE)</f>
        <v>1.1379589900046172</v>
      </c>
      <c r="K3935" s="951">
        <f>+K3934*J3935</f>
        <v>96.175105003324745</v>
      </c>
      <c r="L3935" s="447" t="s">
        <v>205</v>
      </c>
      <c r="M3935" s="54"/>
      <c r="O3935" s="336"/>
      <c r="P3935" s="334"/>
      <c r="Q3935" s="335"/>
      <c r="R3935" s="336"/>
      <c r="S3935" s="337"/>
    </row>
    <row r="3936" spans="1:21" ht="30" customHeight="1" thickBot="1" x14ac:dyDescent="0.3">
      <c r="A3936" s="844"/>
      <c r="B3936" s="844"/>
      <c r="C3936" s="471"/>
      <c r="D3936" s="471"/>
      <c r="E3936" s="850"/>
      <c r="F3936" s="1278" t="s">
        <v>1148</v>
      </c>
      <c r="G3936" s="1278"/>
      <c r="H3936" s="1278"/>
      <c r="I3936" s="1278"/>
      <c r="J3936" s="845">
        <v>1.0833999999999999</v>
      </c>
      <c r="K3936" s="544">
        <f>K3935*J3936</f>
        <v>104.19610876060202</v>
      </c>
      <c r="L3936" s="369" t="s">
        <v>205</v>
      </c>
      <c r="N3936" s="111"/>
      <c r="O3936" s="336"/>
      <c r="Q3936" s="335"/>
      <c r="R3936" s="336"/>
      <c r="S3936" s="337"/>
      <c r="U3936" s="345"/>
    </row>
    <row r="3937" spans="1:26" ht="30" customHeight="1" thickBot="1" x14ac:dyDescent="0.3">
      <c r="A3937" s="1180"/>
      <c r="B3937" s="1181"/>
      <c r="C3937" s="1181"/>
      <c r="D3937" s="1181"/>
      <c r="E3937" s="1181"/>
      <c r="F3937" s="1181"/>
      <c r="G3937" s="1181"/>
      <c r="H3937" s="1181"/>
      <c r="I3937" s="1181"/>
      <c r="J3937" s="1181"/>
      <c r="K3937" s="1181"/>
      <c r="L3937" s="1182"/>
      <c r="M3937" s="54"/>
      <c r="N3937" s="54"/>
      <c r="O3937" s="336"/>
      <c r="Q3937" s="335"/>
      <c r="R3937" s="336"/>
      <c r="S3937" s="337"/>
    </row>
    <row r="3938" spans="1:26" ht="30" customHeight="1" x14ac:dyDescent="0.25">
      <c r="A3938" s="327" t="s">
        <v>5</v>
      </c>
      <c r="B3938" s="328">
        <v>7449</v>
      </c>
      <c r="C3938" s="1251" t="s">
        <v>2129</v>
      </c>
      <c r="D3938" s="1252"/>
      <c r="E3938" s="331" t="s">
        <v>8</v>
      </c>
      <c r="F3938" s="332" t="s">
        <v>205</v>
      </c>
      <c r="G3938" s="342" t="s">
        <v>74</v>
      </c>
      <c r="H3938" s="653">
        <v>2543</v>
      </c>
      <c r="I3938" s="331" t="s">
        <v>10</v>
      </c>
      <c r="J3938" s="1220" t="s">
        <v>3388</v>
      </c>
      <c r="K3938" s="1220"/>
      <c r="L3938" s="1221"/>
      <c r="M3938" s="54"/>
      <c r="N3938" s="54"/>
      <c r="O3938" s="336"/>
      <c r="Q3938" s="345"/>
      <c r="R3938" s="345"/>
      <c r="S3938" s="345"/>
      <c r="T3938" s="345"/>
      <c r="V3938" s="345"/>
      <c r="W3938" s="345"/>
      <c r="X3938" s="345"/>
      <c r="Y3938" s="345"/>
    </row>
    <row r="3939" spans="1:26" ht="30" customHeight="1" x14ac:dyDescent="0.25">
      <c r="A3939" s="359" t="s">
        <v>295</v>
      </c>
      <c r="B3939" s="1222" t="s">
        <v>326</v>
      </c>
      <c r="C3939" s="1235"/>
      <c r="D3939" s="1223"/>
      <c r="E3939" s="577" t="s">
        <v>116</v>
      </c>
      <c r="F3939" s="577" t="s">
        <v>117</v>
      </c>
      <c r="G3939" s="1194" t="s">
        <v>118</v>
      </c>
      <c r="H3939" s="1195"/>
      <c r="I3939" s="356" t="s">
        <v>296</v>
      </c>
      <c r="J3939" s="356"/>
      <c r="K3939" s="581" t="s">
        <v>285</v>
      </c>
      <c r="L3939" s="382"/>
      <c r="M3939" s="54"/>
      <c r="N3939" s="54"/>
      <c r="O3939" s="336"/>
      <c r="U3939" s="60"/>
      <c r="Z3939" s="345"/>
    </row>
    <row r="3940" spans="1:26" ht="30" customHeight="1" x14ac:dyDescent="0.25">
      <c r="A3940" s="895" t="s">
        <v>2130</v>
      </c>
      <c r="B3940" s="1214" t="s">
        <v>2131</v>
      </c>
      <c r="C3940" s="1215"/>
      <c r="D3940" s="1216"/>
      <c r="E3940" s="247">
        <v>134</v>
      </c>
      <c r="F3940" s="365" t="s">
        <v>205</v>
      </c>
      <c r="G3940" s="365"/>
      <c r="H3940" s="365"/>
      <c r="I3940" s="365">
        <v>1.05</v>
      </c>
      <c r="J3940" s="365"/>
      <c r="K3940" s="247">
        <f>+E3940*I3940</f>
        <v>140.70000000000002</v>
      </c>
      <c r="L3940" s="365" t="s">
        <v>205</v>
      </c>
      <c r="M3940" s="54"/>
      <c r="N3940" s="54"/>
      <c r="O3940" s="336"/>
      <c r="P3940" s="334"/>
      <c r="U3940" s="10"/>
    </row>
    <row r="3941" spans="1:26" ht="30" customHeight="1" x14ac:dyDescent="0.25">
      <c r="A3941" s="895" t="s">
        <v>456</v>
      </c>
      <c r="B3941" s="1209" t="s">
        <v>2132</v>
      </c>
      <c r="C3941" s="1210"/>
      <c r="D3941" s="1211"/>
      <c r="E3941" s="246">
        <v>4.8600000000000003</v>
      </c>
      <c r="F3941" s="365" t="s">
        <v>205</v>
      </c>
      <c r="G3941" s="587"/>
      <c r="H3941" s="662"/>
      <c r="I3941" s="365">
        <v>1.05</v>
      </c>
      <c r="J3941" s="365"/>
      <c r="K3941" s="247">
        <f>+E3941*I3941</f>
        <v>5.1030000000000006</v>
      </c>
      <c r="L3941" s="365" t="s">
        <v>205</v>
      </c>
      <c r="M3941" s="54"/>
      <c r="N3941" s="54"/>
      <c r="O3941" s="336"/>
      <c r="P3941" s="334"/>
      <c r="T3941" s="60"/>
    </row>
    <row r="3942" spans="1:26" s="345" customFormat="1" ht="30" customHeight="1" x14ac:dyDescent="0.25">
      <c r="A3942" s="895" t="s">
        <v>2133</v>
      </c>
      <c r="B3942" s="1209" t="s">
        <v>2134</v>
      </c>
      <c r="C3942" s="1210"/>
      <c r="D3942" s="1211"/>
      <c r="E3942" s="246">
        <f>((3.54+6.61)/2)*960</f>
        <v>4872</v>
      </c>
      <c r="F3942" s="365" t="s">
        <v>76</v>
      </c>
      <c r="G3942" s="846">
        <f>+H3938</f>
        <v>2543</v>
      </c>
      <c r="H3942" s="486" t="s">
        <v>660</v>
      </c>
      <c r="I3942" s="365">
        <v>1.02</v>
      </c>
      <c r="J3942" s="365"/>
      <c r="K3942" s="247">
        <f>+E3942/G3942*I3942</f>
        <v>1.9541643727880458</v>
      </c>
      <c r="L3942" s="365" t="s">
        <v>205</v>
      </c>
      <c r="M3942" s="54"/>
      <c r="N3942" s="54"/>
      <c r="O3942" s="336"/>
      <c r="P3942" s="334"/>
      <c r="Q3942" s="334"/>
      <c r="R3942" s="334"/>
      <c r="S3942" s="334"/>
      <c r="T3942" s="10"/>
      <c r="U3942" s="334"/>
      <c r="V3942" s="334"/>
      <c r="W3942" s="334"/>
      <c r="X3942" s="334"/>
      <c r="Y3942" s="334"/>
      <c r="Z3942" s="334"/>
    </row>
    <row r="3943" spans="1:26" ht="30" customHeight="1" x14ac:dyDescent="0.25">
      <c r="A3943" s="895" t="s">
        <v>2133</v>
      </c>
      <c r="B3943" s="1209" t="s">
        <v>2135</v>
      </c>
      <c r="C3943" s="1210"/>
      <c r="D3943" s="1211"/>
      <c r="E3943" s="246">
        <f>((4.41+8.11)/2)*800</f>
        <v>5008</v>
      </c>
      <c r="F3943" s="365" t="s">
        <v>76</v>
      </c>
      <c r="G3943" s="846">
        <f>H3938</f>
        <v>2543</v>
      </c>
      <c r="H3943" s="486" t="s">
        <v>660</v>
      </c>
      <c r="I3943" s="365">
        <v>1.02</v>
      </c>
      <c r="J3943" s="365"/>
      <c r="K3943" s="247">
        <f>+E3943/G3943*I3943</f>
        <v>2.0087141171844278</v>
      </c>
      <c r="L3943" s="365" t="s">
        <v>205</v>
      </c>
      <c r="M3943" s="54"/>
      <c r="N3943" s="54"/>
      <c r="O3943" s="336"/>
      <c r="P3943" s="334"/>
      <c r="Q3943" s="335"/>
      <c r="R3943" s="336"/>
      <c r="S3943" s="337"/>
    </row>
    <row r="3944" spans="1:26" ht="30" customHeight="1" x14ac:dyDescent="0.25">
      <c r="A3944" s="365" t="s">
        <v>2133</v>
      </c>
      <c r="B3944" s="1209" t="s">
        <v>2136</v>
      </c>
      <c r="C3944" s="1210"/>
      <c r="D3944" s="1211"/>
      <c r="E3944" s="246">
        <f>((185+353)/2)</f>
        <v>269</v>
      </c>
      <c r="F3944" s="365" t="s">
        <v>76</v>
      </c>
      <c r="G3944" s="846">
        <f>H3938</f>
        <v>2543</v>
      </c>
      <c r="H3944" s="486" t="s">
        <v>660</v>
      </c>
      <c r="I3944" s="365">
        <v>1.02</v>
      </c>
      <c r="J3944" s="365"/>
      <c r="K3944" s="247">
        <f>+(E3944*4)/G3944*I3944</f>
        <v>0.43158474243020056</v>
      </c>
      <c r="L3944" s="365" t="s">
        <v>205</v>
      </c>
      <c r="M3944" s="54"/>
      <c r="N3944" s="54"/>
      <c r="O3944" s="336"/>
      <c r="P3944" s="334"/>
      <c r="Q3944" s="335"/>
      <c r="R3944" s="336"/>
      <c r="S3944" s="337"/>
    </row>
    <row r="3945" spans="1:26" ht="30" customHeight="1" x14ac:dyDescent="0.25">
      <c r="B3945" s="1281"/>
      <c r="C3945" s="1281"/>
      <c r="D3945" s="1281"/>
      <c r="E3945" s="247"/>
      <c r="F3945" s="365"/>
      <c r="G3945" s="366"/>
      <c r="H3945" s="662"/>
      <c r="I3945" s="365"/>
      <c r="J3945" s="365" t="s">
        <v>343</v>
      </c>
      <c r="K3945" s="247">
        <f>SUM(K3940:K3944)</f>
        <v>150.19746323240273</v>
      </c>
      <c r="L3945" s="365" t="s">
        <v>205</v>
      </c>
      <c r="M3945" s="54"/>
      <c r="N3945" s="54"/>
      <c r="O3945" s="336"/>
      <c r="P3945" s="334"/>
      <c r="Q3945" s="335"/>
      <c r="R3945" s="336"/>
      <c r="S3945" s="337"/>
    </row>
    <row r="3946" spans="1:26" ht="30" customHeight="1" x14ac:dyDescent="0.25">
      <c r="A3946" s="365"/>
      <c r="B3946" s="578"/>
      <c r="C3946" s="578"/>
      <c r="D3946" s="578"/>
      <c r="E3946" s="247"/>
      <c r="F3946" s="1272" t="s">
        <v>303</v>
      </c>
      <c r="G3946" s="1283" t="s">
        <v>304</v>
      </c>
      <c r="H3946" s="1283"/>
      <c r="I3946" s="1283"/>
      <c r="J3946" s="1283"/>
      <c r="K3946" s="250">
        <v>1.07</v>
      </c>
      <c r="L3946" s="365"/>
      <c r="M3946" s="54"/>
      <c r="N3946" s="54"/>
      <c r="O3946" s="543"/>
      <c r="P3946" s="334"/>
      <c r="Q3946" s="335"/>
      <c r="R3946" s="336"/>
      <c r="S3946" s="337"/>
    </row>
    <row r="3947" spans="1:26" ht="30" customHeight="1" x14ac:dyDescent="0.25">
      <c r="A3947" s="365"/>
      <c r="B3947" s="578"/>
      <c r="C3947" s="578"/>
      <c r="D3947" s="578"/>
      <c r="E3947" s="247"/>
      <c r="F3947" s="1273"/>
      <c r="G3947" s="1284" t="s">
        <v>438</v>
      </c>
      <c r="H3947" s="1284"/>
      <c r="I3947" s="1284"/>
      <c r="J3947" s="1284"/>
      <c r="K3947" s="250">
        <v>1.08</v>
      </c>
      <c r="L3947" s="365"/>
      <c r="M3947" s="54"/>
      <c r="N3947" s="54"/>
      <c r="P3947" s="334"/>
      <c r="Q3947" s="335"/>
      <c r="R3947" s="336"/>
      <c r="S3947" s="337"/>
    </row>
    <row r="3948" spans="1:26" ht="30" customHeight="1" x14ac:dyDescent="0.25">
      <c r="A3948" s="365"/>
      <c r="B3948" s="365"/>
      <c r="C3948" s="366"/>
      <c r="D3948" s="366"/>
      <c r="E3948" s="366"/>
      <c r="F3948" s="366"/>
      <c r="G3948" s="366"/>
      <c r="H3948" s="366"/>
      <c r="I3948" s="366"/>
      <c r="J3948" s="365" t="s">
        <v>72</v>
      </c>
      <c r="K3948" s="246">
        <f>+K3945*K3946/K3947</f>
        <v>148.80674598025087</v>
      </c>
      <c r="L3948" s="365" t="s">
        <v>205</v>
      </c>
      <c r="M3948" s="54"/>
      <c r="N3948" s="54"/>
      <c r="P3948" s="334"/>
      <c r="Q3948" s="335"/>
      <c r="R3948" s="336"/>
      <c r="S3948" s="337"/>
    </row>
    <row r="3949" spans="1:26" ht="30" customHeight="1" x14ac:dyDescent="0.25">
      <c r="A3949" s="365"/>
      <c r="B3949" s="365"/>
      <c r="C3949" s="366"/>
      <c r="D3949" s="366"/>
      <c r="E3949" s="366"/>
      <c r="F3949" s="366"/>
      <c r="G3949" s="580" t="s">
        <v>306</v>
      </c>
      <c r="H3949" s="366"/>
      <c r="I3949" s="366"/>
      <c r="J3949" s="521">
        <f>VLOOKUP(B3938,'Mil Cost Premiums for PUCs'!$A$4:$R$277,18,FALSE)</f>
        <v>1.3319480854780448</v>
      </c>
      <c r="K3949" s="246">
        <f>+K3948*J3949</f>
        <v>198.20286041461287</v>
      </c>
      <c r="L3949" s="365" t="s">
        <v>205</v>
      </c>
      <c r="M3949" s="54"/>
      <c r="N3949" s="54"/>
      <c r="P3949" s="334"/>
      <c r="Q3949" s="335"/>
      <c r="R3949" s="336"/>
      <c r="S3949" s="337"/>
    </row>
    <row r="3950" spans="1:26" ht="30" customHeight="1" thickBot="1" x14ac:dyDescent="0.3">
      <c r="A3950" s="844"/>
      <c r="B3950" s="844"/>
      <c r="C3950" s="471"/>
      <c r="D3950" s="471"/>
      <c r="E3950" s="850"/>
      <c r="F3950" s="1278" t="s">
        <v>1148</v>
      </c>
      <c r="G3950" s="1278"/>
      <c r="H3950" s="1278"/>
      <c r="I3950" s="1278"/>
      <c r="J3950" s="845">
        <v>1.0833999999999999</v>
      </c>
      <c r="K3950" s="544">
        <f>K3949*J3950</f>
        <v>214.73297897319156</v>
      </c>
      <c r="L3950" s="369" t="s">
        <v>205</v>
      </c>
      <c r="N3950" s="112"/>
      <c r="P3950" s="334"/>
      <c r="Q3950" s="335"/>
      <c r="R3950" s="336"/>
      <c r="S3950" s="337"/>
    </row>
    <row r="3951" spans="1:26" ht="30" customHeight="1" thickBot="1" x14ac:dyDescent="0.3">
      <c r="A3951" s="1180"/>
      <c r="B3951" s="1181"/>
      <c r="C3951" s="1181"/>
      <c r="D3951" s="1181"/>
      <c r="E3951" s="1181"/>
      <c r="F3951" s="1181"/>
      <c r="G3951" s="1181"/>
      <c r="H3951" s="1181"/>
      <c r="I3951" s="1181"/>
      <c r="J3951" s="1181"/>
      <c r="K3951" s="1181"/>
      <c r="L3951" s="1182"/>
      <c r="M3951" s="111"/>
      <c r="N3951" s="54"/>
      <c r="O3951" s="336"/>
      <c r="P3951" s="334"/>
      <c r="Q3951" s="335"/>
      <c r="R3951" s="336"/>
      <c r="S3951" s="337"/>
    </row>
    <row r="3952" spans="1:26" ht="30" customHeight="1" x14ac:dyDescent="0.25">
      <c r="A3952" s="327" t="s">
        <v>5</v>
      </c>
      <c r="B3952" s="328">
        <v>7511</v>
      </c>
      <c r="C3952" s="1218" t="s">
        <v>2137</v>
      </c>
      <c r="D3952" s="1219"/>
      <c r="E3952" s="331" t="s">
        <v>8</v>
      </c>
      <c r="F3952" s="332" t="s">
        <v>76</v>
      </c>
      <c r="G3952" s="338" t="s">
        <v>7</v>
      </c>
      <c r="H3952" s="160">
        <v>1</v>
      </c>
      <c r="I3952" s="331" t="s">
        <v>10</v>
      </c>
      <c r="J3952" s="1220" t="s">
        <v>290</v>
      </c>
      <c r="K3952" s="1220"/>
      <c r="L3952" s="1221"/>
      <c r="M3952" s="111"/>
      <c r="N3952" s="54"/>
      <c r="O3952" s="336"/>
      <c r="P3952" s="334"/>
      <c r="Q3952" s="335"/>
      <c r="R3952" s="336"/>
      <c r="S3952" s="337"/>
    </row>
    <row r="3953" spans="1:19" ht="30" customHeight="1" x14ac:dyDescent="0.25">
      <c r="A3953" s="356" t="s">
        <v>282</v>
      </c>
      <c r="B3953" s="1163" t="s">
        <v>13</v>
      </c>
      <c r="C3953" s="1163"/>
      <c r="D3953" s="1163"/>
      <c r="E3953" s="546" t="s">
        <v>2138</v>
      </c>
      <c r="F3953" s="356" t="s">
        <v>283</v>
      </c>
      <c r="G3953" s="1314" t="s">
        <v>118</v>
      </c>
      <c r="H3953" s="1315"/>
      <c r="I3953" s="1276" t="s">
        <v>284</v>
      </c>
      <c r="J3953" s="1277"/>
      <c r="K3953" s="581" t="s">
        <v>285</v>
      </c>
      <c r="L3953" s="382"/>
      <c r="M3953" s="54"/>
      <c r="N3953" s="54"/>
      <c r="O3953" s="336"/>
      <c r="P3953" s="334"/>
      <c r="Q3953" s="335"/>
      <c r="R3953" s="336"/>
      <c r="S3953" s="337"/>
    </row>
    <row r="3954" spans="1:19" ht="30" customHeight="1" x14ac:dyDescent="0.25">
      <c r="A3954" s="365">
        <v>75018</v>
      </c>
      <c r="B3954" s="1269" t="s">
        <v>2139</v>
      </c>
      <c r="C3954" s="1269"/>
      <c r="D3954" s="1269"/>
      <c r="E3954" s="247">
        <v>20</v>
      </c>
      <c r="F3954" s="257">
        <v>16700</v>
      </c>
      <c r="G3954" s="341" t="s">
        <v>563</v>
      </c>
      <c r="H3954" s="367"/>
      <c r="I3954" s="1416">
        <f>+'2022 MILCON Inflation Table'!$F$15</f>
        <v>1.1446122264727614</v>
      </c>
      <c r="J3954" s="1417"/>
      <c r="K3954" s="242">
        <f>+E3954*F3954*I3954</f>
        <v>382300.48364190233</v>
      </c>
      <c r="L3954" s="367" t="s">
        <v>76</v>
      </c>
      <c r="M3954" s="54"/>
      <c r="N3954" s="54"/>
      <c r="O3954" s="336"/>
      <c r="P3954" s="334"/>
      <c r="Q3954" s="335"/>
      <c r="R3954" s="336"/>
      <c r="S3954" s="337"/>
    </row>
    <row r="3955" spans="1:19" ht="30" customHeight="1" x14ac:dyDescent="0.25">
      <c r="A3955" s="365">
        <v>75018</v>
      </c>
      <c r="B3955" s="1269" t="s">
        <v>2140</v>
      </c>
      <c r="C3955" s="1269"/>
      <c r="D3955" s="1269"/>
      <c r="E3955" s="282">
        <v>16</v>
      </c>
      <c r="F3955" s="257">
        <v>23900</v>
      </c>
      <c r="G3955" s="341" t="s">
        <v>563</v>
      </c>
      <c r="H3955" s="367"/>
      <c r="I3955" s="1416">
        <f>+'2022 MILCON Inflation Table'!$F$15</f>
        <v>1.1446122264727614</v>
      </c>
      <c r="J3955" s="1417"/>
      <c r="K3955" s="242">
        <f>+E3955*F3955*I3955</f>
        <v>437699.71540318395</v>
      </c>
      <c r="L3955" s="367" t="s">
        <v>76</v>
      </c>
      <c r="M3955" s="54"/>
      <c r="N3955" s="54"/>
      <c r="O3955" s="336"/>
      <c r="P3955" s="334"/>
      <c r="Q3955" s="335"/>
      <c r="R3955" s="336"/>
      <c r="S3955" s="337"/>
    </row>
    <row r="3956" spans="1:19" ht="30" customHeight="1" x14ac:dyDescent="0.25">
      <c r="A3956" s="365">
        <v>75018</v>
      </c>
      <c r="B3956" s="1269" t="s">
        <v>2141</v>
      </c>
      <c r="C3956" s="1269"/>
      <c r="D3956" s="1269"/>
      <c r="E3956" s="247">
        <v>11</v>
      </c>
      <c r="F3956" s="257">
        <v>4760</v>
      </c>
      <c r="G3956" s="341" t="s">
        <v>563</v>
      </c>
      <c r="H3956" s="367"/>
      <c r="I3956" s="1416">
        <f>+'2022 MILCON Inflation Table'!$F$15</f>
        <v>1.1446122264727614</v>
      </c>
      <c r="J3956" s="1417"/>
      <c r="K3956" s="242">
        <f>+E3956*F3956*I3956</f>
        <v>59931.896178113784</v>
      </c>
      <c r="L3956" s="367" t="s">
        <v>76</v>
      </c>
      <c r="M3956" s="54"/>
      <c r="N3956" s="54"/>
      <c r="O3956" s="336"/>
      <c r="P3956" s="334"/>
      <c r="Q3956" s="335"/>
      <c r="R3956" s="336"/>
      <c r="S3956" s="337"/>
    </row>
    <row r="3957" spans="1:19" ht="30" customHeight="1" x14ac:dyDescent="0.25">
      <c r="A3957" s="365">
        <v>75018</v>
      </c>
      <c r="B3957" s="1269" t="s">
        <v>2142</v>
      </c>
      <c r="C3957" s="1269"/>
      <c r="D3957" s="1269"/>
      <c r="E3957" s="247">
        <v>8.3000000000000007</v>
      </c>
      <c r="F3957" s="257">
        <v>11340</v>
      </c>
      <c r="G3957" s="341" t="s">
        <v>563</v>
      </c>
      <c r="H3957" s="367"/>
      <c r="I3957" s="1416">
        <f>+'2022 MILCON Inflation Table'!$F$15</f>
        <v>1.1446122264727614</v>
      </c>
      <c r="J3957" s="1417"/>
      <c r="K3957" s="242">
        <f>+E3957*F3957*I3957</f>
        <v>107733.19198006927</v>
      </c>
      <c r="L3957" s="367" t="s">
        <v>76</v>
      </c>
      <c r="M3957" s="54"/>
      <c r="N3957" s="54"/>
      <c r="O3957" s="336"/>
      <c r="P3957" s="334"/>
      <c r="Q3957" s="335"/>
      <c r="R3957" s="336"/>
      <c r="S3957" s="337"/>
    </row>
    <row r="3958" spans="1:19" ht="30" customHeight="1" thickBot="1" x14ac:dyDescent="0.3">
      <c r="A3958" s="365"/>
      <c r="B3958" s="1214"/>
      <c r="C3958" s="1215"/>
      <c r="D3958" s="1216"/>
      <c r="E3958" s="333"/>
      <c r="F3958" s="744"/>
      <c r="G3958" s="333"/>
      <c r="H3958" s="729" t="s">
        <v>300</v>
      </c>
      <c r="I3958" s="366"/>
      <c r="J3958" s="359" t="s">
        <v>72</v>
      </c>
      <c r="K3958" s="243">
        <f>AVERAGE(K3954:K3957)</f>
        <v>246916.32180081733</v>
      </c>
      <c r="L3958" s="367" t="s">
        <v>76</v>
      </c>
      <c r="M3958" s="54"/>
      <c r="N3958" s="54"/>
      <c r="O3958" s="336"/>
      <c r="P3958" s="334"/>
      <c r="Q3958" s="335"/>
      <c r="R3958" s="336"/>
      <c r="S3958" s="337"/>
    </row>
    <row r="3959" spans="1:19" ht="30" customHeight="1" thickBot="1" x14ac:dyDescent="0.3">
      <c r="A3959" s="1180"/>
      <c r="B3959" s="1181"/>
      <c r="C3959" s="1181"/>
      <c r="D3959" s="1181"/>
      <c r="E3959" s="1181"/>
      <c r="F3959" s="1181"/>
      <c r="G3959" s="1181"/>
      <c r="H3959" s="1181"/>
      <c r="I3959" s="1181"/>
      <c r="J3959" s="1181"/>
      <c r="K3959" s="1181"/>
      <c r="L3959" s="1182"/>
      <c r="M3959" s="54"/>
      <c r="O3959" s="336"/>
      <c r="P3959" s="334"/>
      <c r="Q3959" s="335"/>
      <c r="R3959" s="336"/>
      <c r="S3959" s="337"/>
    </row>
    <row r="3960" spans="1:19" ht="30" customHeight="1" x14ac:dyDescent="0.25">
      <c r="A3960" s="327" t="s">
        <v>5</v>
      </c>
      <c r="B3960" s="328">
        <v>7512</v>
      </c>
      <c r="C3960" s="1251" t="s">
        <v>2143</v>
      </c>
      <c r="D3960" s="1252"/>
      <c r="E3960" s="331" t="s">
        <v>8</v>
      </c>
      <c r="F3960" s="332" t="s">
        <v>76</v>
      </c>
      <c r="G3960" s="333" t="s">
        <v>7</v>
      </c>
      <c r="H3960" s="156">
        <v>1</v>
      </c>
      <c r="I3960" s="331" t="s">
        <v>10</v>
      </c>
      <c r="J3960" s="1220" t="s">
        <v>3388</v>
      </c>
      <c r="K3960" s="1220"/>
      <c r="L3960" s="1221"/>
      <c r="M3960" s="54"/>
      <c r="N3960" s="54"/>
      <c r="O3960" s="336"/>
      <c r="P3960" s="334"/>
      <c r="Q3960" s="335"/>
      <c r="R3960" s="336"/>
      <c r="S3960" s="337"/>
    </row>
    <row r="3961" spans="1:19" ht="30" customHeight="1" x14ac:dyDescent="0.25">
      <c r="A3961" s="359" t="s">
        <v>295</v>
      </c>
      <c r="B3961" s="1222" t="s">
        <v>326</v>
      </c>
      <c r="C3961" s="1235"/>
      <c r="D3961" s="1223"/>
      <c r="E3961" s="577" t="s">
        <v>116</v>
      </c>
      <c r="F3961" s="577" t="s">
        <v>117</v>
      </c>
      <c r="G3961" s="1194" t="s">
        <v>118</v>
      </c>
      <c r="H3961" s="1195"/>
      <c r="I3961" s="356" t="s">
        <v>296</v>
      </c>
      <c r="J3961" s="356"/>
      <c r="K3961" s="581" t="s">
        <v>285</v>
      </c>
      <c r="L3961" s="382"/>
      <c r="M3961" s="54"/>
      <c r="N3961" s="54"/>
      <c r="O3961" s="336"/>
      <c r="P3961" s="334"/>
      <c r="Q3961" s="335"/>
      <c r="R3961" s="336"/>
      <c r="S3961" s="337"/>
    </row>
    <row r="3962" spans="1:19" ht="30" customHeight="1" x14ac:dyDescent="0.25">
      <c r="A3962" s="359"/>
      <c r="B3962" s="1209" t="s">
        <v>646</v>
      </c>
      <c r="C3962" s="1210"/>
      <c r="D3962" s="1211"/>
      <c r="E3962" s="577"/>
      <c r="F3962" s="577"/>
      <c r="G3962" s="750"/>
      <c r="H3962" s="751"/>
      <c r="I3962" s="398"/>
      <c r="J3962" s="398"/>
      <c r="K3962" s="577"/>
      <c r="L3962" s="577"/>
      <c r="M3962" s="54"/>
      <c r="N3962" s="54"/>
      <c r="O3962" s="336"/>
      <c r="P3962" s="334"/>
      <c r="Q3962" s="335"/>
      <c r="R3962" s="336"/>
      <c r="S3962" s="337"/>
    </row>
    <row r="3963" spans="1:19" ht="30" customHeight="1" x14ac:dyDescent="0.25">
      <c r="A3963" s="365" t="s">
        <v>2144</v>
      </c>
      <c r="B3963" s="1214" t="s">
        <v>2145</v>
      </c>
      <c r="C3963" s="1215"/>
      <c r="D3963" s="1216"/>
      <c r="E3963" s="752">
        <f>+(67.5+83.5)/2</f>
        <v>75.5</v>
      </c>
      <c r="F3963" s="396" t="s">
        <v>205</v>
      </c>
      <c r="G3963" s="753">
        <v>13455</v>
      </c>
      <c r="H3963" s="698" t="s">
        <v>563</v>
      </c>
      <c r="I3963" s="365">
        <v>1.02</v>
      </c>
      <c r="J3963" s="365"/>
      <c r="K3963" s="752">
        <f>+I3963*G3963*E3963</f>
        <v>1036169.55</v>
      </c>
      <c r="L3963" s="396" t="s">
        <v>76</v>
      </c>
      <c r="M3963" s="54"/>
      <c r="N3963" s="54"/>
      <c r="O3963" s="336"/>
      <c r="P3963" s="334"/>
      <c r="Q3963" s="335"/>
      <c r="R3963" s="336"/>
      <c r="S3963" s="337"/>
    </row>
    <row r="3964" spans="1:19" ht="30" customHeight="1" x14ac:dyDescent="0.25">
      <c r="A3964" s="365"/>
      <c r="B3964" s="1214" t="s">
        <v>2146</v>
      </c>
      <c r="C3964" s="1215"/>
      <c r="D3964" s="1216"/>
      <c r="E3964" s="752"/>
      <c r="F3964" s="396"/>
      <c r="G3964" s="753"/>
      <c r="H3964" s="698"/>
      <c r="I3964" s="365"/>
      <c r="J3964" s="365"/>
      <c r="K3964" s="752">
        <f>+K3963*0.8</f>
        <v>828935.64000000013</v>
      </c>
      <c r="L3964" s="396" t="s">
        <v>76</v>
      </c>
      <c r="M3964" s="54"/>
      <c r="N3964" s="54"/>
      <c r="O3964" s="336"/>
      <c r="P3964" s="334"/>
      <c r="Q3964" s="335"/>
      <c r="R3964" s="336"/>
      <c r="S3964" s="337"/>
    </row>
    <row r="3965" spans="1:19" ht="30" customHeight="1" x14ac:dyDescent="0.25">
      <c r="A3965" s="927" t="s">
        <v>684</v>
      </c>
      <c r="B3965" s="1214" t="s">
        <v>2147</v>
      </c>
      <c r="C3965" s="1215"/>
      <c r="D3965" s="1216"/>
      <c r="E3965" s="752">
        <f>+(4.79+7.16)/2</f>
        <v>5.9749999999999996</v>
      </c>
      <c r="F3965" s="396" t="s">
        <v>205</v>
      </c>
      <c r="G3965" s="753">
        <v>11238</v>
      </c>
      <c r="H3965" s="698" t="s">
        <v>563</v>
      </c>
      <c r="I3965" s="365">
        <v>1.02</v>
      </c>
      <c r="J3965" s="365"/>
      <c r="K3965" s="752">
        <f>+I3965*G3965*E3965</f>
        <v>68489.990999999995</v>
      </c>
      <c r="L3965" s="396" t="s">
        <v>76</v>
      </c>
      <c r="M3965" s="112"/>
      <c r="N3965" s="54"/>
      <c r="O3965" s="336"/>
      <c r="P3965" s="334"/>
      <c r="Q3965" s="335"/>
      <c r="R3965" s="336"/>
      <c r="S3965" s="337"/>
    </row>
    <row r="3966" spans="1:19" ht="30" customHeight="1" x14ac:dyDescent="0.25">
      <c r="A3966" s="927" t="s">
        <v>684</v>
      </c>
      <c r="B3966" s="1214" t="s">
        <v>2148</v>
      </c>
      <c r="C3966" s="1215"/>
      <c r="D3966" s="1216"/>
      <c r="E3966" s="752">
        <f>+(0.44+1.13)/2</f>
        <v>0.78499999999999992</v>
      </c>
      <c r="F3966" s="396" t="s">
        <v>205</v>
      </c>
      <c r="G3966" s="753">
        <v>11238</v>
      </c>
      <c r="H3966" s="698" t="s">
        <v>563</v>
      </c>
      <c r="I3966" s="365">
        <v>1.02</v>
      </c>
      <c r="J3966" s="365"/>
      <c r="K3966" s="752">
        <f>+I3966*G3966*E3966</f>
        <v>8998.266599999999</v>
      </c>
      <c r="L3966" s="396" t="s">
        <v>76</v>
      </c>
      <c r="M3966" s="54"/>
      <c r="N3966" s="54"/>
      <c r="O3966" s="336"/>
      <c r="P3966" s="334"/>
      <c r="Q3966" s="335"/>
      <c r="R3966" s="336"/>
      <c r="S3966" s="337"/>
    </row>
    <row r="3967" spans="1:19" ht="30" customHeight="1" x14ac:dyDescent="0.25">
      <c r="A3967" s="927" t="s">
        <v>2133</v>
      </c>
      <c r="B3967" s="1214" t="s">
        <v>2149</v>
      </c>
      <c r="C3967" s="1215"/>
      <c r="D3967" s="1216"/>
      <c r="E3967" s="664">
        <f>17.75+2.33</f>
        <v>20.079999999999998</v>
      </c>
      <c r="F3967" s="661" t="s">
        <v>40</v>
      </c>
      <c r="G3967" s="661">
        <v>650</v>
      </c>
      <c r="H3967" s="698" t="s">
        <v>2150</v>
      </c>
      <c r="I3967" s="365">
        <v>1.02</v>
      </c>
      <c r="J3967" s="365"/>
      <c r="K3967" s="664">
        <f>+I3967*G3967*E3967</f>
        <v>13313.039999999999</v>
      </c>
      <c r="L3967" s="365" t="s">
        <v>76</v>
      </c>
      <c r="M3967" s="54"/>
      <c r="N3967" s="54"/>
      <c r="O3967" s="336"/>
      <c r="P3967" s="334"/>
      <c r="Q3967" s="335"/>
      <c r="R3967" s="336"/>
      <c r="S3967" s="337"/>
    </row>
    <row r="3968" spans="1:19" ht="30" customHeight="1" x14ac:dyDescent="0.25">
      <c r="A3968" s="927" t="s">
        <v>2133</v>
      </c>
      <c r="B3968" s="1209" t="s">
        <v>2151</v>
      </c>
      <c r="C3968" s="1210"/>
      <c r="D3968" s="1211"/>
      <c r="E3968" s="664">
        <v>494</v>
      </c>
      <c r="F3968" s="661" t="s">
        <v>76</v>
      </c>
      <c r="G3968" s="689">
        <v>4</v>
      </c>
      <c r="H3968" s="690" t="s">
        <v>76</v>
      </c>
      <c r="I3968" s="365">
        <v>1.02</v>
      </c>
      <c r="J3968" s="365"/>
      <c r="K3968" s="664">
        <f>+I3968*G3968*E3968</f>
        <v>2015.52</v>
      </c>
      <c r="L3968" s="365" t="s">
        <v>76</v>
      </c>
      <c r="M3968" s="54"/>
      <c r="N3968" s="54"/>
      <c r="O3968" s="336"/>
      <c r="P3968" s="334"/>
      <c r="Q3968" s="335"/>
      <c r="R3968" s="336"/>
      <c r="S3968" s="337"/>
    </row>
    <row r="3969" spans="1:19" ht="30" customHeight="1" x14ac:dyDescent="0.25">
      <c r="A3969" s="755"/>
      <c r="B3969" s="1269"/>
      <c r="C3969" s="1269"/>
      <c r="D3969" s="1269"/>
      <c r="E3969" s="247"/>
      <c r="F3969" s="365"/>
      <c r="G3969" s="396"/>
      <c r="H3969" s="396"/>
      <c r="I3969" s="365"/>
      <c r="J3969" s="365" t="s">
        <v>343</v>
      </c>
      <c r="K3969" s="259">
        <f>SUM(K3964:K3967)</f>
        <v>919736.93760000018</v>
      </c>
      <c r="L3969" s="365" t="s">
        <v>76</v>
      </c>
      <c r="M3969" s="54"/>
      <c r="N3969" s="54"/>
      <c r="O3969" s="336"/>
      <c r="P3969" s="334"/>
      <c r="Q3969" s="335"/>
      <c r="R3969" s="336"/>
      <c r="S3969" s="337"/>
    </row>
    <row r="3970" spans="1:19" ht="30" customHeight="1" x14ac:dyDescent="0.25">
      <c r="A3970" s="365"/>
      <c r="B3970" s="578"/>
      <c r="C3970" s="578"/>
      <c r="D3970" s="578"/>
      <c r="E3970" s="247"/>
      <c r="F3970" s="1272" t="s">
        <v>303</v>
      </c>
      <c r="G3970" s="1283" t="s">
        <v>304</v>
      </c>
      <c r="H3970" s="1283"/>
      <c r="I3970" s="1283"/>
      <c r="J3970" s="1283"/>
      <c r="K3970" s="250">
        <v>1.07</v>
      </c>
      <c r="L3970" s="365"/>
      <c r="M3970" s="54"/>
      <c r="N3970" s="54"/>
      <c r="O3970" s="336"/>
      <c r="P3970" s="334"/>
      <c r="Q3970" s="335"/>
      <c r="R3970" s="336"/>
      <c r="S3970" s="337"/>
    </row>
    <row r="3971" spans="1:19" ht="30" customHeight="1" x14ac:dyDescent="0.25">
      <c r="A3971" s="365"/>
      <c r="B3971" s="578"/>
      <c r="C3971" s="578"/>
      <c r="D3971" s="578"/>
      <c r="E3971" s="247"/>
      <c r="F3971" s="1273"/>
      <c r="G3971" s="1284" t="s">
        <v>438</v>
      </c>
      <c r="H3971" s="1284"/>
      <c r="I3971" s="1284"/>
      <c r="J3971" s="1284"/>
      <c r="K3971" s="250">
        <v>1.08</v>
      </c>
      <c r="L3971" s="365"/>
      <c r="M3971" s="54"/>
      <c r="O3971" s="336"/>
      <c r="P3971" s="334"/>
      <c r="Q3971" s="335"/>
      <c r="R3971" s="336"/>
      <c r="S3971" s="337"/>
    </row>
    <row r="3972" spans="1:19" ht="30" customHeight="1" x14ac:dyDescent="0.25">
      <c r="A3972" s="365"/>
      <c r="B3972" s="365"/>
      <c r="C3972" s="366"/>
      <c r="D3972" s="366"/>
      <c r="E3972" s="366"/>
      <c r="F3972" s="366"/>
      <c r="G3972" s="366"/>
      <c r="H3972" s="366"/>
      <c r="I3972" s="366"/>
      <c r="J3972" s="365" t="s">
        <v>72</v>
      </c>
      <c r="K3972" s="256">
        <f>+K3969*K3970/K3971</f>
        <v>911220.85484444466</v>
      </c>
      <c r="L3972" s="365" t="s">
        <v>76</v>
      </c>
      <c r="M3972" s="54"/>
      <c r="N3972" s="54"/>
      <c r="O3972" s="336"/>
      <c r="P3972" s="334"/>
      <c r="Q3972" s="335"/>
      <c r="R3972" s="336"/>
      <c r="S3972" s="337"/>
    </row>
    <row r="3973" spans="1:19" ht="30" customHeight="1" x14ac:dyDescent="0.25">
      <c r="A3973" s="365"/>
      <c r="B3973" s="365"/>
      <c r="C3973" s="366"/>
      <c r="D3973" s="366"/>
      <c r="E3973" s="366"/>
      <c r="F3973" s="366"/>
      <c r="G3973" s="580" t="s">
        <v>306</v>
      </c>
      <c r="H3973" s="366"/>
      <c r="I3973" s="366"/>
      <c r="J3973" s="521">
        <f>VLOOKUP(B3960,'Mil Cost Premiums for PUCs'!$A$4:$R$277,18,FALSE)</f>
        <v>1.1379589900046172</v>
      </c>
      <c r="K3973" s="246">
        <f>+K3972*J3973</f>
        <v>1036931.9636499281</v>
      </c>
      <c r="L3973" s="365" t="s">
        <v>76</v>
      </c>
      <c r="M3973" s="54"/>
      <c r="N3973" s="54"/>
      <c r="O3973" s="336"/>
      <c r="P3973" s="334"/>
      <c r="Q3973" s="335"/>
      <c r="R3973" s="336"/>
      <c r="S3973" s="337"/>
    </row>
    <row r="3974" spans="1:19" ht="30" customHeight="1" thickBot="1" x14ac:dyDescent="0.3">
      <c r="A3974" s="844"/>
      <c r="B3974" s="844"/>
      <c r="C3974" s="471"/>
      <c r="D3974" s="471"/>
      <c r="E3974" s="850"/>
      <c r="F3974" s="1278" t="s">
        <v>1148</v>
      </c>
      <c r="G3974" s="1278"/>
      <c r="H3974" s="1278"/>
      <c r="I3974" s="1278"/>
      <c r="J3974" s="845">
        <v>1.0833999999999999</v>
      </c>
      <c r="K3974" s="544">
        <f>K3973*J3974</f>
        <v>1123412.0894183321</v>
      </c>
      <c r="L3974" s="365" t="s">
        <v>76</v>
      </c>
      <c r="N3974" s="54"/>
      <c r="O3974" s="336"/>
      <c r="P3974" s="334"/>
      <c r="Q3974" s="335"/>
      <c r="R3974" s="336"/>
      <c r="S3974" s="337"/>
    </row>
    <row r="3975" spans="1:19" ht="30" customHeight="1" thickBot="1" x14ac:dyDescent="0.3">
      <c r="A3975" s="1180"/>
      <c r="B3975" s="1181"/>
      <c r="C3975" s="1181"/>
      <c r="D3975" s="1181"/>
      <c r="E3975" s="1181"/>
      <c r="F3975" s="1181"/>
      <c r="G3975" s="1181"/>
      <c r="H3975" s="1181"/>
      <c r="I3975" s="1181"/>
      <c r="J3975" s="1181"/>
      <c r="K3975" s="1181"/>
      <c r="L3975" s="1182"/>
      <c r="M3975" s="54"/>
      <c r="N3975" s="54"/>
      <c r="O3975" s="336"/>
      <c r="P3975" s="334"/>
      <c r="Q3975" s="335"/>
      <c r="R3975" s="336"/>
      <c r="S3975" s="337"/>
    </row>
    <row r="3976" spans="1:19" ht="30" customHeight="1" x14ac:dyDescent="0.25">
      <c r="A3976" s="327" t="s">
        <v>5</v>
      </c>
      <c r="B3976" s="328">
        <v>7513</v>
      </c>
      <c r="C3976" s="1251" t="s">
        <v>2152</v>
      </c>
      <c r="D3976" s="1252"/>
      <c r="E3976" s="331" t="s">
        <v>8</v>
      </c>
      <c r="F3976" s="332" t="s">
        <v>76</v>
      </c>
      <c r="G3976" s="333" t="s">
        <v>7</v>
      </c>
      <c r="H3976" s="176">
        <v>1</v>
      </c>
      <c r="I3976" s="331" t="s">
        <v>10</v>
      </c>
      <c r="J3976" s="1220" t="s">
        <v>3388</v>
      </c>
      <c r="K3976" s="1220"/>
      <c r="L3976" s="1221"/>
      <c r="M3976" s="54"/>
      <c r="N3976" s="54"/>
      <c r="O3976" s="336"/>
      <c r="P3976" s="334"/>
      <c r="Q3976" s="335"/>
      <c r="R3976" s="336"/>
      <c r="S3976" s="337"/>
    </row>
    <row r="3977" spans="1:19" ht="30" customHeight="1" x14ac:dyDescent="0.25">
      <c r="A3977" s="359" t="s">
        <v>295</v>
      </c>
      <c r="B3977" s="1222" t="s">
        <v>326</v>
      </c>
      <c r="C3977" s="1235"/>
      <c r="D3977" s="1223"/>
      <c r="E3977" s="577" t="s">
        <v>116</v>
      </c>
      <c r="F3977" s="577" t="s">
        <v>117</v>
      </c>
      <c r="G3977" s="1194" t="s">
        <v>118</v>
      </c>
      <c r="H3977" s="1195"/>
      <c r="I3977" s="356" t="s">
        <v>296</v>
      </c>
      <c r="J3977" s="356"/>
      <c r="K3977" s="581" t="s">
        <v>285</v>
      </c>
      <c r="L3977" s="382"/>
      <c r="M3977" s="54"/>
      <c r="N3977" s="54"/>
      <c r="O3977" s="336"/>
      <c r="P3977" s="334"/>
      <c r="Q3977" s="335"/>
      <c r="R3977" s="336"/>
      <c r="S3977" s="337"/>
    </row>
    <row r="3978" spans="1:19" ht="30" customHeight="1" x14ac:dyDescent="0.25">
      <c r="A3978" s="359"/>
      <c r="B3978" s="561" t="s">
        <v>2153</v>
      </c>
      <c r="C3978" s="658"/>
      <c r="D3978" s="659"/>
      <c r="E3978" s="577"/>
      <c r="F3978" s="577"/>
      <c r="G3978" s="750"/>
      <c r="H3978" s="751"/>
      <c r="I3978" s="398"/>
      <c r="J3978" s="398"/>
      <c r="K3978" s="577"/>
      <c r="L3978" s="577"/>
      <c r="M3978" s="54"/>
      <c r="N3978" s="54"/>
      <c r="O3978" s="336"/>
      <c r="P3978" s="334"/>
      <c r="Q3978" s="335"/>
      <c r="R3978" s="336"/>
      <c r="S3978" s="337"/>
    </row>
    <row r="3979" spans="1:19" ht="30" customHeight="1" x14ac:dyDescent="0.25">
      <c r="A3979" s="755" t="s">
        <v>2154</v>
      </c>
      <c r="B3979" s="1214" t="s">
        <v>2155</v>
      </c>
      <c r="C3979" s="1215"/>
      <c r="D3979" s="1216"/>
      <c r="E3979" s="247">
        <f>+(162000+238000)/2</f>
        <v>200000</v>
      </c>
      <c r="F3979" s="396" t="s">
        <v>2156</v>
      </c>
      <c r="G3979" s="661">
        <v>18</v>
      </c>
      <c r="H3979" s="698" t="s">
        <v>2157</v>
      </c>
      <c r="I3979" s="706">
        <v>1.02</v>
      </c>
      <c r="J3979" s="365"/>
      <c r="K3979" s="247">
        <f>+E3979*G3979*I3979</f>
        <v>3672000</v>
      </c>
      <c r="L3979" s="365" t="s">
        <v>76</v>
      </c>
      <c r="M3979" s="54"/>
      <c r="N3979" s="54"/>
      <c r="O3979" s="336"/>
      <c r="P3979" s="334"/>
      <c r="Q3979" s="335"/>
      <c r="R3979" s="336"/>
      <c r="S3979" s="337"/>
    </row>
    <row r="3980" spans="1:19" ht="30" customHeight="1" x14ac:dyDescent="0.25">
      <c r="A3980" s="755" t="s">
        <v>2154</v>
      </c>
      <c r="B3980" s="1214" t="s">
        <v>2158</v>
      </c>
      <c r="C3980" s="1215"/>
      <c r="D3980" s="1216"/>
      <c r="E3980" s="247">
        <f>+(162000+238000)/2</f>
        <v>200000</v>
      </c>
      <c r="F3980" s="396" t="s">
        <v>2156</v>
      </c>
      <c r="G3980" s="661">
        <v>9</v>
      </c>
      <c r="H3980" s="698" t="s">
        <v>2157</v>
      </c>
      <c r="I3980" s="706">
        <v>1.02</v>
      </c>
      <c r="J3980" s="365"/>
      <c r="K3980" s="247">
        <f>+E3980*G3980*I3980</f>
        <v>1836000</v>
      </c>
      <c r="L3980" s="365" t="s">
        <v>76</v>
      </c>
      <c r="M3980" s="54"/>
      <c r="O3980" s="336"/>
      <c r="P3980" s="334"/>
      <c r="Q3980" s="335"/>
      <c r="R3980" s="336"/>
      <c r="S3980" s="337"/>
    </row>
    <row r="3981" spans="1:19" ht="30" customHeight="1" x14ac:dyDescent="0.25">
      <c r="A3981" s="755"/>
      <c r="B3981" s="365"/>
      <c r="C3981" s="366"/>
      <c r="D3981" s="366"/>
      <c r="E3981" s="247"/>
      <c r="F3981" s="365"/>
      <c r="G3981" s="365"/>
      <c r="H3981" s="365"/>
      <c r="I3981" s="365"/>
      <c r="J3981" s="365" t="s">
        <v>300</v>
      </c>
      <c r="K3981" s="247">
        <f>AVERAGE(K3979:K3980)</f>
        <v>2754000</v>
      </c>
      <c r="L3981" s="365" t="s">
        <v>76</v>
      </c>
      <c r="M3981" s="54"/>
      <c r="N3981" s="54"/>
      <c r="O3981" s="336"/>
      <c r="P3981" s="334"/>
      <c r="Q3981" s="335"/>
      <c r="R3981" s="336"/>
      <c r="S3981" s="337"/>
    </row>
    <row r="3982" spans="1:19" ht="30" customHeight="1" x14ac:dyDescent="0.25">
      <c r="A3982" s="365"/>
      <c r="B3982" s="578"/>
      <c r="C3982" s="578"/>
      <c r="D3982" s="578"/>
      <c r="E3982" s="247"/>
      <c r="F3982" s="1272" t="s">
        <v>303</v>
      </c>
      <c r="G3982" s="1283" t="s">
        <v>304</v>
      </c>
      <c r="H3982" s="1283"/>
      <c r="I3982" s="1283"/>
      <c r="J3982" s="1283"/>
      <c r="K3982" s="250">
        <v>1.07</v>
      </c>
      <c r="L3982" s="365"/>
      <c r="M3982" s="54"/>
      <c r="N3982" s="54"/>
      <c r="O3982" s="336"/>
      <c r="P3982" s="334"/>
      <c r="Q3982" s="335"/>
      <c r="R3982" s="336"/>
      <c r="S3982" s="337"/>
    </row>
    <row r="3983" spans="1:19" ht="30" customHeight="1" x14ac:dyDescent="0.25">
      <c r="A3983" s="365"/>
      <c r="B3983" s="578"/>
      <c r="C3983" s="578"/>
      <c r="D3983" s="578"/>
      <c r="E3983" s="247"/>
      <c r="F3983" s="1273"/>
      <c r="G3983" s="1284" t="s">
        <v>438</v>
      </c>
      <c r="H3983" s="1284"/>
      <c r="I3983" s="1284"/>
      <c r="J3983" s="1284"/>
      <c r="K3983" s="250">
        <v>1.08</v>
      </c>
      <c r="L3983" s="365"/>
      <c r="M3983" s="54"/>
      <c r="N3983" s="54"/>
      <c r="O3983" s="336"/>
      <c r="P3983" s="334"/>
      <c r="Q3983" s="335"/>
      <c r="R3983" s="336"/>
      <c r="S3983" s="337"/>
    </row>
    <row r="3984" spans="1:19" ht="30" customHeight="1" x14ac:dyDescent="0.25">
      <c r="A3984" s="365"/>
      <c r="B3984" s="365"/>
      <c r="C3984" s="366"/>
      <c r="D3984" s="366"/>
      <c r="E3984" s="366"/>
      <c r="F3984" s="366"/>
      <c r="G3984" s="366"/>
      <c r="H3984" s="366"/>
      <c r="I3984" s="366"/>
      <c r="J3984" s="365" t="s">
        <v>72</v>
      </c>
      <c r="K3984" s="246">
        <f>+K3981*K3982/K3983</f>
        <v>2728500</v>
      </c>
      <c r="L3984" s="365" t="s">
        <v>76</v>
      </c>
      <c r="M3984" s="54"/>
      <c r="N3984" s="54"/>
      <c r="O3984" s="336"/>
      <c r="P3984" s="334"/>
      <c r="Q3984" s="335"/>
      <c r="R3984" s="336"/>
      <c r="S3984" s="337"/>
    </row>
    <row r="3985" spans="1:19" ht="30" customHeight="1" x14ac:dyDescent="0.25">
      <c r="A3985" s="365"/>
      <c r="B3985" s="365"/>
      <c r="C3985" s="366"/>
      <c r="D3985" s="366"/>
      <c r="E3985" s="366"/>
      <c r="F3985" s="366"/>
      <c r="G3985" s="580" t="s">
        <v>306</v>
      </c>
      <c r="H3985" s="366"/>
      <c r="I3985" s="366"/>
      <c r="J3985" s="521">
        <f>VLOOKUP(B3976,'Mil Cost Premiums for PUCs'!$A$4:$R$277,18,FALSE)</f>
        <v>1.1199953840399997</v>
      </c>
      <c r="K3985" s="246">
        <f>+K3984*J3985</f>
        <v>3055907.4053531392</v>
      </c>
      <c r="L3985" s="365" t="s">
        <v>76</v>
      </c>
      <c r="M3985" s="54"/>
      <c r="N3985" s="54"/>
      <c r="O3985" s="336"/>
      <c r="P3985" s="334"/>
      <c r="Q3985" s="335"/>
      <c r="R3985" s="336"/>
      <c r="S3985" s="337"/>
    </row>
    <row r="3986" spans="1:19" ht="30" customHeight="1" thickBot="1" x14ac:dyDescent="0.3">
      <c r="A3986" s="844"/>
      <c r="B3986" s="844"/>
      <c r="C3986" s="471"/>
      <c r="D3986" s="471"/>
      <c r="E3986" s="850"/>
      <c r="F3986" s="1278" t="s">
        <v>1148</v>
      </c>
      <c r="G3986" s="1278"/>
      <c r="H3986" s="1278"/>
      <c r="I3986" s="1278"/>
      <c r="J3986" s="845">
        <v>1.0833999999999999</v>
      </c>
      <c r="K3986" s="544">
        <f>K3985*J3986</f>
        <v>3310770.0829595905</v>
      </c>
      <c r="L3986" s="365" t="s">
        <v>76</v>
      </c>
      <c r="N3986" s="54"/>
      <c r="O3986" s="336"/>
      <c r="P3986" s="334"/>
      <c r="Q3986" s="335"/>
      <c r="R3986" s="336"/>
      <c r="S3986" s="337"/>
    </row>
    <row r="3987" spans="1:19" ht="30" customHeight="1" thickBot="1" x14ac:dyDescent="0.3">
      <c r="A3987" s="1180"/>
      <c r="B3987" s="1181"/>
      <c r="C3987" s="1181"/>
      <c r="D3987" s="1181"/>
      <c r="E3987" s="1181"/>
      <c r="F3987" s="1181"/>
      <c r="G3987" s="1181"/>
      <c r="H3987" s="1181"/>
      <c r="I3987" s="1181"/>
      <c r="J3987" s="1181"/>
      <c r="K3987" s="1181"/>
      <c r="L3987" s="1182"/>
      <c r="M3987" s="54"/>
      <c r="N3987" s="54"/>
      <c r="O3987" s="336"/>
      <c r="P3987" s="334"/>
      <c r="Q3987" s="335"/>
      <c r="R3987" s="336"/>
      <c r="S3987" s="337"/>
    </row>
    <row r="3988" spans="1:19" ht="30" customHeight="1" x14ac:dyDescent="0.25">
      <c r="A3988" s="327" t="s">
        <v>5</v>
      </c>
      <c r="B3988" s="328">
        <v>7514</v>
      </c>
      <c r="C3988" s="1251" t="s">
        <v>2159</v>
      </c>
      <c r="D3988" s="1252"/>
      <c r="E3988" s="331" t="s">
        <v>8</v>
      </c>
      <c r="F3988" s="332" t="s">
        <v>76</v>
      </c>
      <c r="G3988" s="333" t="s">
        <v>7</v>
      </c>
      <c r="H3988" s="176">
        <v>1</v>
      </c>
      <c r="I3988" s="331" t="s">
        <v>10</v>
      </c>
      <c r="J3988" s="1220" t="s">
        <v>3388</v>
      </c>
      <c r="K3988" s="1220"/>
      <c r="L3988" s="1221"/>
      <c r="M3988" s="54"/>
      <c r="N3988" s="54"/>
      <c r="O3988" s="336"/>
      <c r="P3988" s="334"/>
      <c r="Q3988" s="335"/>
      <c r="R3988" s="336"/>
      <c r="S3988" s="337"/>
    </row>
    <row r="3989" spans="1:19" ht="30" customHeight="1" x14ac:dyDescent="0.25">
      <c r="A3989" s="359" t="s">
        <v>295</v>
      </c>
      <c r="B3989" s="1222" t="s">
        <v>326</v>
      </c>
      <c r="C3989" s="1235"/>
      <c r="D3989" s="1223"/>
      <c r="E3989" s="577" t="s">
        <v>116</v>
      </c>
      <c r="F3989" s="577" t="s">
        <v>117</v>
      </c>
      <c r="G3989" s="1612" t="s">
        <v>118</v>
      </c>
      <c r="H3989" s="1613"/>
      <c r="I3989" s="356" t="s">
        <v>296</v>
      </c>
      <c r="J3989" s="356"/>
      <c r="K3989" s="581" t="s">
        <v>285</v>
      </c>
      <c r="L3989" s="382"/>
      <c r="M3989" s="54"/>
      <c r="O3989" s="336"/>
      <c r="P3989" s="334"/>
      <c r="Q3989" s="335"/>
      <c r="R3989" s="336"/>
      <c r="S3989" s="337"/>
    </row>
    <row r="3990" spans="1:19" ht="30" customHeight="1" x14ac:dyDescent="0.25">
      <c r="A3990" s="755" t="s">
        <v>2160</v>
      </c>
      <c r="B3990" s="1269" t="s">
        <v>2161</v>
      </c>
      <c r="C3990" s="1269"/>
      <c r="D3990" s="1269"/>
      <c r="E3990" s="247">
        <f>+(7600+11100)/2</f>
        <v>9350</v>
      </c>
      <c r="F3990" s="661" t="s">
        <v>2162</v>
      </c>
      <c r="G3990" s="661">
        <v>20</v>
      </c>
      <c r="H3990" s="695" t="s">
        <v>2163</v>
      </c>
      <c r="I3990" s="706">
        <v>1.02</v>
      </c>
      <c r="J3990" s="365"/>
      <c r="K3990" s="247">
        <f>+E3990*G3990*I3990</f>
        <v>190740</v>
      </c>
      <c r="L3990" s="365" t="s">
        <v>76</v>
      </c>
      <c r="M3990" s="54"/>
      <c r="N3990" s="54"/>
      <c r="O3990" s="336"/>
      <c r="P3990" s="334"/>
      <c r="Q3990" s="335"/>
      <c r="R3990" s="336"/>
      <c r="S3990" s="337"/>
    </row>
    <row r="3991" spans="1:19" ht="30" customHeight="1" x14ac:dyDescent="0.25">
      <c r="A3991" s="365"/>
      <c r="B3991" s="578"/>
      <c r="C3991" s="578"/>
      <c r="D3991" s="578"/>
      <c r="E3991" s="247"/>
      <c r="F3991" s="1272" t="s">
        <v>303</v>
      </c>
      <c r="G3991" s="1283" t="s">
        <v>304</v>
      </c>
      <c r="H3991" s="1283"/>
      <c r="I3991" s="1283"/>
      <c r="J3991" s="1283"/>
      <c r="K3991" s="250">
        <v>1.07</v>
      </c>
      <c r="L3991" s="365"/>
      <c r="M3991" s="54"/>
      <c r="N3991" s="54"/>
      <c r="O3991" s="336"/>
      <c r="P3991" s="334"/>
      <c r="Q3991" s="335"/>
      <c r="R3991" s="336"/>
      <c r="S3991" s="337"/>
    </row>
    <row r="3992" spans="1:19" ht="30" customHeight="1" x14ac:dyDescent="0.25">
      <c r="A3992" s="365"/>
      <c r="B3992" s="578"/>
      <c r="C3992" s="578"/>
      <c r="D3992" s="578"/>
      <c r="E3992" s="247"/>
      <c r="F3992" s="1273"/>
      <c r="G3992" s="1284" t="s">
        <v>438</v>
      </c>
      <c r="H3992" s="1284"/>
      <c r="I3992" s="1284"/>
      <c r="J3992" s="1284"/>
      <c r="K3992" s="250">
        <v>1.08</v>
      </c>
      <c r="L3992" s="365"/>
      <c r="M3992" s="54"/>
      <c r="N3992" s="54"/>
      <c r="O3992" s="336"/>
      <c r="P3992" s="334"/>
      <c r="Q3992" s="335"/>
      <c r="R3992" s="336"/>
      <c r="S3992" s="337"/>
    </row>
    <row r="3993" spans="1:19" ht="30" customHeight="1" x14ac:dyDescent="0.25">
      <c r="A3993" s="365"/>
      <c r="B3993" s="365"/>
      <c r="C3993" s="366"/>
      <c r="D3993" s="366"/>
      <c r="E3993" s="366"/>
      <c r="F3993" s="366"/>
      <c r="G3993" s="366"/>
      <c r="H3993" s="366"/>
      <c r="I3993" s="366"/>
      <c r="J3993" s="365" t="s">
        <v>72</v>
      </c>
      <c r="K3993" s="246">
        <f>+K3990*K3991/K3992</f>
        <v>188973.88888888891</v>
      </c>
      <c r="L3993" s="365" t="s">
        <v>76</v>
      </c>
      <c r="M3993" s="54"/>
      <c r="N3993" s="111"/>
      <c r="O3993" s="336"/>
      <c r="P3993" s="334"/>
      <c r="Q3993" s="335"/>
      <c r="R3993" s="336"/>
      <c r="S3993" s="337"/>
    </row>
    <row r="3994" spans="1:19" ht="30" customHeight="1" x14ac:dyDescent="0.25">
      <c r="A3994" s="365"/>
      <c r="B3994" s="365"/>
      <c r="C3994" s="366"/>
      <c r="D3994" s="366"/>
      <c r="E3994" s="366"/>
      <c r="F3994" s="366"/>
      <c r="G3994" s="580" t="s">
        <v>306</v>
      </c>
      <c r="H3994" s="366"/>
      <c r="I3994" s="366"/>
      <c r="J3994" s="521">
        <f>VLOOKUP(B3988,'Mil Cost Premiums for PUCs'!$A$4:$R$277,18,FALSE)</f>
        <v>1.1199953840399997</v>
      </c>
      <c r="K3994" s="246">
        <f>+K3993*J3994</f>
        <v>211649.88325964336</v>
      </c>
      <c r="L3994" s="365" t="s">
        <v>76</v>
      </c>
      <c r="M3994" s="54"/>
      <c r="N3994" s="54"/>
      <c r="O3994" s="336"/>
      <c r="P3994" s="334"/>
      <c r="Q3994" s="335"/>
      <c r="R3994" s="336"/>
      <c r="S3994" s="337"/>
    </row>
    <row r="3995" spans="1:19" ht="30" customHeight="1" thickBot="1" x14ac:dyDescent="0.3">
      <c r="A3995" s="844"/>
      <c r="B3995" s="844"/>
      <c r="C3995" s="471"/>
      <c r="D3995" s="471"/>
      <c r="E3995" s="850"/>
      <c r="F3995" s="1278" t="s">
        <v>1148</v>
      </c>
      <c r="G3995" s="1278"/>
      <c r="H3995" s="1278"/>
      <c r="I3995" s="1278"/>
      <c r="J3995" s="845">
        <v>1.0833999999999999</v>
      </c>
      <c r="K3995" s="544">
        <f>K3994*J3995</f>
        <v>229301.48352349759</v>
      </c>
      <c r="L3995" s="365" t="s">
        <v>76</v>
      </c>
      <c r="N3995" s="54"/>
      <c r="O3995" s="336"/>
      <c r="P3995" s="334"/>
      <c r="Q3995" s="335"/>
      <c r="R3995" s="336"/>
      <c r="S3995" s="337"/>
    </row>
    <row r="3996" spans="1:19" ht="30" customHeight="1" thickBot="1" x14ac:dyDescent="0.3">
      <c r="A3996" s="1180"/>
      <c r="B3996" s="1181"/>
      <c r="C3996" s="1181"/>
      <c r="D3996" s="1181"/>
      <c r="E3996" s="1181"/>
      <c r="F3996" s="1181"/>
      <c r="G3996" s="1181"/>
      <c r="H3996" s="1181"/>
      <c r="I3996" s="1181"/>
      <c r="J3996" s="1181"/>
      <c r="K3996" s="1181"/>
      <c r="L3996" s="1182"/>
      <c r="M3996" s="54"/>
      <c r="N3996" s="54"/>
      <c r="O3996" s="336"/>
      <c r="P3996" s="334"/>
      <c r="Q3996" s="335"/>
      <c r="R3996" s="336"/>
      <c r="S3996" s="337"/>
    </row>
    <row r="3997" spans="1:19" ht="30" customHeight="1" x14ac:dyDescent="0.25">
      <c r="A3997" s="327" t="s">
        <v>5</v>
      </c>
      <c r="B3997" s="328">
        <v>7515</v>
      </c>
      <c r="C3997" s="1251" t="s">
        <v>2164</v>
      </c>
      <c r="D3997" s="1252"/>
      <c r="E3997" s="331" t="s">
        <v>8</v>
      </c>
      <c r="F3997" s="332" t="s">
        <v>76</v>
      </c>
      <c r="G3997" s="333" t="s">
        <v>7</v>
      </c>
      <c r="H3997" s="176">
        <v>1</v>
      </c>
      <c r="I3997" s="331" t="s">
        <v>10</v>
      </c>
      <c r="J3997" s="1220" t="s">
        <v>3388</v>
      </c>
      <c r="K3997" s="1220"/>
      <c r="L3997" s="1221"/>
      <c r="M3997" s="54"/>
      <c r="N3997" s="54"/>
      <c r="O3997" s="336"/>
      <c r="P3997" s="334"/>
      <c r="Q3997" s="335"/>
      <c r="R3997" s="336"/>
      <c r="S3997" s="337"/>
    </row>
    <row r="3998" spans="1:19" ht="30" customHeight="1" x14ac:dyDescent="0.25">
      <c r="A3998" s="359" t="s">
        <v>295</v>
      </c>
      <c r="B3998" s="1222" t="s">
        <v>326</v>
      </c>
      <c r="C3998" s="1235"/>
      <c r="D3998" s="1223"/>
      <c r="E3998" s="577" t="s">
        <v>116</v>
      </c>
      <c r="F3998" s="577" t="s">
        <v>117</v>
      </c>
      <c r="G3998" s="1194" t="s">
        <v>118</v>
      </c>
      <c r="H3998" s="1195"/>
      <c r="I3998" s="356" t="s">
        <v>296</v>
      </c>
      <c r="J3998" s="356"/>
      <c r="K3998" s="581" t="s">
        <v>285</v>
      </c>
      <c r="L3998" s="382"/>
      <c r="M3998" s="54"/>
      <c r="N3998" s="112"/>
      <c r="O3998" s="336"/>
      <c r="P3998" s="334"/>
      <c r="Q3998" s="335"/>
      <c r="R3998" s="336"/>
      <c r="S3998" s="337"/>
    </row>
    <row r="3999" spans="1:19" ht="30" customHeight="1" x14ac:dyDescent="0.25">
      <c r="A3999" s="755" t="s">
        <v>2160</v>
      </c>
      <c r="B3999" s="1214" t="s">
        <v>2165</v>
      </c>
      <c r="C3999" s="1215"/>
      <c r="D3999" s="1216"/>
      <c r="E3999" s="247">
        <f>+(41600+58750)/2</f>
        <v>50175</v>
      </c>
      <c r="F3999" s="396" t="s">
        <v>2156</v>
      </c>
      <c r="G3999" s="661">
        <v>9</v>
      </c>
      <c r="H3999" s="698" t="s">
        <v>2157</v>
      </c>
      <c r="I3999" s="706">
        <v>1.02</v>
      </c>
      <c r="J3999" s="365"/>
      <c r="K3999" s="247">
        <f>+E3999*G3999*I3999</f>
        <v>460606.5</v>
      </c>
      <c r="L3999" s="365" t="s">
        <v>76</v>
      </c>
      <c r="M3999" s="54"/>
      <c r="N3999" s="54"/>
      <c r="O3999" s="336"/>
      <c r="P3999" s="334"/>
      <c r="Q3999" s="335"/>
      <c r="R3999" s="336"/>
      <c r="S3999" s="337"/>
    </row>
    <row r="4000" spans="1:19" ht="30" customHeight="1" x14ac:dyDescent="0.25">
      <c r="A4000" s="365"/>
      <c r="B4000" s="578"/>
      <c r="C4000" s="578"/>
      <c r="D4000" s="578"/>
      <c r="E4000" s="247"/>
      <c r="F4000" s="1272" t="s">
        <v>303</v>
      </c>
      <c r="G4000" s="1283" t="s">
        <v>304</v>
      </c>
      <c r="H4000" s="1283"/>
      <c r="I4000" s="1283"/>
      <c r="J4000" s="1283"/>
      <c r="K4000" s="250">
        <v>1.07</v>
      </c>
      <c r="L4000" s="365"/>
      <c r="M4000" s="54"/>
      <c r="N4000" s="54"/>
      <c r="O4000" s="336"/>
      <c r="P4000" s="334"/>
      <c r="Q4000" s="335"/>
      <c r="R4000" s="336"/>
      <c r="S4000" s="337"/>
    </row>
    <row r="4001" spans="1:19" ht="30" customHeight="1" x14ac:dyDescent="0.25">
      <c r="A4001" s="365"/>
      <c r="B4001" s="578"/>
      <c r="C4001" s="578"/>
      <c r="D4001" s="578"/>
      <c r="E4001" s="247"/>
      <c r="F4001" s="1273"/>
      <c r="G4001" s="1284" t="s">
        <v>438</v>
      </c>
      <c r="H4001" s="1284"/>
      <c r="I4001" s="1284"/>
      <c r="J4001" s="1284"/>
      <c r="K4001" s="250">
        <v>1.08</v>
      </c>
      <c r="L4001" s="365"/>
      <c r="M4001" s="54"/>
      <c r="N4001" s="54"/>
      <c r="O4001" s="336"/>
      <c r="P4001" s="334"/>
      <c r="Q4001" s="335"/>
      <c r="R4001" s="336"/>
      <c r="S4001" s="337"/>
    </row>
    <row r="4002" spans="1:19" ht="30" customHeight="1" x14ac:dyDescent="0.25">
      <c r="A4002" s="755"/>
      <c r="B4002" s="661"/>
      <c r="C4002" s="587"/>
      <c r="D4002" s="391"/>
      <c r="E4002" s="247"/>
      <c r="F4002" s="689"/>
      <c r="G4002" s="661"/>
      <c r="H4002" s="698"/>
      <c r="I4002" s="698"/>
      <c r="J4002" s="365" t="s">
        <v>72</v>
      </c>
      <c r="K4002" s="246">
        <f>+K3999*K4000/K4001</f>
        <v>456341.625</v>
      </c>
      <c r="L4002" s="365" t="s">
        <v>76</v>
      </c>
      <c r="M4002" s="54"/>
      <c r="N4002" s="54"/>
      <c r="O4002" s="336"/>
      <c r="P4002" s="334"/>
      <c r="Q4002" s="335"/>
      <c r="R4002" s="336"/>
      <c r="S4002" s="337"/>
    </row>
    <row r="4003" spans="1:19" ht="30" customHeight="1" x14ac:dyDescent="0.25">
      <c r="A4003" s="365"/>
      <c r="B4003" s="365"/>
      <c r="C4003" s="366"/>
      <c r="D4003" s="366"/>
      <c r="E4003" s="366"/>
      <c r="F4003" s="366"/>
      <c r="G4003" s="580" t="s">
        <v>306</v>
      </c>
      <c r="H4003" s="366"/>
      <c r="I4003" s="366"/>
      <c r="J4003" s="521">
        <f>VLOOKUP(B3997,'Mil Cost Premiums for PUCs'!$A$4:$R$277,18,FALSE)</f>
        <v>1.0905505199999999</v>
      </c>
      <c r="K4003" s="246">
        <f>+K4002*J4003</f>
        <v>497663.59644139494</v>
      </c>
      <c r="L4003" s="365" t="s">
        <v>76</v>
      </c>
      <c r="M4003" s="54"/>
      <c r="O4003" s="336"/>
      <c r="P4003" s="334"/>
      <c r="Q4003" s="335"/>
      <c r="R4003" s="336"/>
      <c r="S4003" s="337"/>
    </row>
    <row r="4004" spans="1:19" ht="30" customHeight="1" thickBot="1" x14ac:dyDescent="0.3">
      <c r="A4004" s="844"/>
      <c r="B4004" s="844"/>
      <c r="C4004" s="471"/>
      <c r="D4004" s="471"/>
      <c r="E4004" s="850"/>
      <c r="F4004" s="1278" t="s">
        <v>1148</v>
      </c>
      <c r="G4004" s="1278"/>
      <c r="H4004" s="1278"/>
      <c r="I4004" s="1278"/>
      <c r="J4004" s="845">
        <v>1.0833999999999999</v>
      </c>
      <c r="K4004" s="544">
        <f>K4003*J4004</f>
        <v>539168.74038460723</v>
      </c>
      <c r="L4004" s="365" t="s">
        <v>76</v>
      </c>
      <c r="N4004" s="54"/>
      <c r="O4004" s="336"/>
      <c r="P4004" s="334"/>
      <c r="Q4004" s="335"/>
      <c r="R4004" s="336"/>
      <c r="S4004" s="337"/>
    </row>
    <row r="4005" spans="1:19" ht="30" customHeight="1" thickBot="1" x14ac:dyDescent="0.3">
      <c r="A4005" s="1180"/>
      <c r="B4005" s="1181"/>
      <c r="C4005" s="1181"/>
      <c r="D4005" s="1181"/>
      <c r="E4005" s="1181"/>
      <c r="F4005" s="1181"/>
      <c r="G4005" s="1181"/>
      <c r="H4005" s="1181"/>
      <c r="I4005" s="1181"/>
      <c r="J4005" s="1181"/>
      <c r="K4005" s="1181"/>
      <c r="L4005" s="1182"/>
      <c r="M4005" s="54"/>
      <c r="N4005" s="54"/>
      <c r="O4005" s="336"/>
      <c r="P4005" s="334"/>
      <c r="Q4005" s="335"/>
      <c r="R4005" s="336"/>
      <c r="S4005" s="337"/>
    </row>
    <row r="4006" spans="1:19" ht="30" customHeight="1" x14ac:dyDescent="0.25">
      <c r="A4006" s="327" t="s">
        <v>5</v>
      </c>
      <c r="B4006" s="328">
        <v>7516</v>
      </c>
      <c r="C4006" s="1294" t="s">
        <v>2166</v>
      </c>
      <c r="D4006" s="1295"/>
      <c r="E4006" s="342" t="s">
        <v>7</v>
      </c>
      <c r="F4006" s="347">
        <v>1</v>
      </c>
      <c r="G4006" s="331" t="s">
        <v>8</v>
      </c>
      <c r="H4006" s="332" t="s">
        <v>76</v>
      </c>
      <c r="I4006" s="331" t="s">
        <v>10</v>
      </c>
      <c r="J4006" s="1253" t="s">
        <v>2167</v>
      </c>
      <c r="K4006" s="1254"/>
      <c r="L4006" s="1255"/>
      <c r="M4006" s="112"/>
      <c r="N4006" s="54"/>
      <c r="O4006" s="336"/>
      <c r="P4006" s="334"/>
      <c r="Q4006" s="335"/>
      <c r="R4006" s="336"/>
      <c r="S4006" s="337"/>
    </row>
    <row r="4007" spans="1:19" ht="30" customHeight="1" x14ac:dyDescent="0.25">
      <c r="A4007" s="356"/>
      <c r="B4007" s="1163" t="s">
        <v>13</v>
      </c>
      <c r="C4007" s="1163"/>
      <c r="D4007" s="1163"/>
      <c r="E4007" s="356" t="s">
        <v>116</v>
      </c>
      <c r="F4007" s="356" t="s">
        <v>117</v>
      </c>
      <c r="G4007" s="1194" t="s">
        <v>118</v>
      </c>
      <c r="H4007" s="1195"/>
      <c r="I4007" s="356" t="s">
        <v>119</v>
      </c>
      <c r="J4007" s="356" t="s">
        <v>120</v>
      </c>
      <c r="K4007" s="1236" t="s">
        <v>72</v>
      </c>
      <c r="L4007" s="1237"/>
      <c r="M4007" s="54"/>
      <c r="N4007" s="54"/>
      <c r="O4007" s="336"/>
      <c r="P4007" s="334"/>
      <c r="Q4007" s="335"/>
      <c r="R4007" s="336"/>
      <c r="S4007" s="337"/>
    </row>
    <row r="4008" spans="1:19" ht="30" customHeight="1" thickBot="1" x14ac:dyDescent="0.3">
      <c r="A4008" s="360"/>
      <c r="B4008" s="1179" t="s">
        <v>2168</v>
      </c>
      <c r="C4008" s="1179"/>
      <c r="D4008" s="1179"/>
      <c r="E4008" s="485">
        <v>21363.09</v>
      </c>
      <c r="F4008" s="486" t="s">
        <v>76</v>
      </c>
      <c r="G4008" s="1183"/>
      <c r="H4008" s="1184"/>
      <c r="I4008" s="486"/>
      <c r="J4008" s="845">
        <v>1.0833999999999999</v>
      </c>
      <c r="K4008" s="488">
        <f>E4008*J4008</f>
        <v>23144.771706</v>
      </c>
      <c r="L4008" s="486" t="s">
        <v>76</v>
      </c>
      <c r="M4008" s="111"/>
      <c r="N4008" s="54"/>
      <c r="O4008" s="336"/>
      <c r="P4008" s="334"/>
      <c r="Q4008" s="335"/>
      <c r="R4008" s="336"/>
      <c r="S4008" s="337"/>
    </row>
    <row r="4009" spans="1:19" ht="30" customHeight="1" thickBot="1" x14ac:dyDescent="0.3">
      <c r="A4009" s="1180"/>
      <c r="B4009" s="1181"/>
      <c r="C4009" s="1181"/>
      <c r="D4009" s="1181"/>
      <c r="E4009" s="1181"/>
      <c r="F4009" s="1181"/>
      <c r="G4009" s="1181"/>
      <c r="H4009" s="1181"/>
      <c r="I4009" s="1181"/>
      <c r="J4009" s="1181"/>
      <c r="K4009" s="1181"/>
      <c r="L4009" s="1182"/>
      <c r="M4009" s="54"/>
      <c r="N4009" s="54"/>
      <c r="O4009" s="336"/>
      <c r="P4009" s="334"/>
      <c r="Q4009" s="335"/>
      <c r="R4009" s="336"/>
      <c r="S4009" s="337"/>
    </row>
    <row r="4010" spans="1:19" ht="30" customHeight="1" x14ac:dyDescent="0.25">
      <c r="A4010" s="327" t="s">
        <v>5</v>
      </c>
      <c r="B4010" s="328">
        <v>7517</v>
      </c>
      <c r="C4010" s="1251" t="s">
        <v>2169</v>
      </c>
      <c r="D4010" s="1252"/>
      <c r="E4010" s="331" t="s">
        <v>8</v>
      </c>
      <c r="F4010" s="332" t="s">
        <v>76</v>
      </c>
      <c r="G4010" s="333" t="s">
        <v>7</v>
      </c>
      <c r="H4010" s="176">
        <v>1</v>
      </c>
      <c r="I4010" s="331" t="s">
        <v>10</v>
      </c>
      <c r="J4010" s="1220" t="s">
        <v>3388</v>
      </c>
      <c r="K4010" s="1220"/>
      <c r="L4010" s="1221"/>
      <c r="M4010" s="54"/>
      <c r="N4010" s="54"/>
      <c r="O4010" s="336"/>
      <c r="P4010" s="334"/>
      <c r="Q4010" s="335"/>
      <c r="R4010" s="336"/>
      <c r="S4010" s="337"/>
    </row>
    <row r="4011" spans="1:19" ht="30" customHeight="1" x14ac:dyDescent="0.25">
      <c r="A4011" s="359" t="s">
        <v>295</v>
      </c>
      <c r="B4011" s="1222" t="s">
        <v>326</v>
      </c>
      <c r="C4011" s="1235"/>
      <c r="D4011" s="1223"/>
      <c r="E4011" s="577" t="s">
        <v>116</v>
      </c>
      <c r="F4011" s="577" t="s">
        <v>117</v>
      </c>
      <c r="G4011" s="1194" t="s">
        <v>118</v>
      </c>
      <c r="H4011" s="1195"/>
      <c r="I4011" s="356" t="s">
        <v>296</v>
      </c>
      <c r="J4011" s="356"/>
      <c r="K4011" s="581" t="s">
        <v>285</v>
      </c>
      <c r="L4011" s="382"/>
      <c r="M4011" s="54"/>
      <c r="N4011" s="54"/>
      <c r="O4011" s="336"/>
      <c r="P4011" s="334"/>
      <c r="Q4011" s="335"/>
      <c r="R4011" s="336"/>
      <c r="S4011" s="337"/>
    </row>
    <row r="4012" spans="1:19" ht="30" customHeight="1" x14ac:dyDescent="0.25">
      <c r="A4012" s="359"/>
      <c r="B4012" s="1214" t="s">
        <v>2170</v>
      </c>
      <c r="C4012" s="1215"/>
      <c r="D4012" s="1216"/>
      <c r="E4012" s="577"/>
      <c r="F4012" s="577"/>
      <c r="G4012" s="750"/>
      <c r="H4012" s="751"/>
      <c r="I4012" s="398"/>
      <c r="J4012" s="398"/>
      <c r="K4012" s="577"/>
      <c r="L4012" s="577"/>
      <c r="M4012" s="54"/>
      <c r="N4012" s="54"/>
      <c r="O4012" s="793"/>
      <c r="P4012" s="334"/>
      <c r="Q4012" s="335"/>
      <c r="R4012" s="336"/>
      <c r="S4012" s="337"/>
    </row>
    <row r="4013" spans="1:19" ht="30" customHeight="1" x14ac:dyDescent="0.25">
      <c r="A4013" s="755" t="s">
        <v>297</v>
      </c>
      <c r="B4013" s="1209" t="s">
        <v>2171</v>
      </c>
      <c r="C4013" s="1210"/>
      <c r="D4013" s="1211"/>
      <c r="E4013" s="247">
        <f>+(29+46.25)/2</f>
        <v>37.625</v>
      </c>
      <c r="F4013" s="396" t="s">
        <v>205</v>
      </c>
      <c r="G4013" s="661">
        <v>240</v>
      </c>
      <c r="H4013" s="698" t="s">
        <v>563</v>
      </c>
      <c r="I4013" s="706">
        <v>1.02</v>
      </c>
      <c r="J4013" s="365"/>
      <c r="K4013" s="247">
        <f>+E4013*G4013*I4013</f>
        <v>9210.6</v>
      </c>
      <c r="L4013" s="365" t="s">
        <v>76</v>
      </c>
      <c r="M4013" s="112"/>
      <c r="O4013" s="336"/>
      <c r="P4013" s="334"/>
      <c r="Q4013" s="335"/>
      <c r="R4013" s="336"/>
      <c r="S4013" s="337"/>
    </row>
    <row r="4014" spans="1:19" ht="30" customHeight="1" x14ac:dyDescent="0.25">
      <c r="A4014" s="365"/>
      <c r="B4014" s="370"/>
      <c r="C4014" s="370"/>
      <c r="D4014" s="370"/>
      <c r="E4014" s="247"/>
      <c r="F4014" s="1272" t="s">
        <v>303</v>
      </c>
      <c r="G4014" s="1283" t="s">
        <v>304</v>
      </c>
      <c r="H4014" s="1283"/>
      <c r="I4014" s="1283"/>
      <c r="J4014" s="1283"/>
      <c r="K4014" s="250">
        <v>1.07</v>
      </c>
      <c r="L4014" s="365"/>
      <c r="M4014" s="54"/>
      <c r="N4014" s="54"/>
      <c r="O4014" s="793"/>
      <c r="P4014" s="334"/>
      <c r="Q4014" s="335"/>
      <c r="R4014" s="336"/>
      <c r="S4014" s="337"/>
    </row>
    <row r="4015" spans="1:19" ht="30" customHeight="1" x14ac:dyDescent="0.25">
      <c r="A4015" s="661"/>
      <c r="B4015" s="847"/>
      <c r="C4015" s="847"/>
      <c r="D4015" s="847"/>
      <c r="E4015" s="163"/>
      <c r="F4015" s="1273"/>
      <c r="G4015" s="1284" t="s">
        <v>438</v>
      </c>
      <c r="H4015" s="1284"/>
      <c r="I4015" s="1284"/>
      <c r="J4015" s="1284"/>
      <c r="K4015" s="250">
        <v>1.08</v>
      </c>
      <c r="L4015" s="365"/>
      <c r="M4015" s="54"/>
      <c r="N4015" s="54"/>
      <c r="O4015" s="336"/>
      <c r="P4015" s="334"/>
      <c r="Q4015" s="335"/>
      <c r="R4015" s="336"/>
      <c r="S4015" s="337"/>
    </row>
    <row r="4016" spans="1:19" ht="30" customHeight="1" x14ac:dyDescent="0.25">
      <c r="A4016" s="970"/>
      <c r="B4016" s="835"/>
      <c r="C4016" s="840"/>
      <c r="D4016" s="840"/>
      <c r="E4016" s="163"/>
      <c r="F4016" s="689"/>
      <c r="G4016" s="661"/>
      <c r="H4016" s="698"/>
      <c r="I4016" s="698"/>
      <c r="J4016" s="365" t="s">
        <v>72</v>
      </c>
      <c r="K4016" s="246">
        <f>+K4013*K4014/K4015</f>
        <v>9125.3166666666657</v>
      </c>
      <c r="L4016" s="365" t="s">
        <v>76</v>
      </c>
      <c r="M4016" s="54"/>
      <c r="N4016" s="54"/>
      <c r="O4016" s="336"/>
      <c r="P4016" s="334"/>
      <c r="Q4016" s="335"/>
      <c r="R4016" s="336"/>
      <c r="S4016" s="337"/>
    </row>
    <row r="4017" spans="1:19" ht="30" customHeight="1" x14ac:dyDescent="0.25">
      <c r="A4017" s="661"/>
      <c r="B4017" s="835"/>
      <c r="C4017" s="840"/>
      <c r="D4017" s="840"/>
      <c r="E4017" s="391"/>
      <c r="F4017" s="366"/>
      <c r="G4017" s="580" t="s">
        <v>306</v>
      </c>
      <c r="H4017" s="366"/>
      <c r="I4017" s="366"/>
      <c r="J4017" s="521">
        <f>VLOOKUP(B4010,'Mil Cost Premiums for PUCs'!$A$4:$R$277,18,FALSE)</f>
        <v>1.0209999999999999</v>
      </c>
      <c r="K4017" s="246">
        <f>+K4016*J4017</f>
        <v>9316.9483166666651</v>
      </c>
      <c r="L4017" s="365" t="s">
        <v>76</v>
      </c>
      <c r="M4017" s="54"/>
      <c r="N4017" s="54"/>
      <c r="O4017" s="336"/>
      <c r="P4017" s="334"/>
      <c r="Q4017" s="335"/>
      <c r="R4017" s="336"/>
      <c r="S4017" s="337"/>
    </row>
    <row r="4018" spans="1:19" ht="30" customHeight="1" thickBot="1" x14ac:dyDescent="0.3">
      <c r="A4018" s="844"/>
      <c r="B4018" s="971"/>
      <c r="C4018" s="972"/>
      <c r="D4018" s="972"/>
      <c r="E4018" s="850"/>
      <c r="F4018" s="1278" t="s">
        <v>1148</v>
      </c>
      <c r="G4018" s="1278"/>
      <c r="H4018" s="1278"/>
      <c r="I4018" s="1278"/>
      <c r="J4018" s="845">
        <v>1.0833999999999999</v>
      </c>
      <c r="K4018" s="544">
        <f>K4017*J4018</f>
        <v>10093.981806276664</v>
      </c>
      <c r="L4018" s="365" t="s">
        <v>76</v>
      </c>
      <c r="N4018" s="54"/>
      <c r="O4018" s="336"/>
      <c r="P4018" s="334"/>
      <c r="Q4018" s="335"/>
      <c r="R4018" s="336"/>
      <c r="S4018" s="337"/>
    </row>
    <row r="4019" spans="1:19" ht="30" customHeight="1" thickBot="1" x14ac:dyDescent="0.3">
      <c r="A4019" s="1180"/>
      <c r="B4019" s="1181"/>
      <c r="C4019" s="1181"/>
      <c r="D4019" s="1181"/>
      <c r="E4019" s="1181"/>
      <c r="F4019" s="1181"/>
      <c r="G4019" s="1181"/>
      <c r="H4019" s="1181"/>
      <c r="I4019" s="1181"/>
      <c r="J4019" s="1181"/>
      <c r="K4019" s="1181"/>
      <c r="L4019" s="1182"/>
      <c r="M4019" s="54"/>
      <c r="N4019" s="54"/>
      <c r="O4019" s="336"/>
      <c r="P4019" s="334"/>
      <c r="Q4019" s="335"/>
      <c r="R4019" s="336"/>
      <c r="S4019" s="337"/>
    </row>
    <row r="4020" spans="1:19" ht="30" customHeight="1" x14ac:dyDescent="0.25">
      <c r="A4020" s="327" t="s">
        <v>5</v>
      </c>
      <c r="B4020" s="328">
        <v>7518</v>
      </c>
      <c r="C4020" s="1251" t="s">
        <v>2172</v>
      </c>
      <c r="D4020" s="1252"/>
      <c r="E4020" s="331" t="s">
        <v>8</v>
      </c>
      <c r="F4020" s="332" t="s">
        <v>76</v>
      </c>
      <c r="G4020" s="333" t="s">
        <v>7</v>
      </c>
      <c r="H4020" s="176">
        <v>1</v>
      </c>
      <c r="I4020" s="331" t="s">
        <v>10</v>
      </c>
      <c r="J4020" s="1220" t="s">
        <v>3388</v>
      </c>
      <c r="K4020" s="1220"/>
      <c r="L4020" s="1221"/>
      <c r="M4020" s="54"/>
      <c r="N4020" s="54"/>
      <c r="O4020" s="336"/>
      <c r="P4020" s="334"/>
      <c r="Q4020" s="335"/>
      <c r="R4020" s="336"/>
      <c r="S4020" s="337"/>
    </row>
    <row r="4021" spans="1:19" ht="30" customHeight="1" x14ac:dyDescent="0.25">
      <c r="A4021" s="359" t="s">
        <v>295</v>
      </c>
      <c r="B4021" s="1222" t="s">
        <v>326</v>
      </c>
      <c r="C4021" s="1235"/>
      <c r="D4021" s="1223"/>
      <c r="E4021" s="577" t="s">
        <v>116</v>
      </c>
      <c r="F4021" s="577" t="s">
        <v>117</v>
      </c>
      <c r="G4021" s="1194" t="s">
        <v>118</v>
      </c>
      <c r="H4021" s="1195"/>
      <c r="I4021" s="356" t="s">
        <v>296</v>
      </c>
      <c r="J4021" s="356"/>
      <c r="K4021" s="581" t="s">
        <v>285</v>
      </c>
      <c r="L4021" s="382"/>
      <c r="M4021" s="54"/>
      <c r="N4021" s="54"/>
      <c r="O4021" s="336"/>
      <c r="P4021" s="334"/>
      <c r="Q4021" s="335"/>
      <c r="R4021" s="336"/>
      <c r="S4021" s="337"/>
    </row>
    <row r="4022" spans="1:19" ht="30" customHeight="1" x14ac:dyDescent="0.25">
      <c r="A4022" s="359"/>
      <c r="B4022" s="1209" t="s">
        <v>2173</v>
      </c>
      <c r="C4022" s="1210"/>
      <c r="D4022" s="1211"/>
      <c r="E4022" s="577"/>
      <c r="F4022" s="577"/>
      <c r="G4022" s="750"/>
      <c r="H4022" s="751"/>
      <c r="I4022" s="398"/>
      <c r="J4022" s="398"/>
      <c r="K4022" s="577"/>
      <c r="L4022" s="577"/>
      <c r="M4022" s="54"/>
      <c r="N4022" s="54"/>
      <c r="O4022" s="336"/>
      <c r="P4022" s="334"/>
      <c r="Q4022" s="335"/>
      <c r="R4022" s="336"/>
      <c r="S4022" s="337"/>
    </row>
    <row r="4023" spans="1:19" ht="30" customHeight="1" x14ac:dyDescent="0.25">
      <c r="A4023" s="755" t="s">
        <v>297</v>
      </c>
      <c r="B4023" s="1214" t="s">
        <v>2174</v>
      </c>
      <c r="C4023" s="1215"/>
      <c r="D4023" s="1216"/>
      <c r="E4023" s="247">
        <f>+(6800+12500)/2</f>
        <v>9650</v>
      </c>
      <c r="F4023" s="396" t="s">
        <v>205</v>
      </c>
      <c r="G4023" s="661">
        <v>90</v>
      </c>
      <c r="H4023" s="698" t="s">
        <v>2175</v>
      </c>
      <c r="I4023" s="706">
        <v>1.02</v>
      </c>
      <c r="J4023" s="365"/>
      <c r="K4023" s="247">
        <f>+E4023*G4023*I4023</f>
        <v>885870</v>
      </c>
      <c r="L4023" s="365" t="s">
        <v>76</v>
      </c>
      <c r="M4023" s="54"/>
      <c r="N4023" s="54"/>
      <c r="O4023" s="336"/>
      <c r="P4023" s="334"/>
      <c r="Q4023" s="335"/>
      <c r="R4023" s="336"/>
      <c r="S4023" s="337"/>
    </row>
    <row r="4024" spans="1:19" ht="30" customHeight="1" x14ac:dyDescent="0.25">
      <c r="A4024" s="365"/>
      <c r="B4024" s="578"/>
      <c r="C4024" s="578"/>
      <c r="D4024" s="578"/>
      <c r="E4024" s="247"/>
      <c r="F4024" s="1272" t="s">
        <v>303</v>
      </c>
      <c r="G4024" s="1283" t="s">
        <v>304</v>
      </c>
      <c r="H4024" s="1283"/>
      <c r="I4024" s="1283"/>
      <c r="J4024" s="1283"/>
      <c r="K4024" s="250">
        <v>1.07</v>
      </c>
      <c r="L4024" s="365"/>
      <c r="M4024" s="54"/>
      <c r="N4024" s="54"/>
      <c r="O4024" s="336"/>
      <c r="P4024" s="334"/>
      <c r="Q4024" s="335"/>
      <c r="R4024" s="336"/>
      <c r="S4024" s="337"/>
    </row>
    <row r="4025" spans="1:19" ht="30" customHeight="1" x14ac:dyDescent="0.25">
      <c r="A4025" s="365"/>
      <c r="B4025" s="578"/>
      <c r="C4025" s="578"/>
      <c r="D4025" s="578"/>
      <c r="E4025" s="247"/>
      <c r="F4025" s="1273"/>
      <c r="G4025" s="1284" t="s">
        <v>438</v>
      </c>
      <c r="H4025" s="1284"/>
      <c r="I4025" s="1284"/>
      <c r="J4025" s="1284"/>
      <c r="K4025" s="250">
        <v>1.08</v>
      </c>
      <c r="L4025" s="365"/>
      <c r="M4025" s="54"/>
      <c r="N4025" s="54"/>
      <c r="O4025" s="336"/>
      <c r="P4025" s="334"/>
      <c r="Q4025" s="335"/>
      <c r="R4025" s="336"/>
      <c r="S4025" s="337"/>
    </row>
    <row r="4026" spans="1:19" ht="30" customHeight="1" x14ac:dyDescent="0.25">
      <c r="A4026" s="755"/>
      <c r="B4026" s="661"/>
      <c r="C4026" s="587"/>
      <c r="D4026" s="391"/>
      <c r="E4026" s="247"/>
      <c r="F4026" s="689"/>
      <c r="G4026" s="661"/>
      <c r="H4026" s="698"/>
      <c r="I4026" s="365"/>
      <c r="J4026" s="366" t="s">
        <v>72</v>
      </c>
      <c r="K4026" s="246">
        <f>+K4023*K4024/K4025</f>
        <v>877667.5</v>
      </c>
      <c r="L4026" s="365" t="s">
        <v>76</v>
      </c>
      <c r="M4026" s="54"/>
      <c r="N4026" s="54"/>
      <c r="O4026" s="336"/>
      <c r="P4026" s="334"/>
      <c r="Q4026" s="335"/>
      <c r="R4026" s="336"/>
      <c r="S4026" s="337"/>
    </row>
    <row r="4027" spans="1:19" ht="30" customHeight="1" x14ac:dyDescent="0.25">
      <c r="A4027" s="365"/>
      <c r="B4027" s="365"/>
      <c r="C4027" s="366"/>
      <c r="D4027" s="366"/>
      <c r="E4027" s="366"/>
      <c r="F4027" s="366"/>
      <c r="G4027" s="580" t="s">
        <v>306</v>
      </c>
      <c r="H4027" s="366"/>
      <c r="I4027" s="366"/>
      <c r="J4027" s="521">
        <f>VLOOKUP(B4020,'Mil Cost Premiums for PUCs'!$A$4:$R$277,18,FALSE)</f>
        <v>1.1199953840399997</v>
      </c>
      <c r="K4027" s="246">
        <f>+K4026*J4027</f>
        <v>982983.5487219264</v>
      </c>
      <c r="L4027" s="365" t="s">
        <v>76</v>
      </c>
      <c r="M4027" s="54"/>
      <c r="N4027" s="54"/>
      <c r="O4027" s="336"/>
      <c r="P4027" s="334"/>
      <c r="Q4027" s="335"/>
      <c r="R4027" s="336"/>
      <c r="S4027" s="337"/>
    </row>
    <row r="4028" spans="1:19" ht="30" customHeight="1" thickBot="1" x14ac:dyDescent="0.3">
      <c r="A4028" s="844"/>
      <c r="B4028" s="971"/>
      <c r="C4028" s="972"/>
      <c r="D4028" s="972"/>
      <c r="E4028" s="850"/>
      <c r="F4028" s="1278" t="s">
        <v>1148</v>
      </c>
      <c r="G4028" s="1278"/>
      <c r="H4028" s="1278"/>
      <c r="I4028" s="1278"/>
      <c r="J4028" s="845">
        <v>1.0833999999999999</v>
      </c>
      <c r="K4028" s="544">
        <f>K4027*J4028</f>
        <v>1064964.3766853351</v>
      </c>
      <c r="L4028" s="365" t="s">
        <v>76</v>
      </c>
      <c r="N4028" s="54"/>
      <c r="O4028" s="336"/>
      <c r="P4028" s="334"/>
      <c r="Q4028" s="335"/>
      <c r="R4028" s="336"/>
      <c r="S4028" s="337"/>
    </row>
    <row r="4029" spans="1:19" ht="30" customHeight="1" thickBot="1" x14ac:dyDescent="0.3">
      <c r="A4029" s="1180"/>
      <c r="B4029" s="1181"/>
      <c r="C4029" s="1181"/>
      <c r="D4029" s="1181"/>
      <c r="E4029" s="1181"/>
      <c r="F4029" s="1181"/>
      <c r="G4029" s="1181"/>
      <c r="H4029" s="1181"/>
      <c r="I4029" s="1181"/>
      <c r="J4029" s="1181"/>
      <c r="K4029" s="1181"/>
      <c r="L4029" s="1182"/>
      <c r="M4029" s="54"/>
      <c r="N4029" s="54"/>
      <c r="O4029" s="336"/>
      <c r="P4029" s="334"/>
      <c r="Q4029" s="335"/>
      <c r="R4029" s="336"/>
      <c r="S4029" s="337"/>
    </row>
    <row r="4030" spans="1:19" ht="30" customHeight="1" x14ac:dyDescent="0.25">
      <c r="A4030" s="327" t="s">
        <v>5</v>
      </c>
      <c r="B4030" s="328">
        <v>7521</v>
      </c>
      <c r="C4030" s="1251" t="s">
        <v>2176</v>
      </c>
      <c r="D4030" s="1252"/>
      <c r="E4030" s="331" t="s">
        <v>8</v>
      </c>
      <c r="F4030" s="332" t="s">
        <v>76</v>
      </c>
      <c r="G4030" s="333" t="s">
        <v>7</v>
      </c>
      <c r="H4030" s="176">
        <v>1</v>
      </c>
      <c r="I4030" s="331" t="s">
        <v>10</v>
      </c>
      <c r="J4030" s="1220" t="s">
        <v>2177</v>
      </c>
      <c r="K4030" s="1220"/>
      <c r="L4030" s="1221"/>
      <c r="M4030" s="54"/>
      <c r="N4030" s="54"/>
      <c r="O4030" s="336"/>
      <c r="P4030" s="334"/>
      <c r="Q4030" s="335"/>
      <c r="R4030" s="336"/>
      <c r="S4030" s="337"/>
    </row>
    <row r="4031" spans="1:19" ht="30" customHeight="1" x14ac:dyDescent="0.25">
      <c r="A4031" s="356" t="s">
        <v>2178</v>
      </c>
      <c r="B4031" s="1222" t="s">
        <v>326</v>
      </c>
      <c r="C4031" s="1235"/>
      <c r="D4031" s="1223"/>
      <c r="E4031" s="577" t="s">
        <v>116</v>
      </c>
      <c r="F4031" s="577" t="s">
        <v>117</v>
      </c>
      <c r="G4031" s="1194" t="s">
        <v>118</v>
      </c>
      <c r="H4031" s="1195"/>
      <c r="I4031" s="356" t="s">
        <v>296</v>
      </c>
      <c r="J4031" s="356" t="s">
        <v>284</v>
      </c>
      <c r="K4031" s="581" t="s">
        <v>285</v>
      </c>
      <c r="L4031" s="382"/>
      <c r="M4031" s="54"/>
      <c r="N4031" s="54"/>
      <c r="O4031" s="336"/>
      <c r="P4031" s="334"/>
      <c r="Q4031" s="335"/>
      <c r="R4031" s="336"/>
      <c r="S4031" s="337"/>
    </row>
    <row r="4032" spans="1:19" ht="30" customHeight="1" x14ac:dyDescent="0.25">
      <c r="A4032" s="359"/>
      <c r="B4032" s="1214" t="s">
        <v>2179</v>
      </c>
      <c r="C4032" s="1215"/>
      <c r="D4032" s="1216"/>
      <c r="E4032" s="577"/>
      <c r="F4032" s="577"/>
      <c r="G4032" s="750"/>
      <c r="H4032" s="751"/>
      <c r="I4032" s="398"/>
      <c r="J4032" s="398"/>
      <c r="K4032" s="577"/>
      <c r="L4032" s="577"/>
      <c r="M4032" s="54"/>
      <c r="N4032" s="54"/>
      <c r="O4032" s="336"/>
      <c r="P4032" s="334"/>
      <c r="Q4032" s="335"/>
      <c r="R4032" s="336"/>
      <c r="S4032" s="337"/>
    </row>
    <row r="4033" spans="1:19" ht="30" customHeight="1" x14ac:dyDescent="0.25">
      <c r="A4033" s="365" t="s">
        <v>2180</v>
      </c>
      <c r="B4033" s="1214" t="s">
        <v>2181</v>
      </c>
      <c r="C4033" s="1215"/>
      <c r="D4033" s="1216"/>
      <c r="E4033" s="752">
        <f>+(36400+56250)/2</f>
        <v>46325</v>
      </c>
      <c r="F4033" s="396" t="s">
        <v>76</v>
      </c>
      <c r="G4033" s="661"/>
      <c r="H4033" s="698"/>
      <c r="I4033" s="706">
        <v>1.2</v>
      </c>
      <c r="J4033" s="365"/>
      <c r="K4033" s="752">
        <f>+E4033*I4033</f>
        <v>55590</v>
      </c>
      <c r="L4033" s="396" t="s">
        <v>76</v>
      </c>
      <c r="M4033" s="54"/>
      <c r="N4033" s="54"/>
      <c r="O4033" s="336"/>
      <c r="P4033" s="334"/>
      <c r="Q4033" s="335"/>
      <c r="R4033" s="336"/>
      <c r="S4033" s="337"/>
    </row>
    <row r="4034" spans="1:19" ht="30" customHeight="1" x14ac:dyDescent="0.25">
      <c r="A4034" s="365" t="s">
        <v>2180</v>
      </c>
      <c r="B4034" s="561" t="s">
        <v>2182</v>
      </c>
      <c r="C4034" s="562"/>
      <c r="D4034" s="563"/>
      <c r="E4034" s="752">
        <f>+(11600+16000)/2</f>
        <v>13800</v>
      </c>
      <c r="F4034" s="396" t="s">
        <v>76</v>
      </c>
      <c r="G4034" s="973">
        <v>0.5</v>
      </c>
      <c r="H4034" s="698"/>
      <c r="I4034" s="706">
        <v>1.2</v>
      </c>
      <c r="J4034" s="365"/>
      <c r="K4034" s="752">
        <f>+I4034*G4034*E4034</f>
        <v>8280</v>
      </c>
      <c r="L4034" s="396" t="s">
        <v>76</v>
      </c>
      <c r="M4034" s="54"/>
      <c r="N4034" s="54"/>
      <c r="O4034" s="336"/>
      <c r="P4034" s="334"/>
      <c r="Q4034" s="335"/>
      <c r="R4034" s="336"/>
      <c r="S4034" s="337"/>
    </row>
    <row r="4035" spans="1:19" ht="30" customHeight="1" x14ac:dyDescent="0.25">
      <c r="A4035" s="365" t="s">
        <v>2180</v>
      </c>
      <c r="B4035" s="1214" t="s">
        <v>2183</v>
      </c>
      <c r="C4035" s="1215"/>
      <c r="D4035" s="1216"/>
      <c r="E4035" s="752">
        <f>+(9900+14800)/2</f>
        <v>12350</v>
      </c>
      <c r="F4035" s="396" t="s">
        <v>76</v>
      </c>
      <c r="G4035" s="661"/>
      <c r="H4035" s="698"/>
      <c r="I4035" s="706">
        <v>1.2</v>
      </c>
      <c r="J4035" s="365"/>
      <c r="K4035" s="752">
        <f>+E4035*I4035</f>
        <v>14820</v>
      </c>
      <c r="L4035" s="396" t="s">
        <v>76</v>
      </c>
      <c r="M4035" s="54"/>
      <c r="N4035" s="54"/>
      <c r="O4035" s="336"/>
      <c r="P4035" s="334"/>
      <c r="Q4035" s="335"/>
      <c r="R4035" s="336"/>
      <c r="S4035" s="337"/>
    </row>
    <row r="4036" spans="1:19" ht="30" customHeight="1" x14ac:dyDescent="0.25">
      <c r="A4036" s="927"/>
      <c r="B4036" s="1214" t="s">
        <v>2184</v>
      </c>
      <c r="C4036" s="1215"/>
      <c r="D4036" s="1216"/>
      <c r="E4036" s="752"/>
      <c r="F4036" s="396"/>
      <c r="G4036" s="661"/>
      <c r="H4036" s="698"/>
      <c r="I4036" s="365"/>
      <c r="J4036" s="365" t="s">
        <v>343</v>
      </c>
      <c r="K4036" s="752">
        <f>SUM(K4033:K4035)</f>
        <v>78690</v>
      </c>
      <c r="L4036" s="396" t="s">
        <v>76</v>
      </c>
      <c r="M4036" s="54"/>
      <c r="N4036" s="54"/>
      <c r="O4036" s="384"/>
      <c r="P4036" s="334"/>
      <c r="Q4036" s="335"/>
      <c r="R4036" s="336"/>
      <c r="S4036" s="337"/>
    </row>
    <row r="4037" spans="1:19" ht="30" customHeight="1" x14ac:dyDescent="0.25">
      <c r="A4037" s="365" t="s">
        <v>2185</v>
      </c>
      <c r="B4037" s="1209" t="s">
        <v>2186</v>
      </c>
      <c r="C4037" s="1210"/>
      <c r="D4037" s="1211"/>
      <c r="E4037" s="752">
        <f>+((10.7+16.1)/2)</f>
        <v>13.4</v>
      </c>
      <c r="F4037" s="396" t="s">
        <v>205</v>
      </c>
      <c r="G4037" s="753">
        <f>(114*70)</f>
        <v>7980</v>
      </c>
      <c r="H4037" s="698" t="s">
        <v>563</v>
      </c>
      <c r="I4037" s="706">
        <v>1.2</v>
      </c>
      <c r="J4037" s="365"/>
      <c r="K4037" s="752">
        <f>+I4037*G4037*E4037</f>
        <v>128318.40000000001</v>
      </c>
      <c r="L4037" s="396" t="s">
        <v>76</v>
      </c>
      <c r="M4037" s="54"/>
      <c r="N4037" s="54"/>
      <c r="O4037" s="336"/>
      <c r="P4037" s="334"/>
      <c r="Q4037" s="335"/>
      <c r="R4037" s="336"/>
      <c r="S4037" s="337"/>
    </row>
    <row r="4038" spans="1:19" ht="30" customHeight="1" x14ac:dyDescent="0.25">
      <c r="A4038" s="365">
        <v>85110</v>
      </c>
      <c r="B4038" s="1230" t="s">
        <v>2187</v>
      </c>
      <c r="C4038" s="1231"/>
      <c r="D4038" s="1232"/>
      <c r="E4038" s="752">
        <v>2.1800000000000002</v>
      </c>
      <c r="F4038" s="396" t="s">
        <v>205</v>
      </c>
      <c r="G4038" s="753">
        <f>(114*70)</f>
        <v>7980</v>
      </c>
      <c r="H4038" s="698" t="s">
        <v>563</v>
      </c>
      <c r="I4038" s="706"/>
      <c r="J4038" s="758">
        <v>0.9405</v>
      </c>
      <c r="K4038" s="752">
        <f>+J4038*G4038*E4038</f>
        <v>16361.314200000001</v>
      </c>
      <c r="L4038" s="396"/>
      <c r="M4038" s="54"/>
      <c r="N4038" s="54"/>
      <c r="O4038" s="336"/>
      <c r="P4038" s="334"/>
      <c r="Q4038" s="335"/>
      <c r="R4038" s="336"/>
      <c r="S4038" s="337"/>
    </row>
    <row r="4039" spans="1:19" ht="30" customHeight="1" x14ac:dyDescent="0.25">
      <c r="A4039" s="365" t="s">
        <v>493</v>
      </c>
      <c r="B4039" s="1214" t="s">
        <v>2188</v>
      </c>
      <c r="C4039" s="1215"/>
      <c r="D4039" s="1216"/>
      <c r="E4039" s="752">
        <f>+(1210+3600)/2</f>
        <v>2405</v>
      </c>
      <c r="F4039" s="396" t="s">
        <v>76</v>
      </c>
      <c r="G4039" s="661">
        <v>2</v>
      </c>
      <c r="H4039" s="698" t="s">
        <v>2189</v>
      </c>
      <c r="I4039" s="706">
        <v>1.23</v>
      </c>
      <c r="J4039" s="365"/>
      <c r="K4039" s="752">
        <f>+I4039*G4039*E4039</f>
        <v>5916.3</v>
      </c>
      <c r="L4039" s="396" t="s">
        <v>76</v>
      </c>
      <c r="M4039" s="111"/>
      <c r="N4039" s="54"/>
      <c r="O4039" s="336"/>
      <c r="P4039" s="334"/>
      <c r="Q4039" s="335"/>
      <c r="R4039" s="336"/>
      <c r="S4039" s="337"/>
    </row>
    <row r="4040" spans="1:19" ht="30" customHeight="1" x14ac:dyDescent="0.25">
      <c r="A4040" s="365"/>
      <c r="B4040" s="1209" t="s">
        <v>2190</v>
      </c>
      <c r="C4040" s="1210"/>
      <c r="D4040" s="1211"/>
      <c r="E4040" s="752"/>
      <c r="F4040" s="689"/>
      <c r="G4040" s="661"/>
      <c r="H4040" s="698"/>
      <c r="I4040" s="698"/>
      <c r="J4040" s="365" t="s">
        <v>343</v>
      </c>
      <c r="K4040" s="752">
        <f>(SUM(K4037:K4039)*2)*0.95</f>
        <v>286132.42697999999</v>
      </c>
      <c r="L4040" s="396" t="s">
        <v>76</v>
      </c>
      <c r="M4040" s="54"/>
      <c r="N4040" s="54"/>
      <c r="O4040" s="336"/>
      <c r="P4040" s="334"/>
      <c r="Q4040" s="335"/>
      <c r="R4040" s="336"/>
      <c r="S4040" s="337"/>
    </row>
    <row r="4041" spans="1:19" ht="30" customHeight="1" x14ac:dyDescent="0.25">
      <c r="A4041" s="755"/>
      <c r="B4041" s="1269"/>
      <c r="C4041" s="1269"/>
      <c r="D4041" s="1269"/>
      <c r="E4041" s="247"/>
      <c r="F4041" s="365"/>
      <c r="G4041" s="365"/>
      <c r="H4041" s="365"/>
      <c r="I4041" s="365"/>
      <c r="J4041" s="365" t="s">
        <v>300</v>
      </c>
      <c r="K4041" s="259">
        <f>(+K4036+K4040)/2</f>
        <v>182411.21348999999</v>
      </c>
      <c r="L4041" s="365" t="s">
        <v>76</v>
      </c>
      <c r="M4041" s="54"/>
      <c r="N4041" s="54"/>
      <c r="O4041" s="336"/>
      <c r="P4041" s="334"/>
      <c r="Q4041" s="335"/>
      <c r="R4041" s="336"/>
      <c r="S4041" s="337"/>
    </row>
    <row r="4042" spans="1:19" ht="30" customHeight="1" x14ac:dyDescent="0.25">
      <c r="A4042" s="365"/>
      <c r="B4042" s="578"/>
      <c r="C4042" s="578"/>
      <c r="D4042" s="578"/>
      <c r="E4042" s="247"/>
      <c r="F4042" s="1272" t="s">
        <v>303</v>
      </c>
      <c r="G4042" s="1283" t="s">
        <v>304</v>
      </c>
      <c r="H4042" s="1283"/>
      <c r="I4042" s="1283"/>
      <c r="J4042" s="1283"/>
      <c r="K4042" s="251">
        <v>1.06</v>
      </c>
      <c r="L4042" s="365"/>
      <c r="M4042" s="54"/>
      <c r="N4042" s="54"/>
      <c r="O4042" s="336"/>
      <c r="P4042" s="334"/>
      <c r="Q4042" s="335"/>
      <c r="R4042" s="336"/>
      <c r="S4042" s="337"/>
    </row>
    <row r="4043" spans="1:19" ht="30" customHeight="1" x14ac:dyDescent="0.25">
      <c r="A4043" s="365"/>
      <c r="B4043" s="578"/>
      <c r="C4043" s="578"/>
      <c r="D4043" s="578"/>
      <c r="E4043" s="247"/>
      <c r="F4043" s="1273"/>
      <c r="G4043" s="1284" t="s">
        <v>305</v>
      </c>
      <c r="H4043" s="1284"/>
      <c r="I4043" s="1284"/>
      <c r="J4043" s="1284"/>
      <c r="K4043" s="251">
        <v>1.06</v>
      </c>
      <c r="L4043" s="365"/>
      <c r="M4043" s="54"/>
      <c r="N4043" s="54"/>
      <c r="O4043" s="336"/>
      <c r="P4043" s="334"/>
      <c r="Q4043" s="335"/>
      <c r="R4043" s="336"/>
      <c r="S4043" s="337"/>
    </row>
    <row r="4044" spans="1:19" ht="30" customHeight="1" x14ac:dyDescent="0.25">
      <c r="A4044" s="365"/>
      <c r="B4044" s="365"/>
      <c r="C4044" s="366"/>
      <c r="D4044" s="366"/>
      <c r="E4044" s="366"/>
      <c r="F4044" s="366"/>
      <c r="G4044" s="366"/>
      <c r="H4044" s="366"/>
      <c r="I4044" s="366"/>
      <c r="J4044" s="365" t="s">
        <v>72</v>
      </c>
      <c r="K4044" s="256">
        <f>+K4041*K4042/K4043</f>
        <v>182411.21348999999</v>
      </c>
      <c r="L4044" s="365" t="s">
        <v>76</v>
      </c>
      <c r="M4044" s="54"/>
      <c r="N4044" s="54"/>
      <c r="O4044" s="336"/>
      <c r="P4044" s="334"/>
      <c r="Q4044" s="335"/>
      <c r="R4044" s="336"/>
      <c r="S4044" s="337"/>
    </row>
    <row r="4045" spans="1:19" ht="30" customHeight="1" thickBot="1" x14ac:dyDescent="0.3">
      <c r="A4045" s="365"/>
      <c r="B4045" s="365"/>
      <c r="C4045" s="366"/>
      <c r="D4045" s="366"/>
      <c r="E4045" s="366"/>
      <c r="F4045" s="366"/>
      <c r="G4045" s="580" t="s">
        <v>306</v>
      </c>
      <c r="H4045" s="366"/>
      <c r="I4045" s="366"/>
      <c r="J4045" s="521">
        <f>VLOOKUP(B4030,'Mil Cost Premiums for PUCs'!$A$4:$R$277,18,FALSE)</f>
        <v>1.0209999999999999</v>
      </c>
      <c r="K4045" s="246">
        <f>+K4044*J4045</f>
        <v>186241.84897328998</v>
      </c>
      <c r="L4045" s="365" t="s">
        <v>76</v>
      </c>
      <c r="M4045" s="54"/>
      <c r="N4045" s="54"/>
      <c r="O4045" s="336"/>
      <c r="P4045" s="334"/>
    </row>
    <row r="4046" spans="1:19" ht="30" customHeight="1" thickBot="1" x14ac:dyDescent="0.3">
      <c r="A4046" s="1180"/>
      <c r="B4046" s="1181"/>
      <c r="C4046" s="1181"/>
      <c r="D4046" s="1181"/>
      <c r="E4046" s="1181"/>
      <c r="F4046" s="1181"/>
      <c r="G4046" s="1181"/>
      <c r="H4046" s="1181"/>
      <c r="I4046" s="1181"/>
      <c r="J4046" s="1181"/>
      <c r="K4046" s="1181"/>
      <c r="L4046" s="1182"/>
      <c r="M4046" s="54"/>
      <c r="N4046" s="54"/>
      <c r="O4046" s="336"/>
      <c r="P4046" s="334"/>
    </row>
    <row r="4047" spans="1:19" ht="30" customHeight="1" x14ac:dyDescent="0.25">
      <c r="A4047" s="327" t="s">
        <v>5</v>
      </c>
      <c r="B4047" s="328">
        <v>7522</v>
      </c>
      <c r="C4047" s="1218" t="s">
        <v>2191</v>
      </c>
      <c r="D4047" s="1219"/>
      <c r="E4047" s="331" t="s">
        <v>8</v>
      </c>
      <c r="F4047" s="332" t="s">
        <v>76</v>
      </c>
      <c r="G4047" s="338" t="s">
        <v>2192</v>
      </c>
      <c r="H4047" s="160">
        <v>1</v>
      </c>
      <c r="I4047" s="331" t="s">
        <v>10</v>
      </c>
      <c r="J4047" s="1220" t="s">
        <v>449</v>
      </c>
      <c r="K4047" s="1220"/>
      <c r="L4047" s="1221"/>
      <c r="M4047" s="111"/>
      <c r="N4047" s="54"/>
      <c r="O4047" s="336"/>
      <c r="P4047" s="334"/>
    </row>
    <row r="4048" spans="1:19" ht="30" customHeight="1" x14ac:dyDescent="0.25">
      <c r="A4048" s="356" t="s">
        <v>282</v>
      </c>
      <c r="B4048" s="1163" t="s">
        <v>13</v>
      </c>
      <c r="C4048" s="1163"/>
      <c r="D4048" s="1163"/>
      <c r="E4048" s="546" t="s">
        <v>116</v>
      </c>
      <c r="F4048" s="356" t="s">
        <v>283</v>
      </c>
      <c r="G4048" s="1314" t="s">
        <v>118</v>
      </c>
      <c r="H4048" s="1315"/>
      <c r="I4048" s="1276" t="s">
        <v>284</v>
      </c>
      <c r="J4048" s="1277"/>
      <c r="K4048" s="581" t="s">
        <v>285</v>
      </c>
      <c r="L4048" s="382"/>
      <c r="M4048" s="54"/>
      <c r="N4048" s="54"/>
      <c r="O4048" s="336"/>
      <c r="P4048" s="334"/>
    </row>
    <row r="4049" spans="1:21" ht="30" customHeight="1" x14ac:dyDescent="0.25">
      <c r="A4049" s="365">
        <v>75022</v>
      </c>
      <c r="B4049" s="1214" t="s">
        <v>2193</v>
      </c>
      <c r="C4049" s="1215"/>
      <c r="D4049" s="1216"/>
      <c r="E4049" s="247">
        <v>1200934</v>
      </c>
      <c r="F4049" s="257">
        <v>1</v>
      </c>
      <c r="G4049" s="341"/>
      <c r="H4049" s="367"/>
      <c r="I4049" s="1416">
        <f>+'2022 MILCON Inflation Table'!F18</f>
        <v>1</v>
      </c>
      <c r="J4049" s="1417"/>
      <c r="K4049" s="242">
        <f>+E4049*I4049</f>
        <v>1200934</v>
      </c>
      <c r="L4049" s="367" t="s">
        <v>76</v>
      </c>
      <c r="M4049" s="54"/>
      <c r="N4049" s="54"/>
      <c r="O4049" s="384"/>
      <c r="P4049" s="334"/>
    </row>
    <row r="4050" spans="1:21" ht="30" customHeight="1" thickBot="1" x14ac:dyDescent="0.3">
      <c r="A4050" s="365"/>
      <c r="B4050" s="1214"/>
      <c r="C4050" s="1215"/>
      <c r="D4050" s="1216"/>
      <c r="E4050" s="333"/>
      <c r="F4050" s="744"/>
      <c r="G4050" s="333"/>
      <c r="H4050" s="729"/>
      <c r="I4050" s="366"/>
      <c r="J4050" s="366" t="s">
        <v>72</v>
      </c>
      <c r="K4050" s="243">
        <f>SUM(K4049:K4049)</f>
        <v>1200934</v>
      </c>
      <c r="L4050" s="367" t="s">
        <v>76</v>
      </c>
      <c r="M4050" s="54"/>
      <c r="N4050" s="1758"/>
      <c r="O4050" s="1739"/>
      <c r="P4050" s="1132"/>
    </row>
    <row r="4051" spans="1:21" ht="30" customHeight="1" thickBot="1" x14ac:dyDescent="0.3">
      <c r="A4051" s="1180"/>
      <c r="B4051" s="1181"/>
      <c r="C4051" s="1181"/>
      <c r="D4051" s="1181"/>
      <c r="E4051" s="1181"/>
      <c r="F4051" s="1181"/>
      <c r="G4051" s="1181"/>
      <c r="H4051" s="1181"/>
      <c r="I4051" s="1181"/>
      <c r="J4051" s="1181"/>
      <c r="K4051" s="1181"/>
      <c r="L4051" s="1182"/>
      <c r="M4051" s="54"/>
      <c r="N4051" s="60"/>
      <c r="O4051" s="1754"/>
      <c r="P4051" s="1755"/>
    </row>
    <row r="4052" spans="1:21" ht="30" customHeight="1" x14ac:dyDescent="0.25">
      <c r="A4052" s="327" t="s">
        <v>5</v>
      </c>
      <c r="B4052" s="328">
        <v>7523</v>
      </c>
      <c r="C4052" s="1294" t="s">
        <v>2194</v>
      </c>
      <c r="D4052" s="1295"/>
      <c r="E4052" s="1122" t="s">
        <v>8</v>
      </c>
      <c r="F4052" s="332" t="s">
        <v>76</v>
      </c>
      <c r="G4052" s="1115" t="s">
        <v>7</v>
      </c>
      <c r="H4052" s="347">
        <v>1</v>
      </c>
      <c r="I4052" s="331" t="s">
        <v>10</v>
      </c>
      <c r="J4052" s="1253" t="s">
        <v>2167</v>
      </c>
      <c r="K4052" s="1254"/>
      <c r="L4052" s="1255"/>
      <c r="M4052" s="112"/>
      <c r="N4052" s="10"/>
      <c r="O4052" s="1739"/>
      <c r="P4052" s="1132"/>
      <c r="Q4052" s="335"/>
      <c r="R4052" s="336"/>
      <c r="S4052" s="337"/>
    </row>
    <row r="4053" spans="1:21" ht="30" customHeight="1" x14ac:dyDescent="0.25">
      <c r="A4053" s="356"/>
      <c r="B4053" s="1163" t="s">
        <v>13</v>
      </c>
      <c r="C4053" s="1163"/>
      <c r="D4053" s="1163"/>
      <c r="E4053" s="356" t="s">
        <v>116</v>
      </c>
      <c r="F4053" s="356" t="s">
        <v>117</v>
      </c>
      <c r="G4053" s="1194" t="s">
        <v>118</v>
      </c>
      <c r="H4053" s="1195"/>
      <c r="I4053" s="356" t="s">
        <v>119</v>
      </c>
      <c r="J4053" s="356" t="s">
        <v>120</v>
      </c>
      <c r="K4053" s="1236" t="s">
        <v>72</v>
      </c>
      <c r="L4053" s="1237"/>
      <c r="M4053" s="54"/>
      <c r="N4053" s="54"/>
      <c r="O4053" s="336"/>
      <c r="P4053" s="334"/>
    </row>
    <row r="4054" spans="1:21" ht="30" customHeight="1" thickBot="1" x14ac:dyDescent="0.3">
      <c r="A4054" s="360"/>
      <c r="B4054" s="1179" t="s">
        <v>2194</v>
      </c>
      <c r="C4054" s="1179"/>
      <c r="D4054" s="1179"/>
      <c r="E4054" s="485">
        <v>197395.06</v>
      </c>
      <c r="F4054" s="486"/>
      <c r="G4054" s="1183"/>
      <c r="H4054" s="1184"/>
      <c r="I4054" s="486"/>
      <c r="J4054" s="845">
        <v>1.0833999999999999</v>
      </c>
      <c r="K4054" s="488">
        <f>E4054*J4054</f>
        <v>213857.80800399999</v>
      </c>
      <c r="L4054" s="486" t="s">
        <v>76</v>
      </c>
      <c r="M4054" s="54"/>
      <c r="N4054" s="54"/>
      <c r="P4054" s="334"/>
      <c r="Q4054" s="335"/>
      <c r="R4054" s="336"/>
      <c r="S4054" s="337"/>
    </row>
    <row r="4055" spans="1:21" ht="30" customHeight="1" thickBot="1" x14ac:dyDescent="0.3">
      <c r="A4055" s="1180"/>
      <c r="B4055" s="1181"/>
      <c r="C4055" s="1181"/>
      <c r="D4055" s="1181"/>
      <c r="E4055" s="1181"/>
      <c r="F4055" s="1181"/>
      <c r="G4055" s="1181"/>
      <c r="H4055" s="1181"/>
      <c r="I4055" s="1181"/>
      <c r="J4055" s="1181"/>
      <c r="K4055" s="1181"/>
      <c r="L4055" s="1182"/>
      <c r="M4055" s="54"/>
      <c r="N4055" s="54"/>
      <c r="P4055" s="334"/>
      <c r="Q4055" s="335"/>
      <c r="R4055" s="336"/>
      <c r="S4055" s="337"/>
    </row>
    <row r="4056" spans="1:21" ht="30" customHeight="1" x14ac:dyDescent="0.25">
      <c r="A4056" s="327" t="s">
        <v>5</v>
      </c>
      <c r="B4056" s="328">
        <v>7524</v>
      </c>
      <c r="C4056" s="1251" t="s">
        <v>2195</v>
      </c>
      <c r="D4056" s="1252"/>
      <c r="E4056" s="331" t="s">
        <v>8</v>
      </c>
      <c r="F4056" s="332" t="s">
        <v>76</v>
      </c>
      <c r="G4056" s="333" t="s">
        <v>7</v>
      </c>
      <c r="H4056" s="156">
        <v>1</v>
      </c>
      <c r="I4056" s="331" t="s">
        <v>10</v>
      </c>
      <c r="J4056" s="1220" t="s">
        <v>3388</v>
      </c>
      <c r="K4056" s="1220"/>
      <c r="L4056" s="1221"/>
      <c r="M4056" s="54"/>
      <c r="N4056" s="54"/>
      <c r="P4056" s="334"/>
      <c r="Q4056" s="335"/>
      <c r="R4056" s="336"/>
      <c r="S4056" s="337"/>
    </row>
    <row r="4057" spans="1:21" ht="30" customHeight="1" x14ac:dyDescent="0.25">
      <c r="A4057" s="359" t="s">
        <v>295</v>
      </c>
      <c r="B4057" s="1222" t="s">
        <v>326</v>
      </c>
      <c r="C4057" s="1235"/>
      <c r="D4057" s="1223"/>
      <c r="E4057" s="577" t="s">
        <v>116</v>
      </c>
      <c r="F4057" s="577" t="s">
        <v>117</v>
      </c>
      <c r="G4057" s="1194" t="s">
        <v>118</v>
      </c>
      <c r="H4057" s="1195"/>
      <c r="I4057" s="356" t="s">
        <v>296</v>
      </c>
      <c r="J4057" s="356"/>
      <c r="K4057" s="581" t="s">
        <v>285</v>
      </c>
      <c r="L4057" s="382"/>
      <c r="M4057" s="54"/>
      <c r="N4057" s="54"/>
      <c r="P4057" s="334"/>
      <c r="Q4057" s="335"/>
      <c r="R4057" s="336"/>
      <c r="S4057" s="337"/>
    </row>
    <row r="4058" spans="1:21" ht="30" customHeight="1" x14ac:dyDescent="0.25">
      <c r="A4058" s="359"/>
      <c r="B4058" s="1214" t="s">
        <v>2196</v>
      </c>
      <c r="C4058" s="1215"/>
      <c r="D4058" s="1216"/>
      <c r="E4058" s="577"/>
      <c r="F4058" s="577"/>
      <c r="G4058" s="750"/>
      <c r="H4058" s="751"/>
      <c r="I4058" s="398"/>
      <c r="J4058" s="398"/>
      <c r="K4058" s="577"/>
      <c r="L4058" s="577"/>
      <c r="M4058" s="54"/>
      <c r="N4058" s="54"/>
      <c r="P4058" s="334"/>
      <c r="Q4058" s="335"/>
      <c r="R4058" s="336"/>
      <c r="S4058" s="337"/>
    </row>
    <row r="4059" spans="1:21" ht="30" customHeight="1" x14ac:dyDescent="0.25">
      <c r="A4059" s="755" t="s">
        <v>2197</v>
      </c>
      <c r="B4059" s="1209" t="s">
        <v>2198</v>
      </c>
      <c r="C4059" s="1210"/>
      <c r="D4059" s="1211"/>
      <c r="E4059" s="247">
        <f>(97+218)/2</f>
        <v>157.5</v>
      </c>
      <c r="F4059" s="396" t="s">
        <v>2199</v>
      </c>
      <c r="G4059" s="180">
        <v>10000</v>
      </c>
      <c r="H4059" s="698" t="s">
        <v>2200</v>
      </c>
      <c r="I4059" s="706">
        <v>1.02</v>
      </c>
      <c r="J4059" s="365"/>
      <c r="K4059" s="247">
        <f>+E4059*G4059*I4059</f>
        <v>1606500</v>
      </c>
      <c r="L4059" s="365" t="s">
        <v>76</v>
      </c>
      <c r="M4059" s="54"/>
      <c r="N4059" s="54"/>
      <c r="Q4059" s="335"/>
      <c r="R4059" s="336"/>
      <c r="S4059" s="337"/>
    </row>
    <row r="4060" spans="1:21" ht="30" customHeight="1" x14ac:dyDescent="0.25">
      <c r="A4060" s="755" t="s">
        <v>2197</v>
      </c>
      <c r="B4060" s="1209" t="s">
        <v>2201</v>
      </c>
      <c r="C4060" s="1210"/>
      <c r="D4060" s="1211"/>
      <c r="E4060" s="247">
        <f>+(251+357)/2</f>
        <v>304</v>
      </c>
      <c r="F4060" s="396" t="s">
        <v>2199</v>
      </c>
      <c r="G4060" s="180">
        <v>10000</v>
      </c>
      <c r="H4060" s="698" t="s">
        <v>2200</v>
      </c>
      <c r="I4060" s="706">
        <v>1.02</v>
      </c>
      <c r="J4060" s="365"/>
      <c r="K4060" s="247">
        <f>+E4060*G4060*I4060</f>
        <v>3100800</v>
      </c>
      <c r="L4060" s="365" t="s">
        <v>76</v>
      </c>
      <c r="M4060" s="54"/>
      <c r="N4060" s="54"/>
      <c r="O4060" s="73"/>
      <c r="Q4060" s="335"/>
      <c r="R4060" s="336"/>
      <c r="S4060" s="337"/>
      <c r="U4060" s="10"/>
    </row>
    <row r="4061" spans="1:21" ht="30" customHeight="1" x14ac:dyDescent="0.25">
      <c r="A4061" s="755" t="s">
        <v>2197</v>
      </c>
      <c r="B4061" s="1209" t="s">
        <v>2202</v>
      </c>
      <c r="C4061" s="1215"/>
      <c r="D4061" s="1216"/>
      <c r="E4061" s="247">
        <f>+(357+486)/2</f>
        <v>421.5</v>
      </c>
      <c r="F4061" s="396" t="s">
        <v>2199</v>
      </c>
      <c r="G4061" s="180">
        <v>10000</v>
      </c>
      <c r="H4061" s="698" t="s">
        <v>2200</v>
      </c>
      <c r="I4061" s="706">
        <v>1.02</v>
      </c>
      <c r="J4061" s="365"/>
      <c r="K4061" s="247">
        <f>+E4061*G4061*I4061</f>
        <v>4299300</v>
      </c>
      <c r="L4061" s="365" t="s">
        <v>76</v>
      </c>
      <c r="M4061" s="54"/>
      <c r="O4061" s="336"/>
      <c r="P4061" s="334"/>
      <c r="Q4061" s="335"/>
      <c r="R4061" s="336"/>
      <c r="S4061" s="337"/>
    </row>
    <row r="4062" spans="1:21" ht="30" customHeight="1" x14ac:dyDescent="0.25">
      <c r="A4062" s="755"/>
      <c r="B4062" s="1269"/>
      <c r="C4062" s="1269"/>
      <c r="D4062" s="1269"/>
      <c r="E4062" s="247"/>
      <c r="F4062" s="365"/>
      <c r="G4062" s="365"/>
      <c r="H4062" s="365"/>
      <c r="I4062" s="365"/>
      <c r="J4062" s="365" t="s">
        <v>300</v>
      </c>
      <c r="K4062" s="247">
        <f>AVERAGE(K4059:K4061)</f>
        <v>3002200</v>
      </c>
      <c r="L4062" s="365" t="s">
        <v>76</v>
      </c>
      <c r="M4062" s="54"/>
      <c r="N4062" s="54"/>
      <c r="O4062" s="73"/>
      <c r="Q4062" s="337"/>
      <c r="R4062" s="336"/>
      <c r="U4062" s="10"/>
    </row>
    <row r="4063" spans="1:21" ht="30" customHeight="1" x14ac:dyDescent="0.25">
      <c r="A4063" s="365"/>
      <c r="B4063" s="578"/>
      <c r="C4063" s="578"/>
      <c r="D4063" s="578"/>
      <c r="E4063" s="247"/>
      <c r="F4063" s="1272" t="s">
        <v>303</v>
      </c>
      <c r="G4063" s="1283" t="s">
        <v>304</v>
      </c>
      <c r="H4063" s="1283"/>
      <c r="I4063" s="1283"/>
      <c r="J4063" s="1283"/>
      <c r="K4063" s="250">
        <v>1.07</v>
      </c>
      <c r="L4063" s="365"/>
      <c r="M4063" s="54"/>
      <c r="N4063" s="54"/>
      <c r="O4063" s="336"/>
      <c r="P4063" s="334"/>
      <c r="T4063" s="10"/>
      <c r="U4063" s="10"/>
    </row>
    <row r="4064" spans="1:21" ht="30" customHeight="1" x14ac:dyDescent="0.25">
      <c r="A4064" s="365"/>
      <c r="B4064" s="578"/>
      <c r="C4064" s="578"/>
      <c r="D4064" s="578"/>
      <c r="E4064" s="247"/>
      <c r="F4064" s="1273"/>
      <c r="G4064" s="1284" t="s">
        <v>438</v>
      </c>
      <c r="H4064" s="1284"/>
      <c r="I4064" s="1284"/>
      <c r="J4064" s="1284"/>
      <c r="K4064" s="250">
        <v>1.08</v>
      </c>
      <c r="L4064" s="365"/>
      <c r="M4064" s="54"/>
      <c r="N4064" s="54"/>
      <c r="O4064" s="336"/>
      <c r="P4064" s="344"/>
      <c r="T4064" s="10"/>
    </row>
    <row r="4065" spans="1:26" ht="30" customHeight="1" x14ac:dyDescent="0.25">
      <c r="A4065" s="755"/>
      <c r="B4065" s="1269"/>
      <c r="C4065" s="1269"/>
      <c r="D4065" s="1269"/>
      <c r="E4065" s="247"/>
      <c r="F4065" s="365"/>
      <c r="G4065" s="365"/>
      <c r="H4065" s="365"/>
      <c r="I4065" s="365"/>
      <c r="J4065" s="365" t="s">
        <v>72</v>
      </c>
      <c r="K4065" s="247">
        <f>+K4062*K4063/K4064</f>
        <v>2974401.8518518517</v>
      </c>
      <c r="L4065" s="365" t="s">
        <v>76</v>
      </c>
      <c r="M4065" s="111"/>
      <c r="N4065" s="54"/>
      <c r="O4065" s="336"/>
      <c r="P4065" s="344"/>
      <c r="T4065" s="10"/>
      <c r="U4065" s="345"/>
    </row>
    <row r="4066" spans="1:26" ht="30" customHeight="1" x14ac:dyDescent="0.25">
      <c r="A4066" s="365"/>
      <c r="B4066" s="365"/>
      <c r="C4066" s="366"/>
      <c r="D4066" s="366"/>
      <c r="E4066" s="366"/>
      <c r="F4066" s="366"/>
      <c r="G4066" s="580" t="s">
        <v>306</v>
      </c>
      <c r="H4066" s="366"/>
      <c r="I4066" s="366"/>
      <c r="J4066" s="521">
        <f>VLOOKUP(B4056,'Mil Cost Premiums for PUCs'!$A$4:$R$277,18,FALSE)</f>
        <v>1.1199953840399997</v>
      </c>
      <c r="K4066" s="246">
        <f>+K4062*J4066</f>
        <v>3362450.1419648868</v>
      </c>
      <c r="L4066" s="365" t="s">
        <v>76</v>
      </c>
      <c r="M4066" s="54"/>
      <c r="N4066" s="73"/>
      <c r="O4066" s="336"/>
      <c r="P4066" s="344"/>
      <c r="U4066" s="345"/>
      <c r="V4066" s="345"/>
      <c r="W4066" s="345"/>
      <c r="X4066" s="345"/>
      <c r="Y4066" s="345"/>
    </row>
    <row r="4067" spans="1:26" ht="30" customHeight="1" thickBot="1" x14ac:dyDescent="0.3">
      <c r="A4067" s="844"/>
      <c r="B4067" s="971"/>
      <c r="C4067" s="972"/>
      <c r="D4067" s="972"/>
      <c r="E4067" s="850"/>
      <c r="F4067" s="1278" t="s">
        <v>1148</v>
      </c>
      <c r="G4067" s="1278"/>
      <c r="H4067" s="1278"/>
      <c r="I4067" s="1278"/>
      <c r="J4067" s="845">
        <v>1.0833999999999999</v>
      </c>
      <c r="K4067" s="544">
        <f>K4066*J4067</f>
        <v>3642878.4838047582</v>
      </c>
      <c r="L4067" s="365" t="s">
        <v>76</v>
      </c>
      <c r="N4067" s="126"/>
      <c r="O4067" s="336"/>
      <c r="P4067" s="344"/>
      <c r="Q4067" s="345"/>
      <c r="R4067" s="345"/>
      <c r="S4067" s="345"/>
      <c r="T4067" s="345"/>
      <c r="U4067" s="345"/>
      <c r="V4067" s="345"/>
      <c r="W4067" s="345"/>
      <c r="X4067" s="345"/>
      <c r="Y4067" s="345"/>
      <c r="Z4067" s="345"/>
    </row>
    <row r="4068" spans="1:26" ht="30" customHeight="1" thickBot="1" x14ac:dyDescent="0.3">
      <c r="A4068" s="1180"/>
      <c r="B4068" s="1181"/>
      <c r="C4068" s="1181"/>
      <c r="D4068" s="1181"/>
      <c r="E4068" s="1181"/>
      <c r="F4068" s="1181"/>
      <c r="G4068" s="1181"/>
      <c r="H4068" s="1181"/>
      <c r="I4068" s="1181"/>
      <c r="J4068" s="1181"/>
      <c r="K4068" s="1181"/>
      <c r="L4068" s="1182"/>
      <c r="M4068" s="54"/>
      <c r="N4068" s="54"/>
      <c r="O4068" s="336"/>
      <c r="P4068" s="344"/>
      <c r="Q4068" s="345"/>
      <c r="R4068" s="345"/>
      <c r="S4068" s="345"/>
      <c r="T4068" s="345"/>
      <c r="U4068" s="345"/>
      <c r="V4068" s="345"/>
      <c r="W4068" s="345"/>
      <c r="X4068" s="345"/>
      <c r="Y4068" s="345"/>
      <c r="Z4068" s="345"/>
    </row>
    <row r="4069" spans="1:26" ht="30" customHeight="1" x14ac:dyDescent="0.25">
      <c r="A4069" s="327" t="s">
        <v>5</v>
      </c>
      <c r="B4069" s="328">
        <v>7531</v>
      </c>
      <c r="C4069" s="1251" t="s">
        <v>2203</v>
      </c>
      <c r="D4069" s="1252"/>
      <c r="E4069" s="331" t="s">
        <v>8</v>
      </c>
      <c r="F4069" s="332" t="s">
        <v>205</v>
      </c>
      <c r="G4069" s="342" t="s">
        <v>74</v>
      </c>
      <c r="H4069" s="156">
        <v>731</v>
      </c>
      <c r="I4069" s="331" t="s">
        <v>10</v>
      </c>
      <c r="J4069" s="1220" t="s">
        <v>3388</v>
      </c>
      <c r="K4069" s="1220"/>
      <c r="L4069" s="1221"/>
      <c r="M4069" s="54"/>
      <c r="N4069" s="54"/>
      <c r="O4069" s="336"/>
      <c r="Q4069" s="345"/>
      <c r="R4069" s="345"/>
      <c r="S4069" s="345"/>
      <c r="T4069" s="345"/>
      <c r="U4069" s="345"/>
      <c r="V4069" s="345"/>
      <c r="W4069" s="345"/>
      <c r="X4069" s="345"/>
      <c r="Y4069" s="345"/>
      <c r="Z4069" s="345"/>
    </row>
    <row r="4070" spans="1:26" s="345" customFormat="1" ht="30" customHeight="1" x14ac:dyDescent="0.25">
      <c r="A4070" s="359" t="s">
        <v>295</v>
      </c>
      <c r="B4070" s="1222" t="s">
        <v>326</v>
      </c>
      <c r="C4070" s="1235"/>
      <c r="D4070" s="1223"/>
      <c r="E4070" s="577" t="s">
        <v>116</v>
      </c>
      <c r="F4070" s="577" t="s">
        <v>117</v>
      </c>
      <c r="G4070" s="1614" t="s">
        <v>118</v>
      </c>
      <c r="H4070" s="1615"/>
      <c r="I4070" s="356" t="s">
        <v>296</v>
      </c>
      <c r="J4070" s="356"/>
      <c r="K4070" s="581" t="s">
        <v>285</v>
      </c>
      <c r="L4070" s="382"/>
      <c r="M4070" s="54"/>
      <c r="N4070" s="54"/>
      <c r="O4070" s="336"/>
      <c r="P4070" s="340"/>
      <c r="U4070" s="10"/>
      <c r="V4070" s="334"/>
      <c r="W4070" s="334"/>
      <c r="X4070" s="334"/>
      <c r="Y4070" s="334"/>
    </row>
    <row r="4071" spans="1:26" ht="30" customHeight="1" x14ac:dyDescent="0.25">
      <c r="A4071" s="365" t="s">
        <v>2204</v>
      </c>
      <c r="B4071" s="1214" t="s">
        <v>2205</v>
      </c>
      <c r="C4071" s="1215"/>
      <c r="D4071" s="1216"/>
      <c r="E4071" s="7">
        <v>93.5</v>
      </c>
      <c r="F4071" s="396" t="s">
        <v>205</v>
      </c>
      <c r="G4071" s="689"/>
      <c r="H4071" s="690"/>
      <c r="I4071" s="365">
        <v>1.06</v>
      </c>
      <c r="J4071" s="365"/>
      <c r="K4071" s="716">
        <f>+I4071*E4071</f>
        <v>99.11</v>
      </c>
      <c r="L4071" s="396" t="s">
        <v>205</v>
      </c>
      <c r="M4071" s="54"/>
      <c r="O4071" s="336"/>
      <c r="P4071" s="334"/>
      <c r="Q4071" s="335"/>
      <c r="R4071" s="336"/>
      <c r="S4071" s="337"/>
    </row>
    <row r="4072" spans="1:26" s="345" customFormat="1" ht="30" customHeight="1" x14ac:dyDescent="0.25">
      <c r="A4072" s="365"/>
      <c r="B4072" s="578"/>
      <c r="C4072" s="578"/>
      <c r="D4072" s="578"/>
      <c r="E4072" s="247"/>
      <c r="F4072" s="1272" t="s">
        <v>303</v>
      </c>
      <c r="G4072" s="1283" t="s">
        <v>304</v>
      </c>
      <c r="H4072" s="1283"/>
      <c r="I4072" s="1283"/>
      <c r="J4072" s="1283"/>
      <c r="K4072" s="250">
        <v>1.07</v>
      </c>
      <c r="L4072" s="365"/>
      <c r="M4072" s="54"/>
      <c r="N4072" s="54"/>
      <c r="O4072" s="334"/>
      <c r="P4072" s="334"/>
      <c r="U4072" s="10"/>
      <c r="V4072" s="334"/>
      <c r="W4072" s="334"/>
      <c r="X4072" s="334"/>
      <c r="Y4072" s="334"/>
      <c r="Z4072" s="334"/>
    </row>
    <row r="4073" spans="1:26" s="345" customFormat="1" ht="30" customHeight="1" x14ac:dyDescent="0.25">
      <c r="A4073" s="365"/>
      <c r="B4073" s="578"/>
      <c r="C4073" s="578"/>
      <c r="D4073" s="578"/>
      <c r="E4073" s="247"/>
      <c r="F4073" s="1273"/>
      <c r="G4073" s="1284" t="s">
        <v>438</v>
      </c>
      <c r="H4073" s="1284"/>
      <c r="I4073" s="1284"/>
      <c r="J4073" s="1284"/>
      <c r="K4073" s="250">
        <v>1.08</v>
      </c>
      <c r="L4073" s="365"/>
      <c r="M4073" s="54"/>
      <c r="N4073" s="54"/>
      <c r="O4073" s="334"/>
      <c r="P4073" s="334"/>
      <c r="Q4073" s="334"/>
      <c r="R4073" s="334"/>
      <c r="S4073" s="334"/>
      <c r="T4073" s="10"/>
      <c r="U4073" s="334"/>
      <c r="V4073" s="334"/>
      <c r="W4073" s="334"/>
      <c r="X4073" s="334"/>
      <c r="Y4073" s="334"/>
      <c r="Z4073" s="334"/>
    </row>
    <row r="4074" spans="1:26" s="345" customFormat="1" ht="30" customHeight="1" x14ac:dyDescent="0.25">
      <c r="A4074" s="755"/>
      <c r="B4074" s="1214"/>
      <c r="C4074" s="1215"/>
      <c r="D4074" s="1216"/>
      <c r="E4074" s="247"/>
      <c r="F4074" s="396"/>
      <c r="G4074" s="661"/>
      <c r="H4074" s="698"/>
      <c r="I4074" s="365"/>
      <c r="J4074" s="365" t="s">
        <v>72</v>
      </c>
      <c r="K4074" s="246">
        <f>+K4071*K4072/K4073</f>
        <v>98.192314814814807</v>
      </c>
      <c r="L4074" s="365" t="s">
        <v>205</v>
      </c>
      <c r="M4074" s="54"/>
      <c r="N4074" s="54"/>
      <c r="O4074" s="334"/>
      <c r="P4074" s="334"/>
      <c r="Q4074" s="334"/>
      <c r="R4074" s="334"/>
      <c r="S4074" s="334"/>
      <c r="T4074" s="10"/>
      <c r="U4074" s="334"/>
      <c r="V4074" s="334"/>
      <c r="W4074" s="334"/>
      <c r="X4074" s="334"/>
      <c r="Y4074" s="334"/>
      <c r="Z4074" s="334"/>
    </row>
    <row r="4075" spans="1:26" ht="30" customHeight="1" x14ac:dyDescent="0.25">
      <c r="A4075" s="365"/>
      <c r="B4075" s="365"/>
      <c r="C4075" s="366"/>
      <c r="D4075" s="366"/>
      <c r="E4075" s="366"/>
      <c r="F4075" s="366"/>
      <c r="G4075" s="580" t="s">
        <v>306</v>
      </c>
      <c r="H4075" s="366"/>
      <c r="I4075" s="366"/>
      <c r="J4075" s="521">
        <f>VLOOKUP(B4069,'Mil Cost Premiums for PUCs'!$A$4:$R$277,18,FALSE)</f>
        <v>1.0209999999999999</v>
      </c>
      <c r="K4075" s="246">
        <f>+K4074*J4075</f>
        <v>100.25435342592591</v>
      </c>
      <c r="L4075" s="365" t="s">
        <v>205</v>
      </c>
      <c r="M4075" s="54"/>
      <c r="N4075" s="54"/>
      <c r="O4075" s="543"/>
      <c r="P4075" s="334"/>
      <c r="Q4075" s="335"/>
      <c r="R4075" s="336"/>
      <c r="S4075" s="337"/>
    </row>
    <row r="4076" spans="1:26" ht="30" customHeight="1" thickBot="1" x14ac:dyDescent="0.3">
      <c r="A4076" s="844"/>
      <c r="B4076" s="971"/>
      <c r="C4076" s="972"/>
      <c r="D4076" s="972"/>
      <c r="E4076" s="850"/>
      <c r="F4076" s="1278" t="s">
        <v>1148</v>
      </c>
      <c r="G4076" s="1278"/>
      <c r="H4076" s="1278"/>
      <c r="I4076" s="1278"/>
      <c r="J4076" s="845">
        <v>1.0833999999999999</v>
      </c>
      <c r="K4076" s="544">
        <f>K4075*J4076</f>
        <v>108.61556650164813</v>
      </c>
      <c r="L4076" s="365" t="s">
        <v>205</v>
      </c>
      <c r="N4076" s="54"/>
      <c r="O4076" s="543"/>
      <c r="P4076" s="334"/>
      <c r="Q4076" s="335"/>
      <c r="R4076" s="336"/>
      <c r="S4076" s="337"/>
    </row>
    <row r="4077" spans="1:26" ht="30" customHeight="1" thickBot="1" x14ac:dyDescent="0.3">
      <c r="A4077" s="1180"/>
      <c r="B4077" s="1181"/>
      <c r="C4077" s="1181"/>
      <c r="D4077" s="1181"/>
      <c r="E4077" s="1181"/>
      <c r="F4077" s="1181"/>
      <c r="G4077" s="1181"/>
      <c r="H4077" s="1181"/>
      <c r="I4077" s="1181"/>
      <c r="J4077" s="1181"/>
      <c r="K4077" s="1181"/>
      <c r="L4077" s="1182"/>
      <c r="M4077" s="54"/>
      <c r="N4077" s="54"/>
      <c r="O4077" s="543"/>
      <c r="P4077" s="334"/>
      <c r="Q4077" s="335"/>
      <c r="R4077" s="336"/>
      <c r="S4077" s="337"/>
    </row>
    <row r="4078" spans="1:26" ht="30" customHeight="1" x14ac:dyDescent="0.25">
      <c r="A4078" s="327" t="s">
        <v>5</v>
      </c>
      <c r="B4078" s="328">
        <v>7532</v>
      </c>
      <c r="C4078" s="1251" t="s">
        <v>2206</v>
      </c>
      <c r="D4078" s="1252"/>
      <c r="E4078" s="331" t="s">
        <v>8</v>
      </c>
      <c r="F4078" s="332" t="s">
        <v>76</v>
      </c>
      <c r="G4078" s="333" t="s">
        <v>7</v>
      </c>
      <c r="H4078" s="156">
        <v>1</v>
      </c>
      <c r="I4078" s="331" t="s">
        <v>10</v>
      </c>
      <c r="J4078" s="1220" t="s">
        <v>3388</v>
      </c>
      <c r="K4078" s="1220"/>
      <c r="L4078" s="1221"/>
      <c r="M4078" s="54"/>
      <c r="N4078" s="54"/>
      <c r="O4078" s="543"/>
      <c r="P4078" s="334"/>
      <c r="Q4078" s="335"/>
      <c r="R4078" s="336"/>
      <c r="S4078" s="337"/>
    </row>
    <row r="4079" spans="1:26" ht="30" customHeight="1" x14ac:dyDescent="0.25">
      <c r="A4079" s="359" t="s">
        <v>295</v>
      </c>
      <c r="B4079" s="1222" t="s">
        <v>326</v>
      </c>
      <c r="C4079" s="1235"/>
      <c r="D4079" s="1223"/>
      <c r="E4079" s="577" t="s">
        <v>116</v>
      </c>
      <c r="F4079" s="577" t="s">
        <v>117</v>
      </c>
      <c r="G4079" s="1194" t="s">
        <v>118</v>
      </c>
      <c r="H4079" s="1195"/>
      <c r="I4079" s="356" t="s">
        <v>296</v>
      </c>
      <c r="J4079" s="356"/>
      <c r="K4079" s="581" t="s">
        <v>285</v>
      </c>
      <c r="L4079" s="382"/>
      <c r="M4079" s="54"/>
      <c r="N4079" s="54"/>
      <c r="O4079" s="543"/>
      <c r="P4079" s="334"/>
      <c r="Q4079" s="335"/>
      <c r="R4079" s="336"/>
      <c r="S4079" s="337"/>
    </row>
    <row r="4080" spans="1:26" ht="30" customHeight="1" x14ac:dyDescent="0.25">
      <c r="A4080" s="365" t="s">
        <v>2207</v>
      </c>
      <c r="B4080" s="1214" t="s">
        <v>2208</v>
      </c>
      <c r="C4080" s="1215"/>
      <c r="D4080" s="1216"/>
      <c r="E4080" s="7">
        <v>1970</v>
      </c>
      <c r="F4080" s="396" t="s">
        <v>2209</v>
      </c>
      <c r="G4080" s="689">
        <v>75</v>
      </c>
      <c r="H4080" s="690" t="s">
        <v>2210</v>
      </c>
      <c r="I4080" s="706">
        <v>1.02</v>
      </c>
      <c r="J4080" s="706"/>
      <c r="K4080" s="716">
        <f>+E4080*G4080*I4080</f>
        <v>150705</v>
      </c>
      <c r="L4080" s="396" t="s">
        <v>76</v>
      </c>
      <c r="M4080" s="54"/>
      <c r="O4080" s="336"/>
      <c r="P4080" s="334"/>
      <c r="Q4080" s="335"/>
      <c r="R4080" s="336"/>
      <c r="S4080" s="337"/>
    </row>
    <row r="4081" spans="1:19" ht="30" customHeight="1" x14ac:dyDescent="0.25">
      <c r="A4081" s="755"/>
      <c r="B4081" s="1269" t="s">
        <v>2211</v>
      </c>
      <c r="C4081" s="1269"/>
      <c r="D4081" s="1269"/>
      <c r="E4081" s="247"/>
      <c r="F4081" s="365"/>
      <c r="G4081" s="365"/>
      <c r="H4081" s="365"/>
      <c r="I4081" s="365"/>
      <c r="J4081" s="365"/>
      <c r="K4081" s="247"/>
      <c r="L4081" s="365"/>
      <c r="M4081" s="210"/>
      <c r="N4081" s="54"/>
      <c r="O4081" s="543"/>
      <c r="P4081" s="334"/>
      <c r="Q4081" s="335"/>
      <c r="R4081" s="336"/>
      <c r="S4081" s="337"/>
    </row>
    <row r="4082" spans="1:19" ht="30" customHeight="1" x14ac:dyDescent="0.25">
      <c r="A4082" s="365"/>
      <c r="B4082" s="578"/>
      <c r="C4082" s="578"/>
      <c r="D4082" s="578"/>
      <c r="E4082" s="247"/>
      <c r="F4082" s="1272" t="s">
        <v>303</v>
      </c>
      <c r="G4082" s="1283" t="s">
        <v>304</v>
      </c>
      <c r="H4082" s="1283"/>
      <c r="I4082" s="1283"/>
      <c r="J4082" s="1283"/>
      <c r="K4082" s="250">
        <v>1.07</v>
      </c>
      <c r="L4082" s="365"/>
      <c r="M4082" s="212"/>
      <c r="N4082" s="54"/>
      <c r="P4082" s="334"/>
      <c r="Q4082" s="335"/>
      <c r="R4082" s="336"/>
      <c r="S4082" s="337"/>
    </row>
    <row r="4083" spans="1:19" ht="30" customHeight="1" x14ac:dyDescent="0.25">
      <c r="A4083" s="365"/>
      <c r="B4083" s="578"/>
      <c r="C4083" s="578"/>
      <c r="D4083" s="578"/>
      <c r="E4083" s="247"/>
      <c r="F4083" s="1273"/>
      <c r="G4083" s="1284" t="s">
        <v>438</v>
      </c>
      <c r="H4083" s="1284"/>
      <c r="I4083" s="1284"/>
      <c r="J4083" s="1284"/>
      <c r="K4083" s="250">
        <v>1.08</v>
      </c>
      <c r="L4083" s="365"/>
      <c r="M4083" s="54"/>
      <c r="N4083" s="54"/>
      <c r="P4083" s="334"/>
      <c r="Q4083" s="335"/>
      <c r="R4083" s="336"/>
      <c r="S4083" s="337"/>
    </row>
    <row r="4084" spans="1:19" ht="30" customHeight="1" x14ac:dyDescent="0.25">
      <c r="A4084" s="365"/>
      <c r="B4084" s="365"/>
      <c r="C4084" s="366"/>
      <c r="D4084" s="366"/>
      <c r="E4084" s="366"/>
      <c r="F4084" s="366"/>
      <c r="G4084" s="366"/>
      <c r="H4084" s="366"/>
      <c r="I4084" s="366"/>
      <c r="J4084" s="365" t="s">
        <v>72</v>
      </c>
      <c r="K4084" s="246">
        <f>+K4080*K4082/K4083</f>
        <v>149309.58333333334</v>
      </c>
      <c r="L4084" s="365" t="s">
        <v>76</v>
      </c>
      <c r="M4084" s="54"/>
      <c r="N4084" s="54"/>
      <c r="O4084" s="336"/>
      <c r="P4084" s="334"/>
      <c r="Q4084" s="335"/>
      <c r="R4084" s="336"/>
      <c r="S4084" s="337"/>
    </row>
    <row r="4085" spans="1:19" ht="30" customHeight="1" x14ac:dyDescent="0.25">
      <c r="A4085" s="365"/>
      <c r="B4085" s="365"/>
      <c r="C4085" s="366"/>
      <c r="D4085" s="366"/>
      <c r="E4085" s="366"/>
      <c r="F4085" s="366"/>
      <c r="G4085" s="580" t="s">
        <v>306</v>
      </c>
      <c r="H4085" s="366"/>
      <c r="I4085" s="366"/>
      <c r="J4085" s="521">
        <f>VLOOKUP(B4078,'Mil Cost Premiums for PUCs'!$A$4:$R$277,18,FALSE)</f>
        <v>1.0485669999999998</v>
      </c>
      <c r="K4085" s="246">
        <f>+K4084*J4085</f>
        <v>156561.10186708331</v>
      </c>
      <c r="L4085" s="365" t="s">
        <v>76</v>
      </c>
      <c r="M4085" s="54"/>
      <c r="N4085" s="54"/>
      <c r="O4085" s="336"/>
      <c r="P4085" s="334"/>
      <c r="Q4085" s="335"/>
      <c r="R4085" s="336"/>
      <c r="S4085" s="337"/>
    </row>
    <row r="4086" spans="1:19" ht="30" customHeight="1" thickBot="1" x14ac:dyDescent="0.3">
      <c r="A4086" s="844"/>
      <c r="B4086" s="971"/>
      <c r="C4086" s="972"/>
      <c r="D4086" s="972"/>
      <c r="E4086" s="850"/>
      <c r="F4086" s="1278" t="s">
        <v>1148</v>
      </c>
      <c r="G4086" s="1278"/>
      <c r="H4086" s="1278"/>
      <c r="I4086" s="1278"/>
      <c r="J4086" s="845">
        <v>1.0833999999999999</v>
      </c>
      <c r="K4086" s="544">
        <f>K4085*J4086</f>
        <v>169618.29776279806</v>
      </c>
      <c r="L4086" s="365" t="s">
        <v>76</v>
      </c>
      <c r="N4086" s="54"/>
      <c r="O4086" s="336"/>
      <c r="P4086" s="334"/>
      <c r="Q4086" s="335"/>
      <c r="R4086" s="336"/>
      <c r="S4086" s="337"/>
    </row>
    <row r="4087" spans="1:19" ht="30" customHeight="1" thickBot="1" x14ac:dyDescent="0.3">
      <c r="A4087" s="1180"/>
      <c r="B4087" s="1181"/>
      <c r="C4087" s="1181"/>
      <c r="D4087" s="1181"/>
      <c r="E4087" s="1181"/>
      <c r="F4087" s="1181"/>
      <c r="G4087" s="1181"/>
      <c r="H4087" s="1181"/>
      <c r="I4087" s="1181"/>
      <c r="J4087" s="1181"/>
      <c r="K4087" s="1181"/>
      <c r="L4087" s="1182"/>
      <c r="M4087" s="54"/>
      <c r="N4087" s="54"/>
      <c r="O4087" s="336"/>
      <c r="P4087" s="334"/>
      <c r="Q4087" s="335"/>
      <c r="R4087" s="336"/>
      <c r="S4087" s="337"/>
    </row>
    <row r="4088" spans="1:19" ht="30" customHeight="1" x14ac:dyDescent="0.25">
      <c r="A4088" s="327" t="s">
        <v>5</v>
      </c>
      <c r="B4088" s="328">
        <v>7541</v>
      </c>
      <c r="C4088" s="1251" t="s">
        <v>2212</v>
      </c>
      <c r="D4088" s="1252"/>
      <c r="E4088" s="331" t="s">
        <v>8</v>
      </c>
      <c r="F4088" s="332" t="s">
        <v>76</v>
      </c>
      <c r="G4088" s="333" t="s">
        <v>7</v>
      </c>
      <c r="H4088" s="156">
        <v>1</v>
      </c>
      <c r="I4088" s="331" t="s">
        <v>10</v>
      </c>
      <c r="J4088" s="1220" t="s">
        <v>3388</v>
      </c>
      <c r="K4088" s="1220"/>
      <c r="L4088" s="1221"/>
      <c r="M4088" s="54"/>
      <c r="N4088" s="54"/>
      <c r="O4088" s="336"/>
      <c r="P4088" s="334"/>
      <c r="Q4088" s="335"/>
      <c r="R4088" s="336"/>
      <c r="S4088" s="337"/>
    </row>
    <row r="4089" spans="1:19" ht="30" customHeight="1" x14ac:dyDescent="0.25">
      <c r="A4089" s="359" t="s">
        <v>295</v>
      </c>
      <c r="B4089" s="1222" t="s">
        <v>326</v>
      </c>
      <c r="C4089" s="1235"/>
      <c r="D4089" s="1223"/>
      <c r="E4089" s="577" t="s">
        <v>116</v>
      </c>
      <c r="F4089" s="577" t="s">
        <v>117</v>
      </c>
      <c r="G4089" s="1194" t="s">
        <v>118</v>
      </c>
      <c r="H4089" s="1195"/>
      <c r="I4089" s="356" t="s">
        <v>296</v>
      </c>
      <c r="J4089" s="974" t="s">
        <v>2213</v>
      </c>
      <c r="K4089" s="581" t="s">
        <v>285</v>
      </c>
      <c r="L4089" s="382"/>
      <c r="M4089" s="54"/>
      <c r="N4089" s="54"/>
      <c r="O4089" s="336"/>
      <c r="P4089" s="334"/>
      <c r="Q4089" s="335"/>
      <c r="R4089" s="336"/>
      <c r="S4089" s="337"/>
    </row>
    <row r="4090" spans="1:19" ht="30" customHeight="1" x14ac:dyDescent="0.25">
      <c r="A4090" s="365" t="s">
        <v>2214</v>
      </c>
      <c r="B4090" s="1209" t="s">
        <v>2215</v>
      </c>
      <c r="C4090" s="1210"/>
      <c r="D4090" s="1211"/>
      <c r="E4090" s="7">
        <f>(665+540+1070+690+775+690+327+1030+2050)</f>
        <v>7837</v>
      </c>
      <c r="F4090" s="396" t="s">
        <v>2216</v>
      </c>
      <c r="G4090" s="689">
        <v>40</v>
      </c>
      <c r="H4090" s="690" t="s">
        <v>2217</v>
      </c>
      <c r="I4090" s="706">
        <v>1.01</v>
      </c>
      <c r="J4090" s="365">
        <v>1.07</v>
      </c>
      <c r="K4090" s="716">
        <f>+E4090*G4090*I4090*J4090</f>
        <v>338777.83600000001</v>
      </c>
      <c r="L4090" s="396" t="s">
        <v>76</v>
      </c>
      <c r="M4090" s="54"/>
      <c r="N4090" s="54"/>
      <c r="O4090" s="336"/>
      <c r="P4090" s="334"/>
      <c r="Q4090" s="335"/>
      <c r="R4090" s="336"/>
      <c r="S4090" s="337"/>
    </row>
    <row r="4091" spans="1:19" ht="30" customHeight="1" x14ac:dyDescent="0.25">
      <c r="A4091" s="365"/>
      <c r="B4091" s="578"/>
      <c r="C4091" s="578"/>
      <c r="D4091" s="578"/>
      <c r="E4091" s="247"/>
      <c r="F4091" s="1272" t="s">
        <v>303</v>
      </c>
      <c r="G4091" s="1283" t="s">
        <v>304</v>
      </c>
      <c r="H4091" s="1283"/>
      <c r="I4091" s="1283"/>
      <c r="J4091" s="1283"/>
      <c r="K4091" s="250">
        <v>1.07</v>
      </c>
      <c r="L4091" s="365"/>
      <c r="M4091" s="54"/>
      <c r="N4091" s="54"/>
      <c r="O4091" s="73"/>
      <c r="P4091" s="334"/>
      <c r="Q4091" s="335"/>
      <c r="R4091" s="336"/>
      <c r="S4091" s="337"/>
    </row>
    <row r="4092" spans="1:19" ht="30" customHeight="1" x14ac:dyDescent="0.25">
      <c r="A4092" s="365"/>
      <c r="B4092" s="578"/>
      <c r="C4092" s="578"/>
      <c r="D4092" s="578"/>
      <c r="E4092" s="247"/>
      <c r="F4092" s="1273"/>
      <c r="G4092" s="1284" t="s">
        <v>438</v>
      </c>
      <c r="H4092" s="1284"/>
      <c r="I4092" s="1284"/>
      <c r="J4092" s="1284"/>
      <c r="K4092" s="250">
        <v>1.08</v>
      </c>
      <c r="L4092" s="365"/>
      <c r="M4092" s="54"/>
      <c r="N4092" s="54"/>
      <c r="O4092" s="73"/>
      <c r="P4092" s="334"/>
      <c r="Q4092" s="335"/>
      <c r="R4092" s="336"/>
      <c r="S4092" s="337"/>
    </row>
    <row r="4093" spans="1:19" ht="30" customHeight="1" x14ac:dyDescent="0.25">
      <c r="A4093" s="365"/>
      <c r="B4093" s="365"/>
      <c r="C4093" s="366"/>
      <c r="D4093" s="366"/>
      <c r="E4093" s="366"/>
      <c r="F4093" s="366"/>
      <c r="G4093" s="380"/>
      <c r="H4093" s="380"/>
      <c r="I4093" s="366"/>
      <c r="J4093" s="366" t="s">
        <v>72</v>
      </c>
      <c r="K4093" s="246">
        <f>K4090*K4091/K4092</f>
        <v>335641.00418518519</v>
      </c>
      <c r="L4093" s="365" t="s">
        <v>76</v>
      </c>
      <c r="M4093" s="54"/>
      <c r="N4093" s="54"/>
      <c r="O4093" s="336"/>
      <c r="P4093" s="334"/>
      <c r="Q4093" s="335"/>
      <c r="R4093" s="336"/>
      <c r="S4093" s="337"/>
    </row>
    <row r="4094" spans="1:19" ht="30" customHeight="1" x14ac:dyDescent="0.25">
      <c r="A4094" s="365"/>
      <c r="B4094" s="365"/>
      <c r="C4094" s="366"/>
      <c r="D4094" s="366"/>
      <c r="E4094" s="366"/>
      <c r="F4094" s="366"/>
      <c r="G4094" s="580" t="s">
        <v>306</v>
      </c>
      <c r="H4094" s="366"/>
      <c r="I4094" s="366"/>
      <c r="J4094" s="521">
        <f>VLOOKUP(B4078,'Mil Cost Premiums for PUCs'!$A$4:$R$277,18,FALSE)</f>
        <v>1.0485669999999998</v>
      </c>
      <c r="K4094" s="246">
        <f>+K4093*J4094</f>
        <v>351942.08083544701</v>
      </c>
      <c r="L4094" s="365"/>
      <c r="M4094" s="54"/>
      <c r="N4094" s="54"/>
      <c r="O4094" s="336"/>
      <c r="P4094" s="334"/>
      <c r="Q4094" s="335"/>
      <c r="R4094" s="336"/>
      <c r="S4094" s="337"/>
    </row>
    <row r="4095" spans="1:19" ht="30" customHeight="1" thickBot="1" x14ac:dyDescent="0.3">
      <c r="A4095" s="844"/>
      <c r="B4095" s="971"/>
      <c r="C4095" s="972"/>
      <c r="D4095" s="972"/>
      <c r="E4095" s="850"/>
      <c r="F4095" s="1278" t="s">
        <v>1148</v>
      </c>
      <c r="G4095" s="1278"/>
      <c r="H4095" s="1278"/>
      <c r="I4095" s="1278"/>
      <c r="J4095" s="845">
        <v>1.0833999999999999</v>
      </c>
      <c r="K4095" s="544">
        <f>K4094*J4095</f>
        <v>381294.05037712323</v>
      </c>
      <c r="L4095" s="365" t="s">
        <v>76</v>
      </c>
      <c r="N4095" s="112"/>
      <c r="O4095" s="336"/>
      <c r="P4095" s="334"/>
      <c r="Q4095" s="335"/>
      <c r="R4095" s="336"/>
      <c r="S4095" s="337"/>
    </row>
    <row r="4096" spans="1:19" ht="30" customHeight="1" thickBot="1" x14ac:dyDescent="0.3">
      <c r="A4096" s="1180"/>
      <c r="B4096" s="1181"/>
      <c r="C4096" s="1181"/>
      <c r="D4096" s="1181"/>
      <c r="E4096" s="1181"/>
      <c r="F4096" s="1181"/>
      <c r="G4096" s="1181"/>
      <c r="H4096" s="1181"/>
      <c r="I4096" s="1181"/>
      <c r="J4096" s="1181"/>
      <c r="K4096" s="1181"/>
      <c r="L4096" s="1182"/>
      <c r="M4096" s="54"/>
      <c r="N4096" s="54"/>
      <c r="O4096" s="336"/>
      <c r="P4096" s="334"/>
      <c r="Q4096" s="335"/>
      <c r="R4096" s="336"/>
      <c r="S4096" s="337"/>
    </row>
    <row r="4097" spans="1:21" ht="30" customHeight="1" x14ac:dyDescent="0.25">
      <c r="A4097" s="327" t="s">
        <v>5</v>
      </c>
      <c r="B4097" s="328">
        <v>7542</v>
      </c>
      <c r="C4097" s="1366" t="s">
        <v>2218</v>
      </c>
      <c r="D4097" s="1367"/>
      <c r="E4097" s="331" t="s">
        <v>8</v>
      </c>
      <c r="F4097" s="332" t="s">
        <v>76</v>
      </c>
      <c r="G4097" s="333" t="s">
        <v>2219</v>
      </c>
      <c r="H4097" s="156">
        <v>1</v>
      </c>
      <c r="I4097" s="331" t="s">
        <v>10</v>
      </c>
      <c r="J4097" s="1220" t="s">
        <v>3388</v>
      </c>
      <c r="K4097" s="1220"/>
      <c r="L4097" s="1221"/>
      <c r="M4097" s="54"/>
      <c r="N4097" s="54"/>
      <c r="O4097" s="336"/>
      <c r="P4097" s="334"/>
      <c r="Q4097" s="335"/>
      <c r="R4097" s="336"/>
      <c r="S4097" s="337"/>
    </row>
    <row r="4098" spans="1:21" ht="30" customHeight="1" x14ac:dyDescent="0.25">
      <c r="A4098" s="359" t="s">
        <v>295</v>
      </c>
      <c r="B4098" s="1222" t="s">
        <v>326</v>
      </c>
      <c r="C4098" s="1235"/>
      <c r="D4098" s="1223"/>
      <c r="E4098" s="577" t="s">
        <v>116</v>
      </c>
      <c r="F4098" s="577" t="s">
        <v>117</v>
      </c>
      <c r="G4098" s="1194" t="s">
        <v>118</v>
      </c>
      <c r="H4098" s="1195"/>
      <c r="I4098" s="356" t="s">
        <v>296</v>
      </c>
      <c r="J4098" s="356"/>
      <c r="K4098" s="581" t="s">
        <v>285</v>
      </c>
      <c r="L4098" s="382"/>
      <c r="M4098" s="54"/>
      <c r="N4098" s="54"/>
      <c r="O4098" s="336"/>
      <c r="P4098" s="334"/>
      <c r="Q4098" s="335"/>
      <c r="R4098" s="336"/>
      <c r="S4098" s="337"/>
    </row>
    <row r="4099" spans="1:21" ht="30" customHeight="1" x14ac:dyDescent="0.25">
      <c r="A4099" s="365" t="s">
        <v>2180</v>
      </c>
      <c r="B4099" s="1209" t="s">
        <v>2220</v>
      </c>
      <c r="C4099" s="1210"/>
      <c r="D4099" s="1211"/>
      <c r="E4099" s="752">
        <f>+(36400+56250)/2+(9900+14800)/2+(11600+16000)/2+((1.45+5.16)/2*7200)</f>
        <v>96271</v>
      </c>
      <c r="F4099" s="396" t="s">
        <v>76</v>
      </c>
      <c r="G4099" s="661"/>
      <c r="H4099" s="698"/>
      <c r="I4099" s="706">
        <v>1.02</v>
      </c>
      <c r="J4099" s="365"/>
      <c r="K4099" s="7">
        <f>+E4099*I4099</f>
        <v>98196.42</v>
      </c>
      <c r="L4099" s="396" t="s">
        <v>76</v>
      </c>
      <c r="M4099" s="54"/>
      <c r="N4099" s="112"/>
      <c r="O4099" s="336"/>
      <c r="P4099" s="334"/>
      <c r="Q4099" s="335"/>
      <c r="R4099" s="336"/>
      <c r="S4099" s="337"/>
    </row>
    <row r="4100" spans="1:21" ht="30" customHeight="1" x14ac:dyDescent="0.25">
      <c r="A4100" s="365" t="s">
        <v>2160</v>
      </c>
      <c r="B4100" s="1214" t="s">
        <v>2221</v>
      </c>
      <c r="C4100" s="1215"/>
      <c r="D4100" s="1216"/>
      <c r="E4100" s="752">
        <f>+(7300+22800)/2</f>
        <v>15050</v>
      </c>
      <c r="F4100" s="396" t="s">
        <v>2156</v>
      </c>
      <c r="G4100" s="181">
        <v>18</v>
      </c>
      <c r="H4100" s="695" t="s">
        <v>2222</v>
      </c>
      <c r="I4100" s="706">
        <v>1.02</v>
      </c>
      <c r="J4100" s="365"/>
      <c r="K4100" s="7">
        <f>+E4100*G4100*I4100</f>
        <v>276318</v>
      </c>
      <c r="L4100" s="396" t="s">
        <v>76</v>
      </c>
      <c r="M4100" s="54"/>
      <c r="N4100" s="54"/>
      <c r="O4100" s="336"/>
      <c r="P4100" s="334"/>
      <c r="Q4100" s="335"/>
      <c r="R4100" s="336"/>
      <c r="S4100" s="337"/>
    </row>
    <row r="4101" spans="1:21" ht="30" customHeight="1" x14ac:dyDescent="0.25">
      <c r="A4101" s="365"/>
      <c r="B4101" s="1214" t="s">
        <v>2223</v>
      </c>
      <c r="C4101" s="1215"/>
      <c r="D4101" s="1216"/>
      <c r="E4101" s="752"/>
      <c r="F4101" s="396"/>
      <c r="G4101" s="661"/>
      <c r="H4101" s="695"/>
      <c r="I4101" s="365"/>
      <c r="J4101" s="365"/>
      <c r="K4101" s="7"/>
      <c r="L4101" s="396"/>
      <c r="M4101" s="54"/>
      <c r="N4101" s="54"/>
      <c r="O4101" s="336"/>
      <c r="P4101" s="334"/>
      <c r="Q4101" s="335"/>
      <c r="R4101" s="336"/>
      <c r="S4101" s="337"/>
    </row>
    <row r="4102" spans="1:21" ht="30" customHeight="1" x14ac:dyDescent="0.25">
      <c r="A4102" s="365" t="s">
        <v>726</v>
      </c>
      <c r="B4102" s="1209" t="s">
        <v>2224</v>
      </c>
      <c r="C4102" s="1210"/>
      <c r="D4102" s="1211"/>
      <c r="E4102" s="752">
        <v>0.28999999999999998</v>
      </c>
      <c r="F4102" s="396" t="s">
        <v>205</v>
      </c>
      <c r="G4102" s="753">
        <f>3.5*43560</f>
        <v>152460</v>
      </c>
      <c r="H4102" s="695" t="s">
        <v>2225</v>
      </c>
      <c r="I4102" s="698">
        <v>1.02</v>
      </c>
      <c r="J4102" s="365"/>
      <c r="K4102" s="7">
        <f>+E4102*G4102*I4102</f>
        <v>45097.667999999998</v>
      </c>
      <c r="L4102" s="396"/>
      <c r="M4102" s="54"/>
      <c r="N4102" s="54"/>
      <c r="O4102" s="336"/>
      <c r="P4102" s="334"/>
      <c r="Q4102" s="335"/>
      <c r="R4102" s="336"/>
      <c r="S4102" s="337"/>
    </row>
    <row r="4103" spans="1:21" ht="30" customHeight="1" x14ac:dyDescent="0.25">
      <c r="A4103" s="365" t="s">
        <v>726</v>
      </c>
      <c r="B4103" s="1214" t="s">
        <v>2226</v>
      </c>
      <c r="C4103" s="1215"/>
      <c r="D4103" s="1216"/>
      <c r="E4103" s="752">
        <v>0.44</v>
      </c>
      <c r="F4103" s="396" t="s">
        <v>205</v>
      </c>
      <c r="G4103" s="753">
        <f>3.5*43560</f>
        <v>152460</v>
      </c>
      <c r="H4103" s="695" t="s">
        <v>2225</v>
      </c>
      <c r="I4103" s="698">
        <v>1.02</v>
      </c>
      <c r="J4103" s="365"/>
      <c r="K4103" s="7">
        <f>+E4103*G4103*I4103</f>
        <v>68424.047999999995</v>
      </c>
      <c r="L4103" s="396"/>
      <c r="M4103" s="54"/>
      <c r="N4103" s="54"/>
      <c r="O4103" s="336"/>
      <c r="P4103" s="334"/>
      <c r="Q4103" s="335"/>
      <c r="R4103" s="336"/>
      <c r="S4103" s="337"/>
    </row>
    <row r="4104" spans="1:21" ht="30" customHeight="1" x14ac:dyDescent="0.25">
      <c r="A4104" s="365" t="s">
        <v>2180</v>
      </c>
      <c r="B4104" s="1214" t="s">
        <v>2227</v>
      </c>
      <c r="C4104" s="1215"/>
      <c r="D4104" s="1216"/>
      <c r="E4104" s="74">
        <f>+(3025+5100)/2</f>
        <v>4062.5</v>
      </c>
      <c r="F4104" s="689" t="s">
        <v>76</v>
      </c>
      <c r="G4104" s="661"/>
      <c r="H4104" s="698"/>
      <c r="I4104" s="742">
        <v>1.02</v>
      </c>
      <c r="J4104" s="365"/>
      <c r="K4104" s="247">
        <f>+E4104*I4104</f>
        <v>4143.75</v>
      </c>
      <c r="L4104" s="396"/>
      <c r="M4104" s="54"/>
      <c r="N4104" s="73"/>
      <c r="O4104" s="336"/>
      <c r="P4104" s="334"/>
      <c r="Q4104" s="335"/>
      <c r="R4104" s="336"/>
      <c r="S4104" s="337"/>
    </row>
    <row r="4105" spans="1:21" ht="30" customHeight="1" x14ac:dyDescent="0.25">
      <c r="A4105" s="365" t="s">
        <v>493</v>
      </c>
      <c r="B4105" s="1209" t="s">
        <v>2228</v>
      </c>
      <c r="C4105" s="1210"/>
      <c r="D4105" s="1211"/>
      <c r="E4105" s="75">
        <f>(3675+9550)/2</f>
        <v>6612.5</v>
      </c>
      <c r="F4105" s="689" t="s">
        <v>76</v>
      </c>
      <c r="G4105" s="661"/>
      <c r="H4105" s="698"/>
      <c r="I4105" s="742">
        <v>1.02</v>
      </c>
      <c r="J4105" s="365"/>
      <c r="K4105" s="7">
        <f>E4105*I4105</f>
        <v>6744.75</v>
      </c>
      <c r="L4105" s="396"/>
      <c r="M4105" s="54"/>
      <c r="N4105" s="73"/>
      <c r="O4105" s="336"/>
      <c r="P4105" s="334"/>
      <c r="Q4105" s="335"/>
      <c r="R4105" s="336"/>
      <c r="S4105" s="337"/>
    </row>
    <row r="4106" spans="1:21" ht="30" customHeight="1" x14ac:dyDescent="0.25">
      <c r="A4106" s="365" t="s">
        <v>2133</v>
      </c>
      <c r="B4106" s="1209" t="s">
        <v>2229</v>
      </c>
      <c r="C4106" s="1210"/>
      <c r="D4106" s="1211"/>
      <c r="E4106" s="74">
        <v>223.35</v>
      </c>
      <c r="F4106" s="689" t="s">
        <v>40</v>
      </c>
      <c r="G4106" s="661">
        <v>250</v>
      </c>
      <c r="H4106" s="698" t="s">
        <v>40</v>
      </c>
      <c r="I4106" s="742">
        <v>1.02</v>
      </c>
      <c r="J4106" s="365"/>
      <c r="K4106" s="7">
        <f>+E4106*G4106*I4106</f>
        <v>56954.25</v>
      </c>
      <c r="L4106" s="396"/>
      <c r="M4106" s="54"/>
      <c r="N4106" s="54"/>
      <c r="O4106" s="336"/>
      <c r="P4106" s="334"/>
      <c r="Q4106" s="335"/>
      <c r="R4106" s="336"/>
      <c r="S4106" s="337"/>
    </row>
    <row r="4107" spans="1:21" ht="30" customHeight="1" x14ac:dyDescent="0.25">
      <c r="A4107" s="365" t="s">
        <v>2197</v>
      </c>
      <c r="B4107" s="1214" t="s">
        <v>2230</v>
      </c>
      <c r="C4107" s="1215"/>
      <c r="D4107" s="1216"/>
      <c r="E4107" s="752">
        <f>+(73+97)/2</f>
        <v>85</v>
      </c>
      <c r="F4107" s="396" t="s">
        <v>2199</v>
      </c>
      <c r="G4107" s="661">
        <v>600</v>
      </c>
      <c r="H4107" s="695" t="s">
        <v>2231</v>
      </c>
      <c r="I4107" s="742">
        <v>1.02</v>
      </c>
      <c r="J4107" s="365"/>
      <c r="K4107" s="7">
        <f>+E4107*G4107*I4107</f>
        <v>52020</v>
      </c>
      <c r="L4107" s="396"/>
      <c r="M4107" s="54"/>
      <c r="N4107" s="54"/>
      <c r="O4107" s="336"/>
      <c r="P4107" s="334"/>
      <c r="Q4107" s="335"/>
      <c r="R4107" s="336"/>
      <c r="S4107" s="337"/>
    </row>
    <row r="4108" spans="1:21" ht="30" customHeight="1" x14ac:dyDescent="0.25">
      <c r="A4108" s="365"/>
      <c r="B4108" s="1214" t="s">
        <v>2232</v>
      </c>
      <c r="C4108" s="1215"/>
      <c r="D4108" s="1216"/>
      <c r="E4108" s="752"/>
      <c r="F4108" s="396"/>
      <c r="G4108" s="661"/>
      <c r="H4108" s="695"/>
      <c r="I4108" s="365"/>
      <c r="J4108" s="365"/>
      <c r="K4108" s="7">
        <f>SUM(K4102:K4107)</f>
        <v>233384.46599999999</v>
      </c>
      <c r="L4108" s="396" t="s">
        <v>76</v>
      </c>
      <c r="M4108" s="54"/>
      <c r="N4108" s="54"/>
      <c r="O4108" s="336"/>
      <c r="P4108" s="334"/>
      <c r="Q4108" s="335"/>
      <c r="R4108" s="336"/>
      <c r="S4108" s="337"/>
    </row>
    <row r="4109" spans="1:21" ht="30" customHeight="1" x14ac:dyDescent="0.25">
      <c r="A4109" s="365"/>
      <c r="B4109" s="1214" t="s">
        <v>2233</v>
      </c>
      <c r="C4109" s="1215"/>
      <c r="D4109" s="1216"/>
      <c r="E4109" s="752"/>
      <c r="F4109" s="396"/>
      <c r="G4109" s="661"/>
      <c r="H4109" s="695"/>
      <c r="I4109" s="365"/>
      <c r="J4109" s="365"/>
      <c r="K4109" s="7"/>
      <c r="L4109" s="365"/>
      <c r="M4109" s="54"/>
      <c r="N4109" s="54"/>
      <c r="O4109" s="336"/>
      <c r="Q4109" s="335"/>
      <c r="R4109" s="336"/>
      <c r="S4109" s="337"/>
    </row>
    <row r="4110" spans="1:21" ht="30" customHeight="1" x14ac:dyDescent="0.25">
      <c r="A4110" s="365" t="s">
        <v>726</v>
      </c>
      <c r="B4110" s="1214" t="s">
        <v>2234</v>
      </c>
      <c r="C4110" s="1215"/>
      <c r="D4110" s="1216"/>
      <c r="E4110" s="752">
        <v>0.44</v>
      </c>
      <c r="F4110" s="396" t="s">
        <v>205</v>
      </c>
      <c r="G4110" s="753">
        <v>57600</v>
      </c>
      <c r="H4110" s="396" t="s">
        <v>205</v>
      </c>
      <c r="I4110" s="365">
        <v>1.02</v>
      </c>
      <c r="J4110" s="365"/>
      <c r="K4110" s="7">
        <f>+E4110*G4110*I4110</f>
        <v>25850.880000000001</v>
      </c>
      <c r="L4110" s="396" t="s">
        <v>76</v>
      </c>
      <c r="M4110" s="112"/>
      <c r="N4110" s="54"/>
      <c r="O4110" s="336"/>
      <c r="Q4110" s="335"/>
      <c r="R4110" s="336"/>
      <c r="S4110" s="337"/>
      <c r="U4110" s="10"/>
    </row>
    <row r="4111" spans="1:21" ht="30" customHeight="1" x14ac:dyDescent="0.25">
      <c r="A4111" s="365" t="s">
        <v>493</v>
      </c>
      <c r="B4111" s="1214" t="s">
        <v>2235</v>
      </c>
      <c r="C4111" s="1215"/>
      <c r="D4111" s="1216"/>
      <c r="E4111" s="752">
        <f>(2850+7200)/2</f>
        <v>5025</v>
      </c>
      <c r="F4111" s="689" t="s">
        <v>76</v>
      </c>
      <c r="G4111" s="753"/>
      <c r="H4111" s="690"/>
      <c r="I4111" s="365">
        <v>1.02</v>
      </c>
      <c r="J4111" s="365"/>
      <c r="K4111" s="7">
        <f>E4111*I4111</f>
        <v>5125.5</v>
      </c>
      <c r="L4111" s="396" t="s">
        <v>76</v>
      </c>
      <c r="M4111" s="54"/>
      <c r="O4111" s="336"/>
      <c r="P4111" s="334"/>
      <c r="Q4111" s="335"/>
      <c r="R4111" s="336"/>
      <c r="S4111" s="337"/>
    </row>
    <row r="4112" spans="1:21" ht="30" customHeight="1" x14ac:dyDescent="0.25">
      <c r="A4112" s="365"/>
      <c r="B4112" s="1214" t="s">
        <v>2236</v>
      </c>
      <c r="C4112" s="1215"/>
      <c r="D4112" s="1216"/>
      <c r="E4112" s="752"/>
      <c r="F4112" s="689"/>
      <c r="G4112" s="753"/>
      <c r="H4112" s="690"/>
      <c r="I4112" s="365"/>
      <c r="J4112" s="365"/>
      <c r="K4112" s="7">
        <f>SUM(K4110,K4111)</f>
        <v>30976.38</v>
      </c>
      <c r="L4112" s="396"/>
      <c r="M4112" s="54"/>
      <c r="N4112" s="54"/>
      <c r="O4112" s="336"/>
      <c r="Q4112" s="335"/>
      <c r="R4112" s="336"/>
      <c r="S4112" s="337"/>
      <c r="U4112" s="10"/>
    </row>
    <row r="4113" spans="1:21" ht="30" customHeight="1" x14ac:dyDescent="0.25">
      <c r="A4113" s="365"/>
      <c r="B4113" s="1214" t="s">
        <v>2237</v>
      </c>
      <c r="C4113" s="1215"/>
      <c r="D4113" s="1216"/>
      <c r="E4113" s="752"/>
      <c r="F4113" s="689"/>
      <c r="G4113" s="661"/>
      <c r="H4113" s="695"/>
      <c r="I4113" s="365"/>
      <c r="J4113" s="365"/>
      <c r="K4113" s="7"/>
      <c r="L4113" s="365"/>
      <c r="M4113" s="54"/>
      <c r="N4113" s="54"/>
      <c r="O4113" s="336"/>
      <c r="T4113" s="10"/>
    </row>
    <row r="4114" spans="1:21" ht="30" customHeight="1" x14ac:dyDescent="0.25">
      <c r="A4114" s="365" t="s">
        <v>726</v>
      </c>
      <c r="B4114" s="1214" t="s">
        <v>2234</v>
      </c>
      <c r="C4114" s="1215"/>
      <c r="D4114" s="1216"/>
      <c r="E4114" s="752">
        <v>0.44</v>
      </c>
      <c r="F4114" s="396" t="s">
        <v>205</v>
      </c>
      <c r="G4114" s="753">
        <v>75250</v>
      </c>
      <c r="H4114" s="396" t="s">
        <v>205</v>
      </c>
      <c r="I4114" s="365">
        <v>1.02</v>
      </c>
      <c r="J4114" s="365"/>
      <c r="K4114" s="7">
        <f>+E4114*G4114*I4114</f>
        <v>33772.199999999997</v>
      </c>
      <c r="L4114" s="396" t="s">
        <v>76</v>
      </c>
      <c r="M4114" s="122"/>
      <c r="N4114" s="54"/>
      <c r="O4114" s="336"/>
      <c r="T4114" s="10"/>
    </row>
    <row r="4115" spans="1:21" ht="30" customHeight="1" x14ac:dyDescent="0.25">
      <c r="A4115" s="365"/>
      <c r="B4115" s="1214" t="s">
        <v>2238</v>
      </c>
      <c r="C4115" s="1215"/>
      <c r="D4115" s="1216"/>
      <c r="E4115" s="752"/>
      <c r="F4115" s="689"/>
      <c r="G4115" s="753"/>
      <c r="H4115" s="695"/>
      <c r="I4115" s="365"/>
      <c r="J4115" s="365"/>
      <c r="K4115" s="7"/>
      <c r="L4115" s="396"/>
      <c r="M4115" s="54"/>
      <c r="N4115" s="54"/>
      <c r="O4115" s="336"/>
    </row>
    <row r="4116" spans="1:21" ht="30" customHeight="1" x14ac:dyDescent="0.25">
      <c r="A4116" s="365" t="s">
        <v>726</v>
      </c>
      <c r="B4116" s="1209" t="s">
        <v>2239</v>
      </c>
      <c r="C4116" s="1210"/>
      <c r="D4116" s="1211"/>
      <c r="E4116" s="975">
        <v>0.28999999999999998</v>
      </c>
      <c r="F4116" s="396" t="s">
        <v>205</v>
      </c>
      <c r="G4116" s="753">
        <v>63360</v>
      </c>
      <c r="H4116" s="698" t="s">
        <v>329</v>
      </c>
      <c r="I4116" s="365">
        <v>1.02</v>
      </c>
      <c r="J4116" s="365"/>
      <c r="K4116" s="7">
        <f>+E4116*G4116*I4116</f>
        <v>18741.887999999999</v>
      </c>
      <c r="L4116" s="396" t="s">
        <v>76</v>
      </c>
      <c r="M4116" s="54"/>
      <c r="N4116" s="54"/>
      <c r="O4116" s="336"/>
      <c r="U4116" s="10"/>
    </row>
    <row r="4117" spans="1:21" ht="30" customHeight="1" x14ac:dyDescent="0.25">
      <c r="A4117" s="365" t="s">
        <v>726</v>
      </c>
      <c r="B4117" s="1209" t="s">
        <v>2240</v>
      </c>
      <c r="C4117" s="1210"/>
      <c r="D4117" s="1211"/>
      <c r="E4117" s="975">
        <v>0.45</v>
      </c>
      <c r="F4117" s="396" t="s">
        <v>205</v>
      </c>
      <c r="G4117" s="753">
        <v>63360</v>
      </c>
      <c r="H4117" s="698" t="s">
        <v>329</v>
      </c>
      <c r="I4117" s="365">
        <v>1.02</v>
      </c>
      <c r="J4117" s="365"/>
      <c r="K4117" s="7">
        <f>+E4117*G4117*I4117</f>
        <v>29082.240000000002</v>
      </c>
      <c r="L4117" s="396" t="s">
        <v>76</v>
      </c>
      <c r="M4117" s="54"/>
      <c r="N4117" s="54"/>
      <c r="O4117" s="336"/>
      <c r="P4117" s="334"/>
      <c r="U4117" s="10"/>
    </row>
    <row r="4118" spans="1:21" ht="30" customHeight="1" x14ac:dyDescent="0.25">
      <c r="A4118" s="365" t="s">
        <v>726</v>
      </c>
      <c r="B4118" s="1209" t="s">
        <v>2241</v>
      </c>
      <c r="C4118" s="1210"/>
      <c r="D4118" s="1211"/>
      <c r="E4118" s="975">
        <v>3.6</v>
      </c>
      <c r="F4118" s="396" t="s">
        <v>40</v>
      </c>
      <c r="G4118" s="753">
        <v>21120</v>
      </c>
      <c r="H4118" s="698" t="s">
        <v>523</v>
      </c>
      <c r="I4118" s="365">
        <v>1.02</v>
      </c>
      <c r="J4118" s="365"/>
      <c r="K4118" s="7">
        <f>+E4118*G4118*I4118</f>
        <v>77552.639999999999</v>
      </c>
      <c r="L4118" s="396" t="s">
        <v>76</v>
      </c>
      <c r="M4118" s="54"/>
      <c r="N4118" s="111"/>
      <c r="O4118" s="336"/>
      <c r="P4118" s="334"/>
      <c r="T4118" s="10"/>
    </row>
    <row r="4119" spans="1:21" ht="30" customHeight="1" x14ac:dyDescent="0.25">
      <c r="A4119" s="369"/>
      <c r="B4119" s="1172" t="s">
        <v>2242</v>
      </c>
      <c r="C4119" s="1173"/>
      <c r="D4119" s="1174"/>
      <c r="E4119" s="976"/>
      <c r="F4119" s="961"/>
      <c r="G4119" s="365"/>
      <c r="H4119" s="365"/>
      <c r="I4119" s="369"/>
      <c r="J4119" s="369"/>
      <c r="K4119" s="213">
        <f>SUM(K4116:K4118)</f>
        <v>125376.768</v>
      </c>
      <c r="L4119" s="396" t="s">
        <v>76</v>
      </c>
      <c r="M4119" s="210"/>
      <c r="N4119" s="54"/>
      <c r="O4119" s="336"/>
      <c r="P4119" s="334"/>
      <c r="T4119" s="10"/>
    </row>
    <row r="4120" spans="1:21" ht="30" customHeight="1" x14ac:dyDescent="0.25">
      <c r="A4120" s="366"/>
      <c r="B4120" s="1616"/>
      <c r="C4120" s="1617"/>
      <c r="D4120" s="1390"/>
      <c r="E4120" s="366"/>
      <c r="F4120" s="366"/>
      <c r="G4120" s="366"/>
      <c r="H4120" s="366"/>
      <c r="I4120" s="1389" t="s">
        <v>2243</v>
      </c>
      <c r="J4120" s="1240"/>
      <c r="K4120" s="588">
        <f>+K4099+K4100+K4108+K4112+K4114+K4119</f>
        <v>798024.23399999994</v>
      </c>
      <c r="L4120" s="396" t="s">
        <v>76</v>
      </c>
      <c r="M4120" s="210"/>
      <c r="N4120" s="54"/>
      <c r="O4120" s="336"/>
      <c r="P4120" s="334"/>
      <c r="Q4120" s="335"/>
      <c r="R4120" s="336"/>
      <c r="S4120" s="337"/>
    </row>
    <row r="4121" spans="1:21" ht="30" customHeight="1" x14ac:dyDescent="0.25">
      <c r="A4121" s="977"/>
      <c r="B4121" s="1618" t="s">
        <v>2244</v>
      </c>
      <c r="C4121" s="1619"/>
      <c r="D4121" s="1620"/>
      <c r="E4121" s="7"/>
      <c r="F4121" s="396"/>
      <c r="G4121" s="396"/>
      <c r="H4121" s="396"/>
      <c r="I4121" s="1389" t="s">
        <v>2245</v>
      </c>
      <c r="J4121" s="1240"/>
      <c r="K4121" s="7">
        <f>+K4120/6</f>
        <v>133004.03899999999</v>
      </c>
      <c r="L4121" s="396" t="s">
        <v>76</v>
      </c>
      <c r="M4121" s="54"/>
      <c r="N4121" s="54"/>
      <c r="P4121" s="334"/>
      <c r="Q4121" s="335"/>
      <c r="R4121" s="336"/>
      <c r="S4121" s="337"/>
    </row>
    <row r="4122" spans="1:21" ht="30" customHeight="1" x14ac:dyDescent="0.25">
      <c r="A4122" s="365"/>
      <c r="B4122" s="578"/>
      <c r="C4122" s="578"/>
      <c r="D4122" s="578"/>
      <c r="E4122" s="247"/>
      <c r="F4122" s="1272" t="s">
        <v>303</v>
      </c>
      <c r="G4122" s="1283" t="s">
        <v>304</v>
      </c>
      <c r="H4122" s="1283"/>
      <c r="I4122" s="1283"/>
      <c r="J4122" s="1283"/>
      <c r="K4122" s="251">
        <v>1.07</v>
      </c>
      <c r="L4122" s="365"/>
      <c r="M4122" s="54"/>
      <c r="N4122" s="54"/>
      <c r="P4122" s="334"/>
      <c r="Q4122" s="335"/>
      <c r="R4122" s="336"/>
      <c r="S4122" s="337"/>
    </row>
    <row r="4123" spans="1:21" ht="30" customHeight="1" x14ac:dyDescent="0.25">
      <c r="A4123" s="365"/>
      <c r="B4123" s="578"/>
      <c r="C4123" s="578"/>
      <c r="D4123" s="578"/>
      <c r="E4123" s="247"/>
      <c r="F4123" s="1273"/>
      <c r="G4123" s="1284" t="s">
        <v>438</v>
      </c>
      <c r="H4123" s="1284"/>
      <c r="I4123" s="1284"/>
      <c r="J4123" s="1284"/>
      <c r="K4123" s="251">
        <v>1.08</v>
      </c>
      <c r="L4123" s="365"/>
      <c r="M4123" s="54"/>
      <c r="N4123" s="54"/>
      <c r="P4123" s="334"/>
      <c r="Q4123" s="335"/>
      <c r="R4123" s="336"/>
      <c r="S4123" s="337"/>
    </row>
    <row r="4124" spans="1:21" ht="30" customHeight="1" x14ac:dyDescent="0.25">
      <c r="A4124" s="365"/>
      <c r="B4124" s="978"/>
      <c r="C4124" s="979"/>
      <c r="D4124" s="980"/>
      <c r="E4124" s="366"/>
      <c r="F4124" s="366"/>
      <c r="G4124" s="366"/>
      <c r="H4124" s="366"/>
      <c r="I4124" s="366"/>
      <c r="J4124" s="367" t="s">
        <v>72</v>
      </c>
      <c r="K4124" s="252">
        <f>+K4121*K4122/K4123</f>
        <v>131772.52012037035</v>
      </c>
      <c r="L4124" s="365" t="s">
        <v>76</v>
      </c>
      <c r="M4124" s="54"/>
      <c r="N4124" s="54"/>
      <c r="P4124" s="334"/>
      <c r="Q4124" s="335"/>
      <c r="R4124" s="336"/>
      <c r="S4124" s="337"/>
    </row>
    <row r="4125" spans="1:21" ht="30" customHeight="1" x14ac:dyDescent="0.25">
      <c r="A4125" s="365"/>
      <c r="B4125" s="981"/>
      <c r="C4125" s="982"/>
      <c r="D4125" s="983"/>
      <c r="E4125" s="366"/>
      <c r="F4125" s="366"/>
      <c r="G4125" s="398" t="s">
        <v>414</v>
      </c>
      <c r="H4125" s="366"/>
      <c r="I4125" s="366"/>
      <c r="J4125" s="521">
        <f>VLOOKUP(B4097,'Mil Cost Premiums for PUCs'!$A$4:$R$277,18,FALSE)</f>
        <v>1.0485669999999998</v>
      </c>
      <c r="K4125" s="252">
        <f>+K4124*J4125</f>
        <v>138172.31610505635</v>
      </c>
      <c r="L4125" s="365" t="s">
        <v>76</v>
      </c>
      <c r="M4125" s="54"/>
      <c r="N4125" s="54"/>
      <c r="Q4125" s="335"/>
      <c r="R4125" s="336"/>
      <c r="S4125" s="337"/>
    </row>
    <row r="4126" spans="1:21" ht="30" customHeight="1" x14ac:dyDescent="0.25">
      <c r="A4126" s="844"/>
      <c r="B4126" s="971"/>
      <c r="C4126" s="972"/>
      <c r="D4126" s="972"/>
      <c r="E4126" s="850"/>
      <c r="F4126" s="1278" t="s">
        <v>1148</v>
      </c>
      <c r="G4126" s="1278"/>
      <c r="H4126" s="1278"/>
      <c r="I4126" s="1278"/>
      <c r="J4126" s="845">
        <v>1.0833999999999999</v>
      </c>
      <c r="K4126" s="544">
        <f>K4125*J4126</f>
        <v>149695.88726821804</v>
      </c>
      <c r="L4126" s="365" t="s">
        <v>76</v>
      </c>
      <c r="N4126" s="54"/>
      <c r="Q4126" s="335"/>
      <c r="R4126" s="336"/>
      <c r="S4126" s="337"/>
      <c r="U4126" s="10"/>
    </row>
    <row r="4127" spans="1:21" ht="75" customHeight="1" x14ac:dyDescent="0.25">
      <c r="A4127" s="1230" t="s">
        <v>307</v>
      </c>
      <c r="B4127" s="1231"/>
      <c r="C4127" s="1231"/>
      <c r="D4127" s="1231"/>
      <c r="E4127" s="1231"/>
      <c r="F4127" s="1231"/>
      <c r="G4127" s="1231"/>
      <c r="H4127" s="1231"/>
      <c r="I4127" s="1231"/>
      <c r="J4127" s="1231"/>
      <c r="K4127" s="1231"/>
      <c r="L4127" s="1232"/>
      <c r="M4127" s="111"/>
      <c r="N4127" s="54"/>
      <c r="Q4127" s="335"/>
      <c r="R4127" s="336"/>
      <c r="S4127" s="337"/>
      <c r="U4127" s="10"/>
    </row>
    <row r="4128" spans="1:21" ht="30" customHeight="1" x14ac:dyDescent="0.25">
      <c r="A4128" s="1268" t="s">
        <v>308</v>
      </c>
      <c r="B4128" s="1167"/>
      <c r="C4128" s="1168"/>
      <c r="D4128" s="1230" t="s">
        <v>3438</v>
      </c>
      <c r="E4128" s="1231"/>
      <c r="F4128" s="1231"/>
      <c r="G4128" s="1231"/>
      <c r="H4128" s="1231"/>
      <c r="I4128" s="1231"/>
      <c r="J4128" s="1231"/>
      <c r="K4128" s="1231"/>
      <c r="L4128" s="1232"/>
      <c r="M4128" s="54"/>
      <c r="N4128" s="54"/>
      <c r="O4128" s="336"/>
      <c r="T4128" s="10"/>
      <c r="U4128" s="10"/>
    </row>
    <row r="4129" spans="1:26" ht="30" customHeight="1" x14ac:dyDescent="0.25">
      <c r="A4129" s="1268" t="s">
        <v>310</v>
      </c>
      <c r="B4129" s="1167"/>
      <c r="C4129" s="1168"/>
      <c r="D4129" s="1230" t="s">
        <v>2246</v>
      </c>
      <c r="E4129" s="1231"/>
      <c r="F4129" s="1231"/>
      <c r="G4129" s="1231"/>
      <c r="H4129" s="1231"/>
      <c r="I4129" s="1231"/>
      <c r="J4129" s="1231"/>
      <c r="K4129" s="1231"/>
      <c r="L4129" s="1232"/>
      <c r="M4129" s="54"/>
      <c r="N4129" s="54"/>
      <c r="O4129" s="336"/>
      <c r="P4129" s="344"/>
      <c r="T4129" s="10"/>
    </row>
    <row r="4130" spans="1:26" ht="30" customHeight="1" x14ac:dyDescent="0.25">
      <c r="A4130" s="1268" t="s">
        <v>312</v>
      </c>
      <c r="B4130" s="1167"/>
      <c r="C4130" s="1168"/>
      <c r="D4130" s="1230" t="s">
        <v>2247</v>
      </c>
      <c r="E4130" s="1231"/>
      <c r="F4130" s="1231"/>
      <c r="G4130" s="1231"/>
      <c r="H4130" s="1231"/>
      <c r="I4130" s="1231"/>
      <c r="J4130" s="1231"/>
      <c r="K4130" s="1231"/>
      <c r="L4130" s="1232"/>
      <c r="M4130" s="54"/>
      <c r="N4130" s="54"/>
      <c r="O4130" s="336"/>
      <c r="P4130" s="344"/>
      <c r="T4130" s="10"/>
      <c r="U4130" s="345"/>
    </row>
    <row r="4131" spans="1:26" ht="30" customHeight="1" x14ac:dyDescent="0.25">
      <c r="A4131" s="1268" t="s">
        <v>314</v>
      </c>
      <c r="B4131" s="1167"/>
      <c r="C4131" s="1168"/>
      <c r="D4131" s="1230" t="s">
        <v>2248</v>
      </c>
      <c r="E4131" s="1231"/>
      <c r="F4131" s="1231"/>
      <c r="G4131" s="1231"/>
      <c r="H4131" s="1231"/>
      <c r="I4131" s="1231"/>
      <c r="J4131" s="1231"/>
      <c r="K4131" s="1231"/>
      <c r="L4131" s="1232"/>
      <c r="M4131" s="54"/>
      <c r="N4131" s="54"/>
      <c r="O4131" s="336"/>
      <c r="U4131" s="345"/>
      <c r="V4131" s="345"/>
      <c r="W4131" s="345"/>
      <c r="X4131" s="345"/>
      <c r="Y4131" s="345"/>
    </row>
    <row r="4132" spans="1:26" ht="30" customHeight="1" x14ac:dyDescent="0.25">
      <c r="A4132" s="1268" t="s">
        <v>316</v>
      </c>
      <c r="B4132" s="1167"/>
      <c r="C4132" s="1168"/>
      <c r="D4132" s="1230" t="s">
        <v>2249</v>
      </c>
      <c r="E4132" s="1231"/>
      <c r="F4132" s="1231"/>
      <c r="G4132" s="1231"/>
      <c r="H4132" s="1231"/>
      <c r="I4132" s="1231"/>
      <c r="J4132" s="1231"/>
      <c r="K4132" s="1231"/>
      <c r="L4132" s="1232"/>
      <c r="M4132" s="54"/>
      <c r="O4132" s="336"/>
      <c r="P4132" s="334"/>
      <c r="Q4132" s="335"/>
      <c r="R4132" s="336"/>
      <c r="S4132" s="337"/>
    </row>
    <row r="4133" spans="1:26" ht="30" customHeight="1" x14ac:dyDescent="0.25">
      <c r="A4133" s="1268" t="s">
        <v>318</v>
      </c>
      <c r="B4133" s="1167"/>
      <c r="C4133" s="1168"/>
      <c r="D4133" s="1230" t="s">
        <v>2250</v>
      </c>
      <c r="E4133" s="1231"/>
      <c r="F4133" s="1231"/>
      <c r="G4133" s="1231"/>
      <c r="H4133" s="1231"/>
      <c r="I4133" s="1231"/>
      <c r="J4133" s="1231"/>
      <c r="K4133" s="1231"/>
      <c r="L4133" s="1232"/>
      <c r="M4133" s="111"/>
      <c r="N4133" s="54"/>
      <c r="O4133" s="336"/>
      <c r="Q4133" s="345"/>
      <c r="R4133" s="345"/>
      <c r="S4133" s="345"/>
      <c r="T4133" s="345"/>
      <c r="V4133" s="345"/>
      <c r="W4133" s="345"/>
      <c r="X4133" s="345"/>
      <c r="Y4133" s="345"/>
      <c r="Z4133" s="345"/>
    </row>
    <row r="4134" spans="1:26" ht="30" customHeight="1" x14ac:dyDescent="0.25">
      <c r="A4134" s="1268" t="s">
        <v>320</v>
      </c>
      <c r="B4134" s="1167"/>
      <c r="C4134" s="1168"/>
      <c r="D4134" s="1230" t="s">
        <v>2251</v>
      </c>
      <c r="E4134" s="1231"/>
      <c r="F4134" s="1231"/>
      <c r="G4134" s="1231"/>
      <c r="H4134" s="1231"/>
      <c r="I4134" s="1231"/>
      <c r="J4134" s="1231"/>
      <c r="K4134" s="1231"/>
      <c r="L4134" s="1232"/>
      <c r="M4134" s="54"/>
      <c r="N4134" s="111"/>
      <c r="O4134" s="336"/>
      <c r="Q4134" s="345"/>
      <c r="R4134" s="345"/>
      <c r="S4134" s="345"/>
      <c r="T4134" s="345"/>
      <c r="V4134" s="345"/>
      <c r="W4134" s="345"/>
      <c r="X4134" s="345"/>
      <c r="Y4134" s="345"/>
      <c r="Z4134" s="345"/>
    </row>
    <row r="4135" spans="1:26" ht="45" customHeight="1" x14ac:dyDescent="0.25">
      <c r="A4135" s="1268" t="s">
        <v>322</v>
      </c>
      <c r="B4135" s="1167"/>
      <c r="C4135" s="1168"/>
      <c r="D4135" s="1230" t="s">
        <v>1634</v>
      </c>
      <c r="E4135" s="1231"/>
      <c r="F4135" s="1231"/>
      <c r="G4135" s="1231"/>
      <c r="H4135" s="1231"/>
      <c r="I4135" s="1231"/>
      <c r="J4135" s="1231"/>
      <c r="K4135" s="1231"/>
      <c r="L4135" s="1232"/>
      <c r="M4135" s="54"/>
      <c r="N4135" s="54"/>
      <c r="O4135" s="336"/>
      <c r="V4135" s="345"/>
      <c r="W4135" s="345"/>
      <c r="X4135" s="345"/>
      <c r="Y4135" s="345"/>
      <c r="Z4135" s="345"/>
    </row>
    <row r="4136" spans="1:26" s="345" customFormat="1" ht="105" customHeight="1" thickBot="1" x14ac:dyDescent="0.3">
      <c r="A4136" s="1265" t="s">
        <v>350</v>
      </c>
      <c r="B4136" s="1266"/>
      <c r="C4136" s="1267"/>
      <c r="D4136" s="1291" t="s">
        <v>3439</v>
      </c>
      <c r="E4136" s="1292"/>
      <c r="F4136" s="1292"/>
      <c r="G4136" s="1292"/>
      <c r="H4136" s="1292"/>
      <c r="I4136" s="1292"/>
      <c r="J4136" s="1292"/>
      <c r="K4136" s="1292"/>
      <c r="L4136" s="1293"/>
      <c r="M4136" s="54"/>
      <c r="N4136" s="54"/>
      <c r="O4136" s="336"/>
      <c r="P4136" s="340"/>
      <c r="Q4136" s="334"/>
      <c r="R4136" s="334"/>
      <c r="S4136" s="334"/>
      <c r="T4136" s="334"/>
      <c r="U4136" s="10"/>
      <c r="V4136" s="334"/>
      <c r="W4136" s="334"/>
      <c r="X4136" s="334"/>
      <c r="Y4136" s="334"/>
    </row>
    <row r="4137" spans="1:26" s="345" customFormat="1" ht="30" customHeight="1" thickBot="1" x14ac:dyDescent="0.3">
      <c r="A4137" s="1180"/>
      <c r="B4137" s="1181"/>
      <c r="C4137" s="1181"/>
      <c r="D4137" s="1181"/>
      <c r="E4137" s="1181"/>
      <c r="F4137" s="1181"/>
      <c r="G4137" s="1181"/>
      <c r="H4137" s="1181"/>
      <c r="I4137" s="1181"/>
      <c r="J4137" s="1181"/>
      <c r="K4137" s="1181"/>
      <c r="L4137" s="1182"/>
      <c r="M4137" s="54"/>
      <c r="N4137" s="54"/>
      <c r="O4137" s="334"/>
      <c r="P4137" s="340"/>
      <c r="Q4137" s="334"/>
      <c r="R4137" s="334"/>
      <c r="S4137" s="334"/>
      <c r="T4137" s="334"/>
      <c r="U4137" s="10"/>
      <c r="V4137" s="334"/>
      <c r="W4137" s="334"/>
      <c r="X4137" s="334"/>
      <c r="Y4137" s="334"/>
      <c r="Z4137" s="334"/>
    </row>
    <row r="4138" spans="1:26" s="345" customFormat="1" ht="30" customHeight="1" x14ac:dyDescent="0.25">
      <c r="A4138" s="327" t="s">
        <v>5</v>
      </c>
      <c r="B4138" s="328">
        <v>7601</v>
      </c>
      <c r="C4138" s="1251" t="s">
        <v>2252</v>
      </c>
      <c r="D4138" s="1252"/>
      <c r="E4138" s="331" t="s">
        <v>8</v>
      </c>
      <c r="F4138" s="332" t="s">
        <v>205</v>
      </c>
      <c r="G4138" s="342" t="s">
        <v>74</v>
      </c>
      <c r="H4138" s="156">
        <v>14490</v>
      </c>
      <c r="I4138" s="331" t="s">
        <v>10</v>
      </c>
      <c r="J4138" s="1220" t="s">
        <v>3388</v>
      </c>
      <c r="K4138" s="1220"/>
      <c r="L4138" s="1221"/>
      <c r="M4138" s="54"/>
      <c r="N4138" s="54"/>
      <c r="O4138" s="334"/>
      <c r="P4138" s="340"/>
      <c r="Q4138" s="334"/>
      <c r="R4138" s="334"/>
      <c r="S4138" s="334"/>
      <c r="T4138" s="10"/>
      <c r="U4138" s="10"/>
      <c r="V4138" s="334"/>
      <c r="W4138" s="334"/>
      <c r="X4138" s="334"/>
      <c r="Y4138" s="334"/>
      <c r="Z4138" s="334"/>
    </row>
    <row r="4139" spans="1:26" s="345" customFormat="1" ht="30" customHeight="1" x14ac:dyDescent="0.25">
      <c r="A4139" s="359" t="s">
        <v>295</v>
      </c>
      <c r="B4139" s="1222" t="s">
        <v>326</v>
      </c>
      <c r="C4139" s="1235"/>
      <c r="D4139" s="1223"/>
      <c r="E4139" s="577" t="s">
        <v>116</v>
      </c>
      <c r="F4139" s="577" t="s">
        <v>117</v>
      </c>
      <c r="G4139" s="1194" t="s">
        <v>118</v>
      </c>
      <c r="H4139" s="1195"/>
      <c r="I4139" s="356" t="s">
        <v>296</v>
      </c>
      <c r="J4139" s="356"/>
      <c r="K4139" s="581" t="s">
        <v>285</v>
      </c>
      <c r="L4139" s="382"/>
      <c r="M4139" s="54"/>
      <c r="N4139" s="54"/>
      <c r="O4139" s="334"/>
      <c r="P4139" s="340"/>
      <c r="Q4139" s="334"/>
      <c r="R4139" s="334"/>
      <c r="S4139" s="334"/>
      <c r="T4139" s="10"/>
      <c r="U4139" s="10"/>
      <c r="V4139" s="334"/>
      <c r="W4139" s="334"/>
      <c r="X4139" s="334"/>
      <c r="Y4139" s="334"/>
      <c r="Z4139" s="334"/>
    </row>
    <row r="4140" spans="1:26" ht="30" customHeight="1" x14ac:dyDescent="0.25">
      <c r="A4140" s="365" t="s">
        <v>2253</v>
      </c>
      <c r="B4140" s="1214" t="s">
        <v>2254</v>
      </c>
      <c r="C4140" s="1215"/>
      <c r="D4140" s="1216"/>
      <c r="E4140" s="7">
        <v>203</v>
      </c>
      <c r="F4140" s="396" t="s">
        <v>205</v>
      </c>
      <c r="G4140" s="689"/>
      <c r="H4140" s="690"/>
      <c r="I4140" s="365">
        <v>1.06</v>
      </c>
      <c r="J4140" s="365"/>
      <c r="K4140" s="716">
        <f>+E4140*I4140</f>
        <v>215.18</v>
      </c>
      <c r="L4140" s="396" t="s">
        <v>205</v>
      </c>
      <c r="M4140" s="54"/>
      <c r="N4140" s="54"/>
      <c r="O4140" s="543"/>
      <c r="T4140" s="10"/>
    </row>
    <row r="4141" spans="1:26" ht="30" customHeight="1" x14ac:dyDescent="0.25">
      <c r="A4141" s="927" t="s">
        <v>2079</v>
      </c>
      <c r="B4141" s="1214" t="s">
        <v>650</v>
      </c>
      <c r="C4141" s="1215"/>
      <c r="D4141" s="1216"/>
      <c r="E4141" s="7">
        <v>4.3</v>
      </c>
      <c r="F4141" s="396" t="s">
        <v>205</v>
      </c>
      <c r="G4141" s="689"/>
      <c r="H4141" s="690"/>
      <c r="I4141" s="365">
        <v>1.06</v>
      </c>
      <c r="J4141" s="365"/>
      <c r="K4141" s="716">
        <f>+E4141*I4141</f>
        <v>4.5579999999999998</v>
      </c>
      <c r="L4141" s="396" t="s">
        <v>205</v>
      </c>
      <c r="M4141" s="54"/>
      <c r="N4141" s="54"/>
      <c r="O4141" s="543"/>
      <c r="T4141" s="10"/>
    </row>
    <row r="4142" spans="1:26" ht="30" customHeight="1" x14ac:dyDescent="0.25">
      <c r="A4142" s="755"/>
      <c r="B4142" s="1214"/>
      <c r="C4142" s="1215"/>
      <c r="D4142" s="1216"/>
      <c r="E4142" s="247"/>
      <c r="F4142" s="396"/>
      <c r="G4142" s="661"/>
      <c r="H4142" s="698"/>
      <c r="I4142" s="365"/>
      <c r="J4142" s="365" t="s">
        <v>343</v>
      </c>
      <c r="K4142" s="246">
        <f>SUM(K4140:K4141)</f>
        <v>219.738</v>
      </c>
      <c r="L4142" s="365" t="s">
        <v>205</v>
      </c>
      <c r="M4142" s="111"/>
      <c r="N4142" s="54"/>
      <c r="O4142" s="543"/>
      <c r="S4142" s="10"/>
      <c r="T4142" s="10"/>
    </row>
    <row r="4143" spans="1:26" ht="30" customHeight="1" x14ac:dyDescent="0.25">
      <c r="A4143" s="365"/>
      <c r="B4143" s="578"/>
      <c r="C4143" s="578"/>
      <c r="D4143" s="578"/>
      <c r="E4143" s="247"/>
      <c r="F4143" s="1272" t="s">
        <v>303</v>
      </c>
      <c r="G4143" s="1283" t="s">
        <v>304</v>
      </c>
      <c r="H4143" s="1283"/>
      <c r="I4143" s="1283"/>
      <c r="J4143" s="1283"/>
      <c r="K4143" s="251">
        <v>1.07</v>
      </c>
      <c r="L4143" s="365"/>
      <c r="M4143" s="54"/>
      <c r="N4143" s="54"/>
      <c r="S4143" s="60"/>
      <c r="T4143" s="60"/>
    </row>
    <row r="4144" spans="1:26" ht="30" customHeight="1" x14ac:dyDescent="0.25">
      <c r="A4144" s="365"/>
      <c r="B4144" s="578"/>
      <c r="C4144" s="578"/>
      <c r="D4144" s="578"/>
      <c r="E4144" s="247"/>
      <c r="F4144" s="1273"/>
      <c r="G4144" s="1284" t="s">
        <v>438</v>
      </c>
      <c r="H4144" s="1284"/>
      <c r="I4144" s="1284"/>
      <c r="J4144" s="1284"/>
      <c r="K4144" s="251">
        <v>1.08</v>
      </c>
      <c r="L4144" s="365"/>
      <c r="M4144" s="54"/>
      <c r="N4144" s="54"/>
      <c r="S4144" s="10"/>
      <c r="T4144" s="10"/>
    </row>
    <row r="4145" spans="1:21" ht="30" customHeight="1" x14ac:dyDescent="0.25">
      <c r="A4145" s="755"/>
      <c r="B4145" s="1214"/>
      <c r="C4145" s="1215"/>
      <c r="D4145" s="1216"/>
      <c r="E4145" s="247"/>
      <c r="F4145" s="396"/>
      <c r="G4145" s="661"/>
      <c r="H4145" s="698"/>
      <c r="I4145" s="365"/>
      <c r="J4145" s="365" t="s">
        <v>72</v>
      </c>
      <c r="K4145" s="246">
        <f>+K4142*K4143/K4144</f>
        <v>217.7033888888889</v>
      </c>
      <c r="L4145" s="365" t="s">
        <v>205</v>
      </c>
      <c r="M4145" s="54"/>
      <c r="N4145" s="112"/>
      <c r="S4145" s="10"/>
      <c r="T4145" s="10"/>
    </row>
    <row r="4146" spans="1:21" ht="30" customHeight="1" x14ac:dyDescent="0.25">
      <c r="A4146" s="365"/>
      <c r="B4146" s="365"/>
      <c r="C4146" s="366"/>
      <c r="D4146" s="366"/>
      <c r="E4146" s="366"/>
      <c r="F4146" s="366"/>
      <c r="G4146" s="580" t="s">
        <v>306</v>
      </c>
      <c r="H4146" s="366"/>
      <c r="I4146" s="366"/>
      <c r="J4146" s="521">
        <f>VLOOKUP(B4138,'Mil Cost Premiums for PUCs'!$A$4:$R$277,18,FALSE)</f>
        <v>1.3319480854780448</v>
      </c>
      <c r="K4146" s="246">
        <f>+K4142*J4146</f>
        <v>292.67960840677461</v>
      </c>
      <c r="L4146" s="365" t="s">
        <v>205</v>
      </c>
      <c r="M4146" s="54"/>
      <c r="N4146" s="54"/>
      <c r="S4146" s="10"/>
      <c r="T4146" s="10"/>
    </row>
    <row r="4147" spans="1:21" ht="30" customHeight="1" thickBot="1" x14ac:dyDescent="0.3">
      <c r="A4147" s="844"/>
      <c r="B4147" s="971"/>
      <c r="C4147" s="972"/>
      <c r="D4147" s="972"/>
      <c r="E4147" s="850"/>
      <c r="F4147" s="1278" t="s">
        <v>1148</v>
      </c>
      <c r="G4147" s="1278"/>
      <c r="H4147" s="1278"/>
      <c r="I4147" s="1278"/>
      <c r="J4147" s="845">
        <v>1.0833999999999999</v>
      </c>
      <c r="K4147" s="544">
        <f>K4146*J4147</f>
        <v>317.08908774789961</v>
      </c>
      <c r="L4147" s="365" t="s">
        <v>205</v>
      </c>
      <c r="N4147" s="54"/>
      <c r="S4147" s="10"/>
      <c r="T4147" s="10"/>
    </row>
    <row r="4148" spans="1:21" ht="30" customHeight="1" thickBot="1" x14ac:dyDescent="0.3">
      <c r="A4148" s="1180"/>
      <c r="B4148" s="1181"/>
      <c r="C4148" s="1181"/>
      <c r="D4148" s="1181"/>
      <c r="E4148" s="1181"/>
      <c r="F4148" s="1181"/>
      <c r="G4148" s="1181"/>
      <c r="H4148" s="1181"/>
      <c r="I4148" s="1181"/>
      <c r="J4148" s="1181"/>
      <c r="K4148" s="1181"/>
      <c r="L4148" s="1182"/>
      <c r="M4148" s="54"/>
      <c r="N4148" s="54"/>
      <c r="S4148" s="10"/>
      <c r="T4148" s="10"/>
    </row>
    <row r="4149" spans="1:21" ht="30" customHeight="1" x14ac:dyDescent="0.25">
      <c r="A4149" s="327" t="s">
        <v>5</v>
      </c>
      <c r="B4149" s="328">
        <v>7602</v>
      </c>
      <c r="C4149" s="1294" t="s">
        <v>2255</v>
      </c>
      <c r="D4149" s="1295"/>
      <c r="E4149" s="1122" t="s">
        <v>8</v>
      </c>
      <c r="F4149" s="1123" t="s">
        <v>76</v>
      </c>
      <c r="G4149" s="1115" t="s">
        <v>7</v>
      </c>
      <c r="H4149" s="1759">
        <v>1</v>
      </c>
      <c r="I4149" s="331" t="s">
        <v>10</v>
      </c>
      <c r="J4149" s="1253" t="s">
        <v>2256</v>
      </c>
      <c r="K4149" s="1254"/>
      <c r="L4149" s="1255"/>
      <c r="M4149" s="111"/>
      <c r="O4149" s="336"/>
      <c r="P4149" s="334"/>
      <c r="Q4149" s="335"/>
      <c r="R4149" s="336"/>
      <c r="S4149" s="337"/>
    </row>
    <row r="4150" spans="1:21" ht="30" customHeight="1" x14ac:dyDescent="0.25">
      <c r="A4150" s="356"/>
      <c r="B4150" s="1163" t="s">
        <v>13</v>
      </c>
      <c r="C4150" s="1163"/>
      <c r="D4150" s="1163"/>
      <c r="E4150" s="356" t="s">
        <v>116</v>
      </c>
      <c r="F4150" s="356" t="s">
        <v>117</v>
      </c>
      <c r="G4150" s="1194" t="s">
        <v>118</v>
      </c>
      <c r="H4150" s="1195"/>
      <c r="I4150" s="356" t="s">
        <v>119</v>
      </c>
      <c r="J4150" s="356" t="s">
        <v>120</v>
      </c>
      <c r="K4150" s="1236" t="s">
        <v>72</v>
      </c>
      <c r="L4150" s="1237"/>
      <c r="M4150" s="54"/>
      <c r="N4150" s="54"/>
      <c r="S4150" s="10"/>
      <c r="T4150" s="10"/>
    </row>
    <row r="4151" spans="1:21" ht="30" customHeight="1" thickBot="1" x14ac:dyDescent="0.3">
      <c r="A4151" s="360"/>
      <c r="B4151" s="1248" t="s">
        <v>2255</v>
      </c>
      <c r="C4151" s="1248"/>
      <c r="D4151" s="1248"/>
      <c r="E4151" s="485">
        <v>9453.48</v>
      </c>
      <c r="F4151" s="486"/>
      <c r="G4151" s="1183"/>
      <c r="H4151" s="1184"/>
      <c r="I4151" s="486"/>
      <c r="J4151" s="845">
        <v>1.0833999999999999</v>
      </c>
      <c r="K4151" s="488">
        <f>E4151*J4151</f>
        <v>10241.900231999998</v>
      </c>
      <c r="L4151" s="486" t="s">
        <v>76</v>
      </c>
      <c r="M4151" s="54"/>
      <c r="N4151" s="54"/>
      <c r="S4151" s="10"/>
      <c r="T4151" s="10"/>
    </row>
    <row r="4152" spans="1:21" ht="30" customHeight="1" thickBot="1" x14ac:dyDescent="0.3">
      <c r="A4152" s="1180"/>
      <c r="B4152" s="1181"/>
      <c r="C4152" s="1181"/>
      <c r="D4152" s="1181"/>
      <c r="E4152" s="1181"/>
      <c r="F4152" s="1181"/>
      <c r="G4152" s="1181"/>
      <c r="H4152" s="1181"/>
      <c r="I4152" s="1181"/>
      <c r="J4152" s="1181"/>
      <c r="K4152" s="1181"/>
      <c r="L4152" s="1182"/>
      <c r="M4152" s="54"/>
      <c r="N4152" s="54"/>
      <c r="S4152" s="10"/>
      <c r="T4152" s="10"/>
    </row>
    <row r="4153" spans="1:21" ht="30" customHeight="1" x14ac:dyDescent="0.25">
      <c r="A4153" s="327" t="s">
        <v>5</v>
      </c>
      <c r="B4153" s="328">
        <v>7603</v>
      </c>
      <c r="C4153" s="1294" t="s">
        <v>2257</v>
      </c>
      <c r="D4153" s="1295"/>
      <c r="E4153" s="1122" t="s">
        <v>8</v>
      </c>
      <c r="F4153" s="1123" t="s">
        <v>76</v>
      </c>
      <c r="G4153" s="1115" t="s">
        <v>7</v>
      </c>
      <c r="H4153" s="1759">
        <v>1</v>
      </c>
      <c r="I4153" s="331" t="s">
        <v>10</v>
      </c>
      <c r="J4153" s="1253" t="s">
        <v>713</v>
      </c>
      <c r="K4153" s="1254"/>
      <c r="L4153" s="1255"/>
      <c r="M4153" s="54"/>
      <c r="N4153" s="54"/>
      <c r="S4153" s="10"/>
      <c r="T4153" s="10"/>
    </row>
    <row r="4154" spans="1:21" ht="30" customHeight="1" x14ac:dyDescent="0.25">
      <c r="A4154" s="356"/>
      <c r="B4154" s="1163" t="s">
        <v>13</v>
      </c>
      <c r="C4154" s="1163"/>
      <c r="D4154" s="1163"/>
      <c r="E4154" s="356" t="s">
        <v>116</v>
      </c>
      <c r="F4154" s="356" t="s">
        <v>117</v>
      </c>
      <c r="G4154" s="1194" t="s">
        <v>118</v>
      </c>
      <c r="H4154" s="1195"/>
      <c r="I4154" s="356" t="s">
        <v>119</v>
      </c>
      <c r="J4154" s="356" t="s">
        <v>120</v>
      </c>
      <c r="K4154" s="1236" t="s">
        <v>72</v>
      </c>
      <c r="L4154" s="1237"/>
      <c r="M4154" s="54"/>
      <c r="N4154" s="54"/>
      <c r="S4154" s="10"/>
      <c r="T4154" s="10"/>
    </row>
    <row r="4155" spans="1:21" ht="30" customHeight="1" thickBot="1" x14ac:dyDescent="0.3">
      <c r="A4155" s="360"/>
      <c r="B4155" s="1290" t="s">
        <v>716</v>
      </c>
      <c r="C4155" s="1290"/>
      <c r="D4155" s="1290"/>
      <c r="E4155" s="485"/>
      <c r="F4155" s="486"/>
      <c r="G4155" s="1183"/>
      <c r="H4155" s="1184"/>
      <c r="I4155" s="486"/>
      <c r="J4155" s="487"/>
      <c r="K4155" s="488" t="s">
        <v>716</v>
      </c>
      <c r="L4155" s="486" t="s">
        <v>76</v>
      </c>
      <c r="M4155" s="54"/>
      <c r="N4155" s="54"/>
      <c r="S4155" s="10"/>
      <c r="T4155" s="10"/>
    </row>
    <row r="4156" spans="1:21" ht="30" customHeight="1" thickBot="1" x14ac:dyDescent="0.3">
      <c r="A4156" s="1180"/>
      <c r="B4156" s="1181"/>
      <c r="C4156" s="1181"/>
      <c r="D4156" s="1181"/>
      <c r="E4156" s="1181"/>
      <c r="F4156" s="1181"/>
      <c r="G4156" s="1181"/>
      <c r="H4156" s="1181"/>
      <c r="I4156" s="1181"/>
      <c r="J4156" s="1181"/>
      <c r="K4156" s="1181"/>
      <c r="L4156" s="1182"/>
      <c r="M4156" s="54"/>
      <c r="N4156" s="54"/>
      <c r="S4156" s="10"/>
      <c r="T4156" s="10"/>
    </row>
    <row r="4157" spans="1:21" ht="30" customHeight="1" x14ac:dyDescent="0.25">
      <c r="A4157" s="327" t="s">
        <v>5</v>
      </c>
      <c r="B4157" s="328">
        <v>7604</v>
      </c>
      <c r="C4157" s="1251" t="s">
        <v>2258</v>
      </c>
      <c r="D4157" s="1252"/>
      <c r="E4157" s="331" t="s">
        <v>8</v>
      </c>
      <c r="F4157" s="332" t="s">
        <v>537</v>
      </c>
      <c r="G4157" s="342" t="s">
        <v>74</v>
      </c>
      <c r="H4157" s="156">
        <v>4660</v>
      </c>
      <c r="I4157" s="331" t="s">
        <v>10</v>
      </c>
      <c r="J4157" s="1220" t="s">
        <v>3388</v>
      </c>
      <c r="K4157" s="1220"/>
      <c r="L4157" s="1221"/>
      <c r="M4157" s="54"/>
      <c r="N4157" s="54"/>
      <c r="S4157" s="10"/>
      <c r="T4157" s="10"/>
    </row>
    <row r="4158" spans="1:21" ht="30" customHeight="1" x14ac:dyDescent="0.25">
      <c r="A4158" s="359" t="s">
        <v>295</v>
      </c>
      <c r="B4158" s="1163" t="s">
        <v>13</v>
      </c>
      <c r="C4158" s="1163"/>
      <c r="D4158" s="1163"/>
      <c r="E4158" s="577" t="s">
        <v>116</v>
      </c>
      <c r="F4158" s="577" t="s">
        <v>117</v>
      </c>
      <c r="G4158" s="1194" t="s">
        <v>118</v>
      </c>
      <c r="H4158" s="1195"/>
      <c r="I4158" s="356" t="s">
        <v>296</v>
      </c>
      <c r="J4158" s="356"/>
      <c r="K4158" s="581" t="s">
        <v>285</v>
      </c>
      <c r="L4158" s="382"/>
      <c r="M4158" s="54"/>
      <c r="N4158" s="54"/>
      <c r="S4158" s="10"/>
      <c r="T4158" s="10"/>
      <c r="U4158" s="10"/>
    </row>
    <row r="4159" spans="1:21" ht="30" customHeight="1" x14ac:dyDescent="0.25">
      <c r="A4159" s="895" t="s">
        <v>1712</v>
      </c>
      <c r="B4159" s="1214" t="s">
        <v>2259</v>
      </c>
      <c r="C4159" s="1215"/>
      <c r="D4159" s="1216"/>
      <c r="E4159" s="7">
        <v>166</v>
      </c>
      <c r="F4159" s="396" t="s">
        <v>2260</v>
      </c>
      <c r="G4159" s="689">
        <v>1.54</v>
      </c>
      <c r="H4159" s="984" t="s">
        <v>2261</v>
      </c>
      <c r="I4159" s="706">
        <v>1.03</v>
      </c>
      <c r="J4159" s="365"/>
      <c r="K4159" s="716">
        <f>+E4159*I4159/G4159</f>
        <v>111.02597402597404</v>
      </c>
      <c r="L4159" s="396" t="s">
        <v>537</v>
      </c>
      <c r="M4159" s="54"/>
      <c r="N4159" s="54"/>
      <c r="S4159" s="10"/>
      <c r="T4159" s="10"/>
      <c r="U4159" s="10"/>
    </row>
    <row r="4160" spans="1:21" ht="30" customHeight="1" x14ac:dyDescent="0.25">
      <c r="A4160" s="365"/>
      <c r="B4160" s="578"/>
      <c r="C4160" s="578"/>
      <c r="D4160" s="578"/>
      <c r="E4160" s="247"/>
      <c r="F4160" s="1272" t="s">
        <v>303</v>
      </c>
      <c r="G4160" s="1283" t="s">
        <v>304</v>
      </c>
      <c r="H4160" s="1283"/>
      <c r="I4160" s="1283"/>
      <c r="J4160" s="1283"/>
      <c r="K4160" s="251">
        <v>1.07</v>
      </c>
      <c r="L4160" s="365"/>
      <c r="M4160" s="112"/>
      <c r="N4160" s="54"/>
      <c r="T4160" s="10"/>
      <c r="U4160" s="10"/>
    </row>
    <row r="4161" spans="1:21" ht="30" customHeight="1" x14ac:dyDescent="0.25">
      <c r="A4161" s="369"/>
      <c r="B4161" s="370"/>
      <c r="C4161" s="370"/>
      <c r="D4161" s="370"/>
      <c r="E4161" s="177"/>
      <c r="F4161" s="1561"/>
      <c r="G4161" s="1284" t="s">
        <v>438</v>
      </c>
      <c r="H4161" s="1284"/>
      <c r="I4161" s="1284"/>
      <c r="J4161" s="1284"/>
      <c r="K4161" s="233">
        <v>1.08</v>
      </c>
      <c r="L4161" s="369"/>
      <c r="M4161" s="54"/>
      <c r="N4161" s="54"/>
      <c r="O4161" s="655"/>
      <c r="T4161" s="10"/>
      <c r="U4161" s="10"/>
    </row>
    <row r="4162" spans="1:21" ht="30" customHeight="1" x14ac:dyDescent="0.25">
      <c r="A4162" s="985"/>
      <c r="B4162" s="1621"/>
      <c r="C4162" s="1621"/>
      <c r="D4162" s="1621"/>
      <c r="E4162" s="231"/>
      <c r="F4162" s="835"/>
      <c r="G4162" s="835"/>
      <c r="H4162" s="835"/>
      <c r="I4162" s="835"/>
      <c r="J4162" s="835" t="s">
        <v>72</v>
      </c>
      <c r="K4162" s="232">
        <f>+K4159*K4160/K4161</f>
        <v>109.99795574795576</v>
      </c>
      <c r="L4162" s="835" t="s">
        <v>537</v>
      </c>
      <c r="M4162" s="54"/>
      <c r="N4162" s="54"/>
      <c r="T4162" s="10"/>
      <c r="U4162" s="10"/>
    </row>
    <row r="4163" spans="1:21" ht="30" customHeight="1" x14ac:dyDescent="0.25">
      <c r="A4163" s="835"/>
      <c r="B4163" s="1159" t="s">
        <v>2262</v>
      </c>
      <c r="C4163" s="1159"/>
      <c r="D4163" s="1159"/>
      <c r="E4163" s="840"/>
      <c r="F4163" s="840"/>
      <c r="G4163" s="842" t="s">
        <v>306</v>
      </c>
      <c r="H4163" s="840"/>
      <c r="I4163" s="840"/>
      <c r="J4163" s="986">
        <f>VLOOKUP(B4157,'Mil Cost Premiums for PUCs'!$A$4:$R$277,18,FALSE)</f>
        <v>1.1199953840399997</v>
      </c>
      <c r="K4163" s="232">
        <f>+K4162*J4163</f>
        <v>123.19720269154659</v>
      </c>
      <c r="L4163" s="835" t="s">
        <v>537</v>
      </c>
      <c r="M4163" s="54"/>
      <c r="N4163" s="54"/>
      <c r="T4163" s="10"/>
      <c r="U4163" s="10"/>
    </row>
    <row r="4164" spans="1:21" ht="30" customHeight="1" thickBot="1" x14ac:dyDescent="0.3">
      <c r="A4164" s="844"/>
      <c r="B4164" s="844"/>
      <c r="C4164" s="471"/>
      <c r="D4164" s="471"/>
      <c r="E4164" s="471"/>
      <c r="F4164" s="1278" t="s">
        <v>1148</v>
      </c>
      <c r="G4164" s="1278"/>
      <c r="H4164" s="1278"/>
      <c r="I4164" s="1278"/>
      <c r="J4164" s="987">
        <v>1.0833999999999999</v>
      </c>
      <c r="K4164" s="988">
        <f>K4163*J4164</f>
        <v>133.47184939602158</v>
      </c>
      <c r="L4164" s="844" t="s">
        <v>537</v>
      </c>
      <c r="N4164" s="54"/>
      <c r="T4164" s="10"/>
      <c r="U4164" s="10"/>
    </row>
    <row r="4165" spans="1:21" ht="30" customHeight="1" thickBot="1" x14ac:dyDescent="0.3">
      <c r="A4165" s="1305"/>
      <c r="B4165" s="1306"/>
      <c r="C4165" s="1306"/>
      <c r="D4165" s="1306"/>
      <c r="E4165" s="1306"/>
      <c r="F4165" s="1306"/>
      <c r="G4165" s="1306"/>
      <c r="H4165" s="1306"/>
      <c r="I4165" s="1306"/>
      <c r="J4165" s="1306"/>
      <c r="K4165" s="1306"/>
      <c r="L4165" s="1307"/>
      <c r="M4165" s="54"/>
      <c r="O4165" s="336"/>
      <c r="P4165" s="334"/>
      <c r="Q4165" s="335"/>
      <c r="R4165" s="336"/>
      <c r="S4165" s="337"/>
    </row>
    <row r="4166" spans="1:21" ht="30" customHeight="1" x14ac:dyDescent="0.25">
      <c r="A4166" s="349" t="s">
        <v>5</v>
      </c>
      <c r="B4166" s="350">
        <v>7605</v>
      </c>
      <c r="C4166" s="1151" t="s">
        <v>2263</v>
      </c>
      <c r="D4166" s="1152"/>
      <c r="E4166" s="351" t="s">
        <v>8</v>
      </c>
      <c r="F4166" s="352" t="s">
        <v>76</v>
      </c>
      <c r="G4166" s="740"/>
      <c r="H4166" s="234"/>
      <c r="I4166" s="351" t="s">
        <v>10</v>
      </c>
      <c r="J4166" s="1185" t="s">
        <v>2264</v>
      </c>
      <c r="K4166" s="1185"/>
      <c r="L4166" s="1532"/>
      <c r="M4166" s="111"/>
      <c r="N4166" s="54"/>
      <c r="T4166" s="10"/>
    </row>
    <row r="4167" spans="1:21" ht="30" customHeight="1" x14ac:dyDescent="0.25">
      <c r="A4167" s="356"/>
      <c r="B4167" s="1163" t="s">
        <v>13</v>
      </c>
      <c r="C4167" s="1163"/>
      <c r="D4167" s="1163"/>
      <c r="E4167" s="356" t="s">
        <v>576</v>
      </c>
      <c r="F4167" s="356" t="s">
        <v>117</v>
      </c>
      <c r="G4167" s="1194" t="s">
        <v>118</v>
      </c>
      <c r="H4167" s="1195"/>
      <c r="I4167" s="828" t="s">
        <v>119</v>
      </c>
      <c r="J4167" s="356" t="s">
        <v>120</v>
      </c>
      <c r="K4167" s="581" t="s">
        <v>285</v>
      </c>
      <c r="L4167" s="382"/>
      <c r="M4167" s="54"/>
      <c r="N4167" s="54"/>
      <c r="T4167" s="10"/>
    </row>
    <row r="4168" spans="1:21" ht="30" customHeight="1" x14ac:dyDescent="0.25">
      <c r="A4168" s="360"/>
      <c r="B4168" s="1281" t="s">
        <v>2265</v>
      </c>
      <c r="C4168" s="1281"/>
      <c r="D4168" s="1281"/>
      <c r="E4168" s="485">
        <v>6390138</v>
      </c>
      <c r="F4168" s="486" t="s">
        <v>54</v>
      </c>
      <c r="G4168" s="365">
        <v>184</v>
      </c>
      <c r="H4168" s="567" t="s">
        <v>2266</v>
      </c>
      <c r="I4168" s="989">
        <f>1.07/1.01</f>
        <v>1.0594059405940595</v>
      </c>
      <c r="J4168" s="739">
        <f>+'2022 MILCON Inflation Table'!F4</f>
        <v>1.4758838504863185</v>
      </c>
      <c r="K4168" s="485">
        <f>+E4168/G4168/I4168*J4168</f>
        <v>48381.818830479133</v>
      </c>
      <c r="L4168" s="486" t="s">
        <v>76</v>
      </c>
      <c r="M4168" s="54"/>
      <c r="N4168" s="54"/>
      <c r="S4168" s="10"/>
      <c r="T4168" s="10"/>
    </row>
    <row r="4169" spans="1:21" ht="30" customHeight="1" x14ac:dyDescent="0.25">
      <c r="A4169" s="1690" t="s">
        <v>3440</v>
      </c>
      <c r="B4169" s="1691"/>
      <c r="C4169" s="1691"/>
      <c r="D4169" s="1354"/>
      <c r="E4169" s="990"/>
      <c r="F4169" s="486"/>
      <c r="G4169" s="365"/>
      <c r="H4169" s="991"/>
      <c r="I4169" s="1375" t="s">
        <v>2267</v>
      </c>
      <c r="J4169" s="1377"/>
      <c r="K4169" s="485">
        <f>+K4168</f>
        <v>48381.818830479133</v>
      </c>
      <c r="L4169" s="365" t="s">
        <v>76</v>
      </c>
      <c r="M4169" s="54"/>
      <c r="N4169" s="54"/>
      <c r="S4169" s="60"/>
      <c r="T4169" s="60"/>
    </row>
    <row r="4170" spans="1:21" ht="30" customHeight="1" x14ac:dyDescent="0.25">
      <c r="A4170" s="1355"/>
      <c r="B4170" s="1356"/>
      <c r="C4170" s="1356"/>
      <c r="D4170" s="1357"/>
      <c r="E4170" s="452" t="s">
        <v>2268</v>
      </c>
      <c r="F4170" s="366"/>
      <c r="G4170" s="366"/>
      <c r="H4170" s="366"/>
      <c r="I4170" s="366"/>
      <c r="J4170" s="359" t="s">
        <v>72</v>
      </c>
      <c r="K4170" s="283">
        <f>+K4169</f>
        <v>48381.818830479133</v>
      </c>
      <c r="L4170" s="365" t="s">
        <v>76</v>
      </c>
      <c r="M4170" s="54"/>
      <c r="N4170" s="54"/>
      <c r="S4170" s="10"/>
      <c r="T4170" s="10"/>
    </row>
    <row r="4171" spans="1:21" ht="30" customHeight="1" thickBot="1" x14ac:dyDescent="0.3">
      <c r="E4171" s="992"/>
      <c r="F4171" s="992"/>
      <c r="G4171" s="992"/>
      <c r="H4171" s="992"/>
      <c r="I4171" s="992"/>
      <c r="J4171" s="992"/>
      <c r="K4171" s="992"/>
      <c r="L4171" s="993"/>
      <c r="M4171" s="54"/>
      <c r="N4171" s="54"/>
      <c r="S4171" s="10"/>
      <c r="T4171" s="10"/>
    </row>
    <row r="4172" spans="1:21" ht="30" customHeight="1" thickBot="1" x14ac:dyDescent="0.3">
      <c r="A4172" s="1180"/>
      <c r="B4172" s="1181"/>
      <c r="C4172" s="1181"/>
      <c r="D4172" s="1181"/>
      <c r="E4172" s="1181"/>
      <c r="F4172" s="1181"/>
      <c r="G4172" s="1181"/>
      <c r="H4172" s="1181"/>
      <c r="I4172" s="1181"/>
      <c r="J4172" s="1181"/>
      <c r="K4172" s="1181"/>
      <c r="L4172" s="1182"/>
      <c r="M4172" s="54"/>
      <c r="N4172" s="54"/>
      <c r="S4172" s="10"/>
      <c r="T4172" s="10"/>
    </row>
    <row r="4173" spans="1:21" ht="30" customHeight="1" x14ac:dyDescent="0.25">
      <c r="A4173" s="327" t="s">
        <v>5</v>
      </c>
      <c r="B4173" s="328">
        <v>8111</v>
      </c>
      <c r="C4173" s="1251" t="s">
        <v>2269</v>
      </c>
      <c r="D4173" s="1252"/>
      <c r="E4173" s="331" t="s">
        <v>8</v>
      </c>
      <c r="F4173" s="332" t="s">
        <v>2270</v>
      </c>
      <c r="G4173" s="342" t="s">
        <v>74</v>
      </c>
      <c r="H4173" s="156">
        <v>4589</v>
      </c>
      <c r="I4173" s="331" t="s">
        <v>10</v>
      </c>
      <c r="J4173" s="1220" t="s">
        <v>3388</v>
      </c>
      <c r="K4173" s="1220"/>
      <c r="L4173" s="1221"/>
      <c r="M4173" s="54"/>
      <c r="N4173" s="54"/>
      <c r="S4173" s="10"/>
      <c r="T4173" s="10"/>
    </row>
    <row r="4174" spans="1:21" ht="30" customHeight="1" x14ac:dyDescent="0.25">
      <c r="A4174" s="359" t="s">
        <v>295</v>
      </c>
      <c r="B4174" s="1222" t="s">
        <v>326</v>
      </c>
      <c r="C4174" s="1235"/>
      <c r="D4174" s="1223"/>
      <c r="E4174" s="577" t="s">
        <v>116</v>
      </c>
      <c r="F4174" s="577" t="s">
        <v>117</v>
      </c>
      <c r="G4174" s="1194" t="s">
        <v>118</v>
      </c>
      <c r="H4174" s="1195"/>
      <c r="I4174" s="356" t="s">
        <v>296</v>
      </c>
      <c r="J4174" s="356"/>
      <c r="K4174" s="581" t="s">
        <v>285</v>
      </c>
      <c r="L4174" s="382"/>
      <c r="M4174" s="54"/>
      <c r="N4174" s="54"/>
      <c r="S4174" s="10"/>
      <c r="T4174" s="10"/>
    </row>
    <row r="4175" spans="1:21" ht="30" customHeight="1" x14ac:dyDescent="0.25">
      <c r="A4175" s="895" t="s">
        <v>698</v>
      </c>
      <c r="B4175" s="1209" t="s">
        <v>2271</v>
      </c>
      <c r="C4175" s="1210"/>
      <c r="D4175" s="1211"/>
      <c r="E4175" s="7">
        <v>400</v>
      </c>
      <c r="F4175" s="396" t="s">
        <v>2270</v>
      </c>
      <c r="G4175" s="689"/>
      <c r="H4175" s="690"/>
      <c r="I4175" s="706">
        <v>1</v>
      </c>
      <c r="J4175" s="365"/>
      <c r="K4175" s="716">
        <f>+E4175*I4175</f>
        <v>400</v>
      </c>
      <c r="L4175" s="396" t="s">
        <v>2270</v>
      </c>
      <c r="M4175" s="54"/>
      <c r="N4175" s="54"/>
      <c r="S4175" s="10"/>
      <c r="T4175" s="10"/>
    </row>
    <row r="4176" spans="1:21" ht="30" customHeight="1" x14ac:dyDescent="0.25">
      <c r="A4176" s="365"/>
      <c r="B4176" s="370"/>
      <c r="C4176" s="370"/>
      <c r="D4176" s="370"/>
      <c r="E4176" s="247"/>
      <c r="F4176" s="1272" t="s">
        <v>303</v>
      </c>
      <c r="G4176" s="1283" t="s">
        <v>304</v>
      </c>
      <c r="H4176" s="1283"/>
      <c r="I4176" s="1283"/>
      <c r="J4176" s="1283"/>
      <c r="K4176" s="251">
        <v>1.07</v>
      </c>
      <c r="L4176" s="365"/>
      <c r="M4176" s="54"/>
      <c r="N4176" s="54"/>
      <c r="S4176" s="10"/>
      <c r="T4176" s="10"/>
    </row>
    <row r="4177" spans="1:21" ht="30" customHeight="1" x14ac:dyDescent="0.25">
      <c r="A4177" s="661"/>
      <c r="B4177" s="847"/>
      <c r="C4177" s="847"/>
      <c r="D4177" s="847"/>
      <c r="E4177" s="163"/>
      <c r="F4177" s="1273"/>
      <c r="G4177" s="1284" t="s">
        <v>438</v>
      </c>
      <c r="H4177" s="1284"/>
      <c r="I4177" s="1284"/>
      <c r="J4177" s="1284"/>
      <c r="K4177" s="251">
        <v>1.08</v>
      </c>
      <c r="L4177" s="365"/>
      <c r="M4177" s="54"/>
      <c r="N4177" s="54"/>
      <c r="S4177" s="10"/>
      <c r="T4177" s="10"/>
      <c r="U4177" s="10"/>
    </row>
    <row r="4178" spans="1:21" ht="30" customHeight="1" x14ac:dyDescent="0.25">
      <c r="A4178" s="970"/>
      <c r="B4178" s="840"/>
      <c r="C4178" s="840"/>
      <c r="D4178" s="840"/>
      <c r="E4178" s="163"/>
      <c r="F4178" s="396"/>
      <c r="G4178" s="661"/>
      <c r="H4178" s="698"/>
      <c r="I4178" s="365"/>
      <c r="J4178" s="365" t="s">
        <v>72</v>
      </c>
      <c r="K4178" s="246">
        <f>+K4175*K4176/K4177</f>
        <v>396.29629629629625</v>
      </c>
      <c r="L4178" s="365" t="s">
        <v>2270</v>
      </c>
      <c r="M4178" s="54"/>
      <c r="N4178" s="54"/>
      <c r="S4178" s="10"/>
      <c r="T4178" s="10"/>
      <c r="U4178" s="10"/>
    </row>
    <row r="4179" spans="1:21" ht="30" customHeight="1" x14ac:dyDescent="0.25">
      <c r="A4179" s="365"/>
      <c r="B4179" s="396"/>
      <c r="C4179" s="380"/>
      <c r="D4179" s="380"/>
      <c r="E4179" s="366"/>
      <c r="F4179" s="366"/>
      <c r="G4179" s="580" t="s">
        <v>306</v>
      </c>
      <c r="H4179" s="366"/>
      <c r="I4179" s="366"/>
      <c r="J4179" s="521">
        <f>VLOOKUP(B4173,'Mil Cost Premiums for PUCs'!$A$4:$R$277,18,FALSE)</f>
        <v>1.0905505199999999</v>
      </c>
      <c r="K4179" s="246">
        <f>+K4178*J4179</f>
        <v>432.18113199999988</v>
      </c>
      <c r="L4179" s="365" t="s">
        <v>2270</v>
      </c>
      <c r="M4179" s="54"/>
      <c r="N4179" s="54"/>
      <c r="T4179" s="10"/>
      <c r="U4179" s="10"/>
    </row>
    <row r="4180" spans="1:21" ht="30" customHeight="1" thickBot="1" x14ac:dyDescent="0.3">
      <c r="A4180" s="844"/>
      <c r="B4180" s="844"/>
      <c r="C4180" s="471"/>
      <c r="D4180" s="471"/>
      <c r="E4180" s="471"/>
      <c r="F4180" s="1278" t="s">
        <v>1148</v>
      </c>
      <c r="G4180" s="1278"/>
      <c r="H4180" s="1278"/>
      <c r="I4180" s="1278"/>
      <c r="J4180" s="987">
        <v>1.0833999999999999</v>
      </c>
      <c r="K4180" s="988">
        <f>K4179*J4180</f>
        <v>468.22503840879983</v>
      </c>
      <c r="L4180" s="365" t="s">
        <v>2270</v>
      </c>
      <c r="N4180" s="54"/>
      <c r="T4180" s="10"/>
      <c r="U4180" s="10"/>
    </row>
    <row r="4181" spans="1:21" ht="30" customHeight="1" thickBot="1" x14ac:dyDescent="0.3">
      <c r="A4181" s="1180"/>
      <c r="B4181" s="1181"/>
      <c r="C4181" s="1181"/>
      <c r="D4181" s="1181"/>
      <c r="E4181" s="1181"/>
      <c r="F4181" s="1181"/>
      <c r="G4181" s="1181"/>
      <c r="H4181" s="1181"/>
      <c r="I4181" s="1181"/>
      <c r="J4181" s="1181"/>
      <c r="K4181" s="1181"/>
      <c r="L4181" s="1182"/>
      <c r="M4181" s="54"/>
      <c r="N4181" s="54"/>
      <c r="T4181" s="10"/>
      <c r="U4181" s="10"/>
    </row>
    <row r="4182" spans="1:21" ht="30" customHeight="1" x14ac:dyDescent="0.25">
      <c r="A4182" s="327" t="s">
        <v>5</v>
      </c>
      <c r="B4182" s="328">
        <v>8112</v>
      </c>
      <c r="C4182" s="1218" t="s">
        <v>2272</v>
      </c>
      <c r="D4182" s="1219"/>
      <c r="E4182" s="331" t="s">
        <v>8</v>
      </c>
      <c r="F4182" s="332" t="s">
        <v>2270</v>
      </c>
      <c r="G4182" s="342" t="s">
        <v>74</v>
      </c>
      <c r="H4182" s="160">
        <v>353</v>
      </c>
      <c r="I4182" s="331" t="s">
        <v>10</v>
      </c>
      <c r="J4182" s="1220" t="s">
        <v>382</v>
      </c>
      <c r="K4182" s="1220"/>
      <c r="L4182" s="1221"/>
      <c r="M4182" s="111"/>
      <c r="N4182" s="54"/>
      <c r="T4182" s="10"/>
      <c r="U4182" s="10"/>
    </row>
    <row r="4183" spans="1:21" ht="30" customHeight="1" x14ac:dyDescent="0.25">
      <c r="A4183" s="356" t="s">
        <v>282</v>
      </c>
      <c r="B4183" s="1163" t="s">
        <v>13</v>
      </c>
      <c r="C4183" s="1163"/>
      <c r="D4183" s="1163"/>
      <c r="E4183" s="546" t="s">
        <v>2273</v>
      </c>
      <c r="F4183" s="356" t="s">
        <v>2274</v>
      </c>
      <c r="G4183" s="1314" t="s">
        <v>118</v>
      </c>
      <c r="H4183" s="1315"/>
      <c r="I4183" s="1276" t="s">
        <v>284</v>
      </c>
      <c r="J4183" s="1277"/>
      <c r="K4183" s="581" t="s">
        <v>285</v>
      </c>
      <c r="L4183" s="382"/>
      <c r="M4183" s="54"/>
      <c r="N4183" s="54"/>
      <c r="T4183" s="10"/>
      <c r="U4183" s="10"/>
    </row>
    <row r="4184" spans="1:21" ht="30" customHeight="1" x14ac:dyDescent="0.25">
      <c r="A4184" s="365">
        <v>81160</v>
      </c>
      <c r="B4184" s="1209" t="s">
        <v>2275</v>
      </c>
      <c r="C4184" s="1210"/>
      <c r="D4184" s="1211"/>
      <c r="E4184" s="247">
        <v>125860</v>
      </c>
      <c r="F4184" s="257">
        <v>75</v>
      </c>
      <c r="G4184" s="661">
        <v>75</v>
      </c>
      <c r="H4184" s="698" t="s">
        <v>2276</v>
      </c>
      <c r="I4184" s="1378">
        <v>0.9405</v>
      </c>
      <c r="J4184" s="1379"/>
      <c r="K4184" s="253">
        <f>+E4184/F4184*I4184</f>
        <v>1578.2844</v>
      </c>
      <c r="L4184" s="365" t="s">
        <v>2270</v>
      </c>
      <c r="M4184" s="54"/>
      <c r="N4184" s="54"/>
      <c r="T4184" s="10"/>
    </row>
    <row r="4185" spans="1:21" ht="30" customHeight="1" x14ac:dyDescent="0.25">
      <c r="A4185" s="365">
        <v>81160</v>
      </c>
      <c r="B4185" s="1281" t="s">
        <v>2277</v>
      </c>
      <c r="C4185" s="1269"/>
      <c r="D4185" s="1269"/>
      <c r="E4185" s="247">
        <v>147890</v>
      </c>
      <c r="F4185" s="257">
        <v>125</v>
      </c>
      <c r="G4185" s="661">
        <v>125</v>
      </c>
      <c r="H4185" s="698" t="s">
        <v>2276</v>
      </c>
      <c r="I4185" s="1378">
        <v>0.9405</v>
      </c>
      <c r="J4185" s="1379"/>
      <c r="K4185" s="253">
        <f t="shared" ref="K4185:K4190" si="62">+E4185/F4185*I4185</f>
        <v>1112.7243599999999</v>
      </c>
      <c r="L4185" s="365" t="s">
        <v>2270</v>
      </c>
      <c r="M4185" s="111"/>
      <c r="N4185" s="54"/>
      <c r="T4185" s="10"/>
    </row>
    <row r="4186" spans="1:21" ht="30" customHeight="1" x14ac:dyDescent="0.25">
      <c r="A4186" s="365">
        <v>81160</v>
      </c>
      <c r="B4186" s="1281" t="s">
        <v>2278</v>
      </c>
      <c r="C4186" s="1269"/>
      <c r="D4186" s="1269"/>
      <c r="E4186" s="247">
        <v>192540</v>
      </c>
      <c r="F4186" s="257">
        <v>200</v>
      </c>
      <c r="G4186" s="661">
        <v>200</v>
      </c>
      <c r="H4186" s="698" t="s">
        <v>2276</v>
      </c>
      <c r="I4186" s="1378">
        <v>0.9405</v>
      </c>
      <c r="J4186" s="1379"/>
      <c r="K4186" s="253">
        <f t="shared" si="62"/>
        <v>905.41935000000001</v>
      </c>
      <c r="L4186" s="365" t="s">
        <v>2270</v>
      </c>
      <c r="M4186" s="54"/>
      <c r="O4186" s="336"/>
      <c r="P4186" s="334"/>
      <c r="Q4186" s="335"/>
      <c r="R4186" s="336"/>
      <c r="S4186" s="337"/>
    </row>
    <row r="4187" spans="1:21" ht="30" customHeight="1" x14ac:dyDescent="0.25">
      <c r="A4187" s="365">
        <v>81160</v>
      </c>
      <c r="B4187" s="1281" t="s">
        <v>2279</v>
      </c>
      <c r="C4187" s="1269"/>
      <c r="D4187" s="1269"/>
      <c r="E4187" s="247">
        <v>235990</v>
      </c>
      <c r="F4187" s="257">
        <v>300</v>
      </c>
      <c r="G4187" s="661">
        <v>300</v>
      </c>
      <c r="H4187" s="698" t="s">
        <v>2276</v>
      </c>
      <c r="I4187" s="1378">
        <v>0.9405</v>
      </c>
      <c r="J4187" s="1379"/>
      <c r="K4187" s="253">
        <f t="shared" si="62"/>
        <v>739.82865000000004</v>
      </c>
      <c r="L4187" s="365" t="s">
        <v>2270</v>
      </c>
      <c r="M4187" s="54"/>
      <c r="N4187" s="54"/>
      <c r="U4187" s="10"/>
    </row>
    <row r="4188" spans="1:21" ht="30" customHeight="1" x14ac:dyDescent="0.25">
      <c r="A4188" s="365">
        <v>81160</v>
      </c>
      <c r="B4188" s="1281" t="s">
        <v>2280</v>
      </c>
      <c r="C4188" s="1269"/>
      <c r="D4188" s="1269"/>
      <c r="E4188" s="282">
        <v>319900</v>
      </c>
      <c r="F4188" s="257">
        <v>400</v>
      </c>
      <c r="G4188" s="661">
        <v>400</v>
      </c>
      <c r="H4188" s="698" t="s">
        <v>2276</v>
      </c>
      <c r="I4188" s="1378">
        <v>0.9405</v>
      </c>
      <c r="J4188" s="1379"/>
      <c r="K4188" s="253">
        <f t="shared" si="62"/>
        <v>752.16487500000005</v>
      </c>
      <c r="L4188" s="365" t="s">
        <v>2270</v>
      </c>
      <c r="M4188" s="54"/>
      <c r="N4188" s="54"/>
      <c r="U4188" s="10"/>
    </row>
    <row r="4189" spans="1:21" ht="30" customHeight="1" x14ac:dyDescent="0.25">
      <c r="A4189" s="365">
        <v>81160</v>
      </c>
      <c r="B4189" s="1281" t="s">
        <v>2281</v>
      </c>
      <c r="C4189" s="1269"/>
      <c r="D4189" s="1269"/>
      <c r="E4189" s="282">
        <v>396790</v>
      </c>
      <c r="F4189" s="257">
        <v>500</v>
      </c>
      <c r="G4189" s="661">
        <v>500</v>
      </c>
      <c r="H4189" s="698" t="s">
        <v>2276</v>
      </c>
      <c r="I4189" s="1378">
        <v>0.9405</v>
      </c>
      <c r="J4189" s="1379"/>
      <c r="K4189" s="253">
        <f t="shared" si="62"/>
        <v>746.36198999999999</v>
      </c>
      <c r="L4189" s="365" t="s">
        <v>2270</v>
      </c>
      <c r="M4189" s="54"/>
      <c r="N4189" s="54"/>
      <c r="O4189" s="867"/>
      <c r="T4189" s="10"/>
      <c r="U4189" s="10"/>
    </row>
    <row r="4190" spans="1:21" ht="30" customHeight="1" x14ac:dyDescent="0.25">
      <c r="A4190" s="365">
        <v>81160</v>
      </c>
      <c r="B4190" s="1281" t="s">
        <v>2282</v>
      </c>
      <c r="C4190" s="1269"/>
      <c r="D4190" s="1269"/>
      <c r="E4190" s="282">
        <v>617040</v>
      </c>
      <c r="F4190" s="257">
        <v>750</v>
      </c>
      <c r="G4190" s="753">
        <v>750</v>
      </c>
      <c r="H4190" s="698" t="s">
        <v>2276</v>
      </c>
      <c r="I4190" s="1378">
        <v>0.9405</v>
      </c>
      <c r="J4190" s="1379"/>
      <c r="K4190" s="253">
        <f t="shared" si="62"/>
        <v>773.76816000000008</v>
      </c>
      <c r="L4190" s="365" t="s">
        <v>2270</v>
      </c>
      <c r="M4190" s="54"/>
      <c r="N4190" s="111"/>
      <c r="T4190" s="10"/>
      <c r="U4190" s="10"/>
    </row>
    <row r="4191" spans="1:21" ht="30" customHeight="1" x14ac:dyDescent="0.25">
      <c r="A4191" s="365"/>
      <c r="B4191" s="561"/>
      <c r="C4191" s="562"/>
      <c r="D4191" s="563"/>
      <c r="E4191" s="182"/>
      <c r="F4191" s="172"/>
      <c r="G4191" s="697"/>
      <c r="H4191" s="698"/>
      <c r="I4191" s="853"/>
      <c r="J4191" s="695" t="s">
        <v>300</v>
      </c>
      <c r="K4191" s="253">
        <f>AVERAGE(K4184:K4190)</f>
        <v>944.07882642857169</v>
      </c>
      <c r="L4191" s="365" t="s">
        <v>2270</v>
      </c>
      <c r="M4191" s="54"/>
      <c r="N4191" s="54"/>
      <c r="P4191" s="334"/>
      <c r="T4191" s="10"/>
      <c r="U4191" s="10"/>
    </row>
    <row r="4192" spans="1:21" ht="30" customHeight="1" thickBot="1" x14ac:dyDescent="0.3">
      <c r="A4192" s="365"/>
      <c r="B4192" s="1214"/>
      <c r="C4192" s="1215"/>
      <c r="D4192" s="1216"/>
      <c r="E4192" s="333"/>
      <c r="F4192" s="744"/>
      <c r="G4192" s="333"/>
      <c r="H4192" s="333"/>
      <c r="I4192" s="366"/>
      <c r="J4192" s="359" t="s">
        <v>72</v>
      </c>
      <c r="K4192" s="253">
        <f>AVERAGE(K4184:K4191)</f>
        <v>944.07882642857169</v>
      </c>
      <c r="L4192" s="365" t="s">
        <v>2270</v>
      </c>
      <c r="M4192" s="54"/>
      <c r="N4192" s="54"/>
      <c r="P4192" s="334"/>
      <c r="T4192" s="10"/>
    </row>
    <row r="4193" spans="1:20" ht="30" customHeight="1" thickBot="1" x14ac:dyDescent="0.3">
      <c r="A4193" s="1180"/>
      <c r="B4193" s="1181"/>
      <c r="C4193" s="1181"/>
      <c r="D4193" s="1181"/>
      <c r="E4193" s="1181"/>
      <c r="F4193" s="1181"/>
      <c r="G4193" s="1181"/>
      <c r="H4193" s="1181"/>
      <c r="I4193" s="1181"/>
      <c r="J4193" s="1181"/>
      <c r="K4193" s="1181"/>
      <c r="L4193" s="1182"/>
      <c r="M4193" s="54"/>
      <c r="N4193" s="54"/>
      <c r="P4193" s="334"/>
      <c r="T4193" s="10"/>
    </row>
    <row r="4194" spans="1:20" ht="30" customHeight="1" x14ac:dyDescent="0.25">
      <c r="A4194" s="327" t="s">
        <v>5</v>
      </c>
      <c r="B4194" s="328">
        <v>8113</v>
      </c>
      <c r="C4194" s="1251" t="s">
        <v>2283</v>
      </c>
      <c r="D4194" s="1252"/>
      <c r="E4194" s="331" t="s">
        <v>8</v>
      </c>
      <c r="F4194" s="332" t="s">
        <v>2284</v>
      </c>
      <c r="G4194" s="342" t="s">
        <v>74</v>
      </c>
      <c r="H4194" s="156">
        <v>3000</v>
      </c>
      <c r="I4194" s="331" t="s">
        <v>10</v>
      </c>
      <c r="J4194" s="1220" t="s">
        <v>3388</v>
      </c>
      <c r="K4194" s="1220"/>
      <c r="L4194" s="1221"/>
      <c r="M4194" s="54"/>
      <c r="N4194" s="54"/>
      <c r="P4194" s="334"/>
      <c r="Q4194" s="335"/>
      <c r="R4194" s="336"/>
      <c r="S4194" s="337"/>
    </row>
    <row r="4195" spans="1:20" ht="30" customHeight="1" x14ac:dyDescent="0.25">
      <c r="A4195" s="359" t="s">
        <v>295</v>
      </c>
      <c r="B4195" s="1222" t="s">
        <v>326</v>
      </c>
      <c r="C4195" s="1235"/>
      <c r="D4195" s="1223"/>
      <c r="E4195" s="577" t="s">
        <v>116</v>
      </c>
      <c r="F4195" s="577" t="s">
        <v>117</v>
      </c>
      <c r="G4195" s="1194" t="s">
        <v>118</v>
      </c>
      <c r="H4195" s="1195"/>
      <c r="I4195" s="356" t="s">
        <v>296</v>
      </c>
      <c r="J4195" s="356" t="s">
        <v>284</v>
      </c>
      <c r="K4195" s="581" t="s">
        <v>285</v>
      </c>
      <c r="L4195" s="382"/>
      <c r="M4195" s="54"/>
      <c r="N4195" s="54"/>
      <c r="P4195" s="334"/>
      <c r="Q4195" s="335"/>
      <c r="R4195" s="336"/>
      <c r="S4195" s="337"/>
    </row>
    <row r="4196" spans="1:20" ht="30" customHeight="1" x14ac:dyDescent="0.25">
      <c r="A4196" s="895" t="s">
        <v>1386</v>
      </c>
      <c r="B4196" s="1209" t="s">
        <v>2285</v>
      </c>
      <c r="C4196" s="1210"/>
      <c r="D4196" s="1211"/>
      <c r="E4196" s="7">
        <f>(1850+5800)/2</f>
        <v>3825</v>
      </c>
      <c r="F4196" s="396" t="s">
        <v>2270</v>
      </c>
      <c r="G4196" s="661">
        <v>1000</v>
      </c>
      <c r="H4196" s="698" t="s">
        <v>2286</v>
      </c>
      <c r="I4196" s="706">
        <v>1.05</v>
      </c>
      <c r="J4196" s="933">
        <f>+'2022 MILCON Inflation Table'!$F$13</f>
        <v>1.2561273320332946</v>
      </c>
      <c r="K4196" s="716">
        <f>+E4196*G4196*I4196*J4196</f>
        <v>5044921.3972787196</v>
      </c>
      <c r="L4196" s="396" t="s">
        <v>2284</v>
      </c>
      <c r="M4196" s="54"/>
      <c r="N4196" s="54"/>
      <c r="P4196" s="334"/>
      <c r="Q4196" s="335"/>
      <c r="R4196" s="336"/>
      <c r="S4196" s="337"/>
    </row>
    <row r="4197" spans="1:20" ht="30" customHeight="1" x14ac:dyDescent="0.25">
      <c r="A4197" s="365"/>
      <c r="B4197" s="578"/>
      <c r="C4197" s="578"/>
      <c r="D4197" s="578"/>
      <c r="E4197" s="247"/>
      <c r="F4197" s="1272" t="s">
        <v>303</v>
      </c>
      <c r="G4197" s="1283" t="s">
        <v>304</v>
      </c>
      <c r="H4197" s="1283"/>
      <c r="I4197" s="1283"/>
      <c r="J4197" s="1283"/>
      <c r="K4197" s="251">
        <v>1.07</v>
      </c>
      <c r="L4197" s="365"/>
      <c r="M4197" s="54"/>
      <c r="N4197" s="54"/>
      <c r="P4197" s="334"/>
      <c r="Q4197" s="335"/>
      <c r="R4197" s="336"/>
      <c r="S4197" s="337"/>
    </row>
    <row r="4198" spans="1:20" ht="30" customHeight="1" x14ac:dyDescent="0.25">
      <c r="A4198" s="365"/>
      <c r="B4198" s="578"/>
      <c r="C4198" s="578"/>
      <c r="D4198" s="578"/>
      <c r="E4198" s="247"/>
      <c r="F4198" s="1273"/>
      <c r="G4198" s="1284" t="s">
        <v>438</v>
      </c>
      <c r="H4198" s="1284"/>
      <c r="I4198" s="1284"/>
      <c r="J4198" s="1284"/>
      <c r="K4198" s="251">
        <v>1.08</v>
      </c>
      <c r="L4198" s="365"/>
      <c r="M4198" s="54"/>
      <c r="N4198" s="54"/>
      <c r="P4198" s="334"/>
      <c r="Q4198" s="335"/>
      <c r="R4198" s="336"/>
      <c r="S4198" s="337"/>
    </row>
    <row r="4199" spans="1:20" ht="30" customHeight="1" x14ac:dyDescent="0.25">
      <c r="A4199" s="994"/>
      <c r="B4199" s="562"/>
      <c r="C4199" s="562"/>
      <c r="D4199" s="563"/>
      <c r="E4199" s="247"/>
      <c r="F4199" s="396"/>
      <c r="G4199" s="661"/>
      <c r="H4199" s="698"/>
      <c r="I4199" s="706"/>
      <c r="J4199" s="365" t="s">
        <v>72</v>
      </c>
      <c r="K4199" s="716">
        <f>+K4196*K4197/K4198</f>
        <v>4998209.1621187311</v>
      </c>
      <c r="L4199" s="365" t="s">
        <v>2284</v>
      </c>
      <c r="M4199" s="54"/>
      <c r="N4199" s="54"/>
      <c r="P4199" s="334"/>
      <c r="Q4199" s="335"/>
      <c r="R4199" s="336"/>
      <c r="S4199" s="337"/>
    </row>
    <row r="4200" spans="1:20" ht="30" customHeight="1" thickBot="1" x14ac:dyDescent="0.3">
      <c r="A4200" s="995" t="s">
        <v>2287</v>
      </c>
      <c r="B4200" s="996"/>
      <c r="C4200" s="996"/>
      <c r="D4200" s="997"/>
      <c r="E4200" s="366"/>
      <c r="F4200" s="366"/>
      <c r="G4200" s="580" t="s">
        <v>306</v>
      </c>
      <c r="H4200" s="366"/>
      <c r="I4200" s="366"/>
      <c r="J4200" s="521">
        <f>VLOOKUP(B4194,'Mil Cost Premiums for PUCs'!$A$4:$R$277,18,FALSE)</f>
        <v>1.1199953840399997</v>
      </c>
      <c r="K4200" s="246">
        <f>+K4199*J4200</f>
        <v>5597971.190039413</v>
      </c>
      <c r="L4200" s="365" t="s">
        <v>2284</v>
      </c>
      <c r="M4200" s="111"/>
      <c r="N4200" s="54"/>
      <c r="P4200" s="334"/>
      <c r="Q4200" s="335"/>
      <c r="R4200" s="336"/>
      <c r="S4200" s="337"/>
    </row>
    <row r="4201" spans="1:20" ht="30" customHeight="1" thickBot="1" x14ac:dyDescent="0.3">
      <c r="A4201" s="844"/>
      <c r="B4201" s="844"/>
      <c r="C4201" s="471"/>
      <c r="D4201" s="471"/>
      <c r="E4201" s="471"/>
      <c r="F4201" s="1278" t="s">
        <v>1148</v>
      </c>
      <c r="G4201" s="1278"/>
      <c r="H4201" s="1278"/>
      <c r="I4201" s="1278"/>
      <c r="J4201" s="987">
        <v>1.0833999999999999</v>
      </c>
      <c r="K4201" s="988">
        <f>K4200*J4201</f>
        <v>6064841.9872886995</v>
      </c>
      <c r="L4201" s="365" t="s">
        <v>2284</v>
      </c>
      <c r="N4201" s="54"/>
      <c r="O4201" s="336"/>
      <c r="P4201" s="334"/>
      <c r="Q4201" s="335"/>
      <c r="R4201" s="336"/>
      <c r="S4201" s="337"/>
    </row>
    <row r="4202" spans="1:20" ht="30" customHeight="1" thickBot="1" x14ac:dyDescent="0.3">
      <c r="A4202" s="1180"/>
      <c r="B4202" s="1181"/>
      <c r="C4202" s="1181"/>
      <c r="D4202" s="1181"/>
      <c r="E4202" s="1181"/>
      <c r="F4202" s="1181"/>
      <c r="G4202" s="1181"/>
      <c r="H4202" s="1181"/>
      <c r="I4202" s="1181"/>
      <c r="J4202" s="1181"/>
      <c r="K4202" s="1181"/>
      <c r="L4202" s="1182"/>
      <c r="M4202" s="54"/>
      <c r="N4202" s="54"/>
      <c r="O4202" s="336"/>
      <c r="P4202" s="334"/>
      <c r="Q4202" s="335"/>
      <c r="R4202" s="336"/>
      <c r="S4202" s="337"/>
    </row>
    <row r="4203" spans="1:20" ht="30" customHeight="1" x14ac:dyDescent="0.25">
      <c r="A4203" s="327" t="s">
        <v>5</v>
      </c>
      <c r="B4203" s="328">
        <v>8114</v>
      </c>
      <c r="C4203" s="1251" t="s">
        <v>2288</v>
      </c>
      <c r="D4203" s="1252"/>
      <c r="E4203" s="331" t="s">
        <v>8</v>
      </c>
      <c r="F4203" s="332" t="s">
        <v>2270</v>
      </c>
      <c r="G4203" s="342" t="s">
        <v>74</v>
      </c>
      <c r="H4203" s="156">
        <v>440</v>
      </c>
      <c r="I4203" s="331" t="s">
        <v>10</v>
      </c>
      <c r="J4203" s="1220" t="s">
        <v>3388</v>
      </c>
      <c r="K4203" s="1220"/>
      <c r="L4203" s="1221"/>
      <c r="M4203" s="54"/>
      <c r="N4203" s="54"/>
      <c r="O4203" s="336"/>
      <c r="P4203" s="334"/>
      <c r="Q4203" s="335"/>
      <c r="R4203" s="336"/>
      <c r="S4203" s="337"/>
    </row>
    <row r="4204" spans="1:20" ht="30" customHeight="1" x14ac:dyDescent="0.25">
      <c r="A4204" s="359" t="s">
        <v>295</v>
      </c>
      <c r="B4204" s="1222" t="s">
        <v>326</v>
      </c>
      <c r="C4204" s="1235"/>
      <c r="D4204" s="1223"/>
      <c r="E4204" s="577" t="s">
        <v>116</v>
      </c>
      <c r="F4204" s="577" t="s">
        <v>117</v>
      </c>
      <c r="G4204" s="1194" t="s">
        <v>118</v>
      </c>
      <c r="H4204" s="1195"/>
      <c r="I4204" s="356" t="s">
        <v>296</v>
      </c>
      <c r="J4204" s="356" t="s">
        <v>284</v>
      </c>
      <c r="K4204" s="581" t="s">
        <v>285</v>
      </c>
      <c r="L4204" s="382"/>
      <c r="M4204" s="54"/>
      <c r="N4204" s="54"/>
      <c r="O4204" s="336"/>
      <c r="P4204" s="334"/>
      <c r="Q4204" s="335"/>
      <c r="R4204" s="336"/>
      <c r="S4204" s="337"/>
    </row>
    <row r="4205" spans="1:20" ht="30" customHeight="1" x14ac:dyDescent="0.25">
      <c r="A4205" s="895" t="s">
        <v>1386</v>
      </c>
      <c r="B4205" s="1209" t="s">
        <v>2289</v>
      </c>
      <c r="C4205" s="1210"/>
      <c r="D4205" s="1211"/>
      <c r="E4205" s="7">
        <f>(2800+6550)/2</f>
        <v>4675</v>
      </c>
      <c r="F4205" s="396" t="s">
        <v>2270</v>
      </c>
      <c r="G4205" s="661"/>
      <c r="H4205" s="698"/>
      <c r="I4205" s="706">
        <v>1.05</v>
      </c>
      <c r="J4205" s="933">
        <v>1.2075</v>
      </c>
      <c r="K4205" s="716">
        <f>+E4205*I4205*J4205</f>
        <v>5927.3156250000002</v>
      </c>
      <c r="L4205" s="396" t="s">
        <v>2270</v>
      </c>
      <c r="M4205" s="111"/>
      <c r="N4205" s="54"/>
      <c r="O4205" s="336"/>
      <c r="P4205" s="334"/>
      <c r="Q4205" s="335"/>
      <c r="R4205" s="336"/>
      <c r="S4205" s="337"/>
    </row>
    <row r="4206" spans="1:20" ht="30" customHeight="1" x14ac:dyDescent="0.25">
      <c r="A4206" s="365"/>
      <c r="B4206" s="578"/>
      <c r="C4206" s="578"/>
      <c r="D4206" s="578"/>
      <c r="E4206" s="247"/>
      <c r="F4206" s="1272" t="s">
        <v>303</v>
      </c>
      <c r="G4206" s="1283" t="s">
        <v>304</v>
      </c>
      <c r="H4206" s="1283"/>
      <c r="I4206" s="1283"/>
      <c r="J4206" s="1283"/>
      <c r="K4206" s="251">
        <v>1.07</v>
      </c>
      <c r="L4206" s="365"/>
      <c r="M4206" s="54"/>
      <c r="N4206" s="54"/>
      <c r="O4206" s="336"/>
      <c r="P4206" s="334"/>
      <c r="Q4206" s="335"/>
      <c r="R4206" s="336"/>
      <c r="S4206" s="337"/>
    </row>
    <row r="4207" spans="1:20" ht="30" customHeight="1" x14ac:dyDescent="0.25">
      <c r="A4207" s="365"/>
      <c r="B4207" s="578"/>
      <c r="C4207" s="578"/>
      <c r="D4207" s="578"/>
      <c r="E4207" s="247"/>
      <c r="F4207" s="1273"/>
      <c r="G4207" s="1284" t="s">
        <v>438</v>
      </c>
      <c r="H4207" s="1284"/>
      <c r="I4207" s="1284"/>
      <c r="J4207" s="1284"/>
      <c r="K4207" s="251">
        <v>1.08</v>
      </c>
      <c r="L4207" s="365"/>
      <c r="M4207" s="54"/>
      <c r="O4207" s="336"/>
      <c r="P4207" s="334"/>
      <c r="Q4207" s="335"/>
      <c r="R4207" s="336"/>
      <c r="S4207" s="337"/>
    </row>
    <row r="4208" spans="1:20" ht="30" customHeight="1" x14ac:dyDescent="0.25">
      <c r="A4208" s="994"/>
      <c r="B4208" s="562"/>
      <c r="C4208" s="562"/>
      <c r="D4208" s="563"/>
      <c r="E4208" s="247"/>
      <c r="F4208" s="396"/>
      <c r="G4208" s="661"/>
      <c r="H4208" s="698"/>
      <c r="I4208" s="706"/>
      <c r="J4208" s="365" t="s">
        <v>72</v>
      </c>
      <c r="K4208" s="716">
        <f>+K4205*K4206/K4207</f>
        <v>5872.4330729166668</v>
      </c>
      <c r="L4208" s="365" t="s">
        <v>2270</v>
      </c>
      <c r="M4208" s="54"/>
      <c r="N4208" s="54"/>
      <c r="O4208" s="336"/>
      <c r="P4208" s="334"/>
      <c r="Q4208" s="335"/>
      <c r="R4208" s="336"/>
      <c r="S4208" s="337"/>
    </row>
    <row r="4209" spans="1:25" ht="30" customHeight="1" thickBot="1" x14ac:dyDescent="0.3">
      <c r="A4209" s="995"/>
      <c r="B4209" s="996"/>
      <c r="C4209" s="996"/>
      <c r="D4209" s="997"/>
      <c r="E4209" s="366"/>
      <c r="F4209" s="366"/>
      <c r="G4209" s="580" t="s">
        <v>306</v>
      </c>
      <c r="H4209" s="366"/>
      <c r="I4209" s="366"/>
      <c r="J4209" s="521">
        <f>VLOOKUP(B4203,'Mil Cost Premiums for PUCs'!$A$4:$R$277,18,FALSE)</f>
        <v>1.1199953840399997</v>
      </c>
      <c r="K4209" s="246">
        <f>+K4208*J4209</f>
        <v>6577.0979347504972</v>
      </c>
      <c r="L4209" s="365" t="s">
        <v>2270</v>
      </c>
      <c r="M4209" s="54"/>
      <c r="N4209" s="54"/>
      <c r="O4209" s="336"/>
      <c r="P4209" s="334"/>
      <c r="Q4209" s="335"/>
      <c r="R4209" s="998"/>
      <c r="S4209" s="337"/>
    </row>
    <row r="4210" spans="1:25" ht="30" customHeight="1" thickBot="1" x14ac:dyDescent="0.3">
      <c r="A4210" s="1180"/>
      <c r="B4210" s="1181"/>
      <c r="C4210" s="1181"/>
      <c r="D4210" s="1181"/>
      <c r="E4210" s="1181"/>
      <c r="F4210" s="1181"/>
      <c r="G4210" s="1181"/>
      <c r="H4210" s="1181"/>
      <c r="I4210" s="1181"/>
      <c r="J4210" s="1181"/>
      <c r="K4210" s="1181"/>
      <c r="L4210" s="1182"/>
      <c r="M4210" s="54"/>
      <c r="N4210" s="54"/>
      <c r="O4210" s="336"/>
      <c r="P4210" s="334"/>
      <c r="Q4210" s="335"/>
      <c r="R4210" s="336"/>
      <c r="S4210" s="337"/>
    </row>
    <row r="4211" spans="1:25" ht="30" customHeight="1" x14ac:dyDescent="0.25">
      <c r="A4211" s="327" t="s">
        <v>5</v>
      </c>
      <c r="B4211" s="328">
        <v>8115</v>
      </c>
      <c r="C4211" s="1251" t="s">
        <v>2290</v>
      </c>
      <c r="D4211" s="1252"/>
      <c r="E4211" s="331" t="s">
        <v>8</v>
      </c>
      <c r="F4211" s="332" t="s">
        <v>2270</v>
      </c>
      <c r="G4211" s="342" t="s">
        <v>74</v>
      </c>
      <c r="H4211" s="156">
        <v>1213</v>
      </c>
      <c r="I4211" s="331" t="s">
        <v>10</v>
      </c>
      <c r="J4211" s="1220" t="s">
        <v>3388</v>
      </c>
      <c r="K4211" s="1220"/>
      <c r="L4211" s="1221"/>
      <c r="M4211" s="54"/>
      <c r="N4211" s="54"/>
      <c r="O4211" s="336"/>
      <c r="P4211" s="334"/>
      <c r="Q4211" s="335"/>
      <c r="R4211" s="336"/>
      <c r="S4211" s="337"/>
    </row>
    <row r="4212" spans="1:25" ht="30" customHeight="1" x14ac:dyDescent="0.25">
      <c r="A4212" s="359" t="s">
        <v>295</v>
      </c>
      <c r="B4212" s="1222" t="s">
        <v>326</v>
      </c>
      <c r="C4212" s="1235"/>
      <c r="D4212" s="1223"/>
      <c r="E4212" s="577" t="s">
        <v>116</v>
      </c>
      <c r="F4212" s="577" t="s">
        <v>117</v>
      </c>
      <c r="G4212" s="1194" t="s">
        <v>118</v>
      </c>
      <c r="H4212" s="1195"/>
      <c r="I4212" s="356" t="s">
        <v>296</v>
      </c>
      <c r="J4212" s="356" t="s">
        <v>2291</v>
      </c>
      <c r="K4212" s="581" t="s">
        <v>285</v>
      </c>
      <c r="L4212" s="382"/>
      <c r="M4212" s="112"/>
      <c r="N4212" s="54"/>
      <c r="O4212" s="336"/>
      <c r="P4212" s="334"/>
      <c r="Q4212" s="335"/>
      <c r="R4212" s="336"/>
      <c r="S4212" s="337"/>
    </row>
    <row r="4213" spans="1:25" ht="30" customHeight="1" x14ac:dyDescent="0.25">
      <c r="A4213" s="895" t="s">
        <v>2292</v>
      </c>
      <c r="B4213" s="1209" t="s">
        <v>2293</v>
      </c>
      <c r="C4213" s="1210"/>
      <c r="D4213" s="1211"/>
      <c r="E4213" s="7">
        <v>3175</v>
      </c>
      <c r="F4213" s="396" t="s">
        <v>2294</v>
      </c>
      <c r="G4213" s="661">
        <v>300</v>
      </c>
      <c r="H4213" s="698" t="s">
        <v>2295</v>
      </c>
      <c r="I4213" s="706">
        <v>1</v>
      </c>
      <c r="J4213" s="727">
        <v>1000</v>
      </c>
      <c r="K4213" s="716">
        <f>+E4213/G4213*I4213*J4213</f>
        <v>10583.333333333334</v>
      </c>
      <c r="L4213" s="396" t="s">
        <v>2270</v>
      </c>
      <c r="M4213" s="54"/>
      <c r="N4213" s="54"/>
      <c r="O4213" s="336"/>
      <c r="P4213" s="334"/>
      <c r="Q4213" s="335"/>
      <c r="R4213" s="336"/>
      <c r="S4213" s="337"/>
    </row>
    <row r="4214" spans="1:25" ht="30" customHeight="1" x14ac:dyDescent="0.25">
      <c r="A4214" s="895" t="s">
        <v>2292</v>
      </c>
      <c r="B4214" s="1214" t="s">
        <v>2296</v>
      </c>
      <c r="C4214" s="1215"/>
      <c r="D4214" s="1216"/>
      <c r="E4214" s="247">
        <v>212000</v>
      </c>
      <c r="F4214" s="396" t="s">
        <v>2270</v>
      </c>
      <c r="G4214" s="661">
        <v>300</v>
      </c>
      <c r="H4214" s="698" t="s">
        <v>2295</v>
      </c>
      <c r="I4214" s="706">
        <v>1</v>
      </c>
      <c r="J4214" s="365"/>
      <c r="K4214" s="716">
        <f>+E4214/G4214*I4214</f>
        <v>706.66666666666663</v>
      </c>
      <c r="L4214" s="365" t="s">
        <v>2270</v>
      </c>
      <c r="M4214" s="54"/>
      <c r="N4214" s="54"/>
      <c r="O4214" s="336"/>
      <c r="T4214" s="10"/>
    </row>
    <row r="4215" spans="1:25" ht="30" customHeight="1" x14ac:dyDescent="0.25">
      <c r="A4215" s="895" t="s">
        <v>2292</v>
      </c>
      <c r="B4215" s="1214" t="s">
        <v>2297</v>
      </c>
      <c r="C4215" s="1215"/>
      <c r="D4215" s="1216"/>
      <c r="E4215" s="247">
        <v>775</v>
      </c>
      <c r="F4215" s="396" t="s">
        <v>2298</v>
      </c>
      <c r="G4215" s="661">
        <v>300</v>
      </c>
      <c r="H4215" s="698" t="s">
        <v>2295</v>
      </c>
      <c r="I4215" s="706">
        <v>1</v>
      </c>
      <c r="J4215" s="365">
        <v>20</v>
      </c>
      <c r="K4215" s="716">
        <f>+E4215/G4215*I4215*J4215</f>
        <v>51.666666666666671</v>
      </c>
      <c r="L4215" s="365" t="s">
        <v>2270</v>
      </c>
      <c r="M4215" s="111"/>
      <c r="N4215" s="54"/>
      <c r="O4215" s="336"/>
      <c r="T4215" s="10"/>
      <c r="U4215" s="10"/>
    </row>
    <row r="4216" spans="1:25" ht="30" customHeight="1" x14ac:dyDescent="0.25">
      <c r="A4216" s="895" t="s">
        <v>2292</v>
      </c>
      <c r="B4216" s="1214" t="s">
        <v>2299</v>
      </c>
      <c r="C4216" s="1215"/>
      <c r="D4216" s="1216"/>
      <c r="E4216" s="247">
        <v>8200</v>
      </c>
      <c r="F4216" s="396" t="s">
        <v>2300</v>
      </c>
      <c r="G4216" s="661">
        <v>300</v>
      </c>
      <c r="H4216" s="698" t="s">
        <v>2295</v>
      </c>
      <c r="I4216" s="706">
        <v>1</v>
      </c>
      <c r="J4216" s="365">
        <v>10</v>
      </c>
      <c r="K4216" s="716">
        <f>+E4216/G4216*I4216*J4216</f>
        <v>273.33333333333331</v>
      </c>
      <c r="L4216" s="365" t="s">
        <v>2270</v>
      </c>
      <c r="M4216" s="54"/>
      <c r="N4216" s="54"/>
      <c r="O4216" s="345"/>
      <c r="P4216" s="344"/>
      <c r="Q4216" s="345"/>
      <c r="R4216" s="345"/>
      <c r="S4216" s="345"/>
      <c r="T4216" s="345"/>
      <c r="U4216" s="10"/>
    </row>
    <row r="4217" spans="1:25" ht="30" customHeight="1" x14ac:dyDescent="0.25">
      <c r="A4217" s="994"/>
      <c r="B4217" s="562"/>
      <c r="C4217" s="562"/>
      <c r="D4217" s="563"/>
      <c r="E4217" s="247"/>
      <c r="F4217" s="396"/>
      <c r="G4217" s="661"/>
      <c r="H4217" s="698"/>
      <c r="I4217" s="706"/>
      <c r="J4217" s="365" t="s">
        <v>343</v>
      </c>
      <c r="K4217" s="716">
        <f>SUM(K4213:K4216)</f>
        <v>11615</v>
      </c>
      <c r="L4217" s="365" t="s">
        <v>2270</v>
      </c>
      <c r="M4217" s="54"/>
      <c r="N4217" s="54"/>
      <c r="U4217" s="345"/>
      <c r="V4217" s="345"/>
      <c r="W4217" s="345"/>
      <c r="X4217" s="345"/>
      <c r="Y4217" s="345"/>
    </row>
    <row r="4218" spans="1:25" s="345" customFormat="1" ht="30" customHeight="1" x14ac:dyDescent="0.25">
      <c r="A4218" s="365"/>
      <c r="B4218" s="578"/>
      <c r="C4218" s="578"/>
      <c r="D4218" s="578"/>
      <c r="E4218" s="247"/>
      <c r="F4218" s="1272" t="s">
        <v>303</v>
      </c>
      <c r="G4218" s="1283" t="s">
        <v>304</v>
      </c>
      <c r="H4218" s="1283"/>
      <c r="I4218" s="1283"/>
      <c r="J4218" s="1283"/>
      <c r="K4218" s="251">
        <v>1.07</v>
      </c>
      <c r="L4218" s="365"/>
      <c r="M4218" s="54"/>
      <c r="N4218" s="54"/>
      <c r="O4218" s="334"/>
      <c r="P4218" s="340"/>
      <c r="Q4218" s="334"/>
      <c r="R4218" s="334"/>
      <c r="S4218" s="334"/>
      <c r="T4218" s="334"/>
      <c r="U4218" s="334"/>
      <c r="V4218" s="334"/>
      <c r="W4218" s="334"/>
      <c r="X4218" s="334"/>
      <c r="Y4218" s="334"/>
    </row>
    <row r="4219" spans="1:25" ht="30" customHeight="1" x14ac:dyDescent="0.25">
      <c r="A4219" s="365"/>
      <c r="B4219" s="370"/>
      <c r="C4219" s="370"/>
      <c r="D4219" s="370"/>
      <c r="E4219" s="177"/>
      <c r="F4219" s="1561"/>
      <c r="G4219" s="1284" t="s">
        <v>438</v>
      </c>
      <c r="H4219" s="1284"/>
      <c r="I4219" s="1284"/>
      <c r="J4219" s="1284"/>
      <c r="K4219" s="233">
        <v>1.08</v>
      </c>
      <c r="L4219" s="369"/>
      <c r="M4219" s="54"/>
      <c r="N4219" s="54"/>
      <c r="P4219" s="334"/>
      <c r="Q4219" s="335"/>
      <c r="R4219" s="336"/>
      <c r="S4219" s="337"/>
    </row>
    <row r="4220" spans="1:25" ht="30" customHeight="1" x14ac:dyDescent="0.25">
      <c r="A4220" s="999"/>
      <c r="B4220" s="1000"/>
      <c r="C4220" s="1000"/>
      <c r="D4220" s="847"/>
      <c r="E4220" s="231"/>
      <c r="F4220" s="835"/>
      <c r="G4220" s="835"/>
      <c r="H4220" s="835"/>
      <c r="I4220" s="1001"/>
      <c r="J4220" s="835" t="s">
        <v>72</v>
      </c>
      <c r="K4220" s="1002">
        <f>+K4217*K4218/K4219</f>
        <v>11507.453703703704</v>
      </c>
      <c r="L4220" s="835" t="s">
        <v>2270</v>
      </c>
      <c r="M4220" s="54"/>
      <c r="N4220" s="54"/>
      <c r="O4220" s="554"/>
      <c r="P4220" s="334"/>
      <c r="Q4220" s="335"/>
      <c r="R4220" s="336"/>
      <c r="S4220" s="337"/>
    </row>
    <row r="4221" spans="1:25" ht="30" customHeight="1" x14ac:dyDescent="0.25">
      <c r="A4221" s="847"/>
      <c r="B4221" s="847"/>
      <c r="C4221" s="847"/>
      <c r="D4221" s="1003"/>
      <c r="E4221" s="840"/>
      <c r="F4221" s="840"/>
      <c r="G4221" s="842" t="s">
        <v>306</v>
      </c>
      <c r="H4221" s="840"/>
      <c r="I4221" s="840"/>
      <c r="J4221" s="986">
        <f>VLOOKUP(B4211,'Mil Cost Premiums for PUCs'!$A$4:$R$277,18,FALSE)</f>
        <v>1.1199953840399997</v>
      </c>
      <c r="K4221" s="232">
        <f>K4220*J4221</f>
        <v>12888.295030202147</v>
      </c>
      <c r="L4221" s="835" t="s">
        <v>2270</v>
      </c>
      <c r="M4221" s="54"/>
      <c r="N4221" s="54"/>
      <c r="O4221" s="554"/>
      <c r="P4221" s="334"/>
      <c r="Q4221" s="335"/>
      <c r="R4221" s="336"/>
      <c r="S4221" s="337"/>
    </row>
    <row r="4222" spans="1:25" ht="30" customHeight="1" thickBot="1" x14ac:dyDescent="0.3">
      <c r="A4222" s="844"/>
      <c r="B4222" s="844"/>
      <c r="C4222" s="471"/>
      <c r="D4222" s="850"/>
      <c r="E4222" s="471"/>
      <c r="F4222" s="1278" t="s">
        <v>1148</v>
      </c>
      <c r="G4222" s="1278"/>
      <c r="H4222" s="1278"/>
      <c r="I4222" s="1278"/>
      <c r="J4222" s="987">
        <v>1.0833999999999999</v>
      </c>
      <c r="K4222" s="988">
        <f>K4221*J4222</f>
        <v>13963.178835721006</v>
      </c>
      <c r="L4222" s="844" t="s">
        <v>2270</v>
      </c>
      <c r="N4222" s="54"/>
      <c r="O4222" s="554"/>
      <c r="P4222" s="334"/>
      <c r="Q4222" s="335"/>
      <c r="R4222" s="336"/>
      <c r="S4222" s="337"/>
    </row>
    <row r="4223" spans="1:25" ht="30" customHeight="1" thickBot="1" x14ac:dyDescent="0.3">
      <c r="A4223" s="1305"/>
      <c r="B4223" s="1306"/>
      <c r="C4223" s="1306"/>
      <c r="D4223" s="1306"/>
      <c r="E4223" s="1306"/>
      <c r="F4223" s="1306"/>
      <c r="G4223" s="1306"/>
      <c r="H4223" s="1306"/>
      <c r="I4223" s="1306"/>
      <c r="J4223" s="1306"/>
      <c r="K4223" s="1306"/>
      <c r="L4223" s="1307"/>
      <c r="M4223" s="54"/>
      <c r="O4223" s="336"/>
      <c r="P4223" s="334"/>
      <c r="Q4223" s="335"/>
      <c r="R4223" s="336"/>
      <c r="S4223" s="337"/>
    </row>
    <row r="4224" spans="1:25" ht="30" customHeight="1" x14ac:dyDescent="0.25">
      <c r="A4224" s="349" t="s">
        <v>5</v>
      </c>
      <c r="B4224" s="350">
        <v>8121</v>
      </c>
      <c r="C4224" s="1165" t="s">
        <v>2301</v>
      </c>
      <c r="D4224" s="1166"/>
      <c r="E4224" s="351" t="s">
        <v>8</v>
      </c>
      <c r="F4224" s="352" t="s">
        <v>40</v>
      </c>
      <c r="G4224" s="353" t="s">
        <v>74</v>
      </c>
      <c r="H4224" s="235">
        <v>49463</v>
      </c>
      <c r="I4224" s="351" t="s">
        <v>10</v>
      </c>
      <c r="J4224" s="1220" t="s">
        <v>382</v>
      </c>
      <c r="K4224" s="1220"/>
      <c r="L4224" s="1221"/>
      <c r="M4224" s="111"/>
      <c r="N4224" s="54"/>
      <c r="O4224" s="554"/>
      <c r="P4224" s="334"/>
      <c r="Q4224" s="335"/>
      <c r="R4224" s="336"/>
      <c r="S4224" s="337"/>
    </row>
    <row r="4225" spans="1:19" ht="30" customHeight="1" x14ac:dyDescent="0.25">
      <c r="A4225" s="356" t="s">
        <v>282</v>
      </c>
      <c r="B4225" s="1163" t="s">
        <v>13</v>
      </c>
      <c r="C4225" s="1163"/>
      <c r="D4225" s="1163"/>
      <c r="E4225" s="546" t="s">
        <v>116</v>
      </c>
      <c r="F4225" s="356" t="s">
        <v>283</v>
      </c>
      <c r="G4225" s="1314" t="s">
        <v>118</v>
      </c>
      <c r="H4225" s="1315"/>
      <c r="I4225" s="1276" t="s">
        <v>284</v>
      </c>
      <c r="J4225" s="1277"/>
      <c r="K4225" s="581" t="s">
        <v>285</v>
      </c>
      <c r="L4225" s="382"/>
      <c r="M4225" s="54"/>
      <c r="N4225" s="54"/>
      <c r="O4225" s="336"/>
      <c r="P4225" s="334"/>
      <c r="Q4225" s="335"/>
      <c r="R4225" s="336"/>
      <c r="S4225" s="337"/>
    </row>
    <row r="4226" spans="1:19" ht="30" customHeight="1" x14ac:dyDescent="0.25">
      <c r="A4226" s="365">
        <v>81241</v>
      </c>
      <c r="B4226" s="1209" t="s">
        <v>2302</v>
      </c>
      <c r="C4226" s="1210"/>
      <c r="D4226" s="1211"/>
      <c r="E4226" s="247">
        <v>52450</v>
      </c>
      <c r="F4226" s="257">
        <v>1000</v>
      </c>
      <c r="G4226" s="661">
        <v>1000</v>
      </c>
      <c r="H4226" s="698" t="s">
        <v>2303</v>
      </c>
      <c r="I4226" s="1378">
        <v>0.9405</v>
      </c>
      <c r="J4226" s="1379"/>
      <c r="K4226" s="253">
        <f>+E4226/G4226*I4226</f>
        <v>49.329225000000001</v>
      </c>
      <c r="L4226" s="367" t="s">
        <v>40</v>
      </c>
      <c r="M4226" s="54"/>
      <c r="N4226" s="54"/>
      <c r="O4226" s="336"/>
      <c r="P4226" s="334"/>
      <c r="Q4226" s="335"/>
      <c r="R4226" s="336"/>
      <c r="S4226" s="337"/>
    </row>
    <row r="4227" spans="1:19" ht="30" customHeight="1" x14ac:dyDescent="0.25">
      <c r="A4227" s="365">
        <v>81241</v>
      </c>
      <c r="B4227" s="1209" t="s">
        <v>2304</v>
      </c>
      <c r="C4227" s="1210"/>
      <c r="D4227" s="1211"/>
      <c r="E4227" s="247">
        <v>49290</v>
      </c>
      <c r="F4227" s="257">
        <v>1000</v>
      </c>
      <c r="G4227" s="661">
        <v>1000</v>
      </c>
      <c r="H4227" s="698" t="s">
        <v>2303</v>
      </c>
      <c r="I4227" s="1378">
        <v>0.9405</v>
      </c>
      <c r="J4227" s="1379"/>
      <c r="K4227" s="253">
        <f>+E4227/G4227*I4227</f>
        <v>46.357244999999999</v>
      </c>
      <c r="L4227" s="367" t="s">
        <v>40</v>
      </c>
      <c r="M4227" s="54"/>
      <c r="N4227" s="54"/>
      <c r="O4227" s="336"/>
      <c r="P4227" s="334"/>
      <c r="Q4227" s="335"/>
      <c r="R4227" s="336"/>
      <c r="S4227" s="337"/>
    </row>
    <row r="4228" spans="1:19" ht="30" customHeight="1" x14ac:dyDescent="0.25">
      <c r="A4228" s="365"/>
      <c r="B4228" s="561"/>
      <c r="C4228" s="562"/>
      <c r="D4228" s="563"/>
      <c r="E4228" s="153"/>
      <c r="F4228" s="172"/>
      <c r="G4228" s="697"/>
      <c r="H4228" s="698"/>
      <c r="I4228" s="853"/>
      <c r="J4228" s="695" t="s">
        <v>300</v>
      </c>
      <c r="K4228" s="253">
        <f>AVERAGE(K4226:K4227)</f>
        <v>47.843235</v>
      </c>
      <c r="L4228" s="365" t="s">
        <v>40</v>
      </c>
      <c r="M4228" s="54"/>
      <c r="N4228" s="54"/>
      <c r="O4228" s="336"/>
      <c r="P4228" s="334"/>
      <c r="Q4228" s="335"/>
      <c r="R4228" s="336"/>
      <c r="S4228" s="337"/>
    </row>
    <row r="4229" spans="1:19" ht="30" customHeight="1" thickBot="1" x14ac:dyDescent="0.3">
      <c r="A4229" s="365"/>
      <c r="B4229" s="1214"/>
      <c r="C4229" s="1215"/>
      <c r="D4229" s="1216"/>
      <c r="E4229" s="333"/>
      <c r="F4229" s="744"/>
      <c r="G4229" s="333"/>
      <c r="H4229" s="729"/>
      <c r="I4229" s="366"/>
      <c r="J4229" s="359" t="s">
        <v>72</v>
      </c>
      <c r="K4229" s="243">
        <f>+K4228</f>
        <v>47.843235</v>
      </c>
      <c r="L4229" s="367" t="s">
        <v>40</v>
      </c>
      <c r="M4229" s="54"/>
      <c r="N4229" s="54"/>
      <c r="O4229" s="336"/>
      <c r="P4229" s="334"/>
      <c r="Q4229" s="335"/>
      <c r="R4229" s="336"/>
      <c r="S4229" s="337"/>
    </row>
    <row r="4230" spans="1:19" ht="30" customHeight="1" thickBot="1" x14ac:dyDescent="0.3">
      <c r="A4230" s="1180"/>
      <c r="B4230" s="1181"/>
      <c r="C4230" s="1181"/>
      <c r="D4230" s="1181"/>
      <c r="E4230" s="1181"/>
      <c r="F4230" s="1181"/>
      <c r="G4230" s="1181"/>
      <c r="H4230" s="1181"/>
      <c r="I4230" s="1181"/>
      <c r="J4230" s="1181"/>
      <c r="K4230" s="1181"/>
      <c r="L4230" s="1182"/>
      <c r="M4230" s="54"/>
      <c r="N4230" s="54"/>
      <c r="O4230" s="336"/>
      <c r="P4230" s="334"/>
      <c r="Q4230" s="335"/>
      <c r="R4230" s="336"/>
      <c r="S4230" s="337"/>
    </row>
    <row r="4231" spans="1:19" ht="30" customHeight="1" x14ac:dyDescent="0.25">
      <c r="A4231" s="327" t="s">
        <v>5</v>
      </c>
      <c r="B4231" s="328">
        <v>8122</v>
      </c>
      <c r="C4231" s="329" t="s">
        <v>2305</v>
      </c>
      <c r="D4231" s="576"/>
      <c r="E4231" s="331" t="s">
        <v>8</v>
      </c>
      <c r="F4231" s="332" t="s">
        <v>76</v>
      </c>
      <c r="G4231" s="333" t="s">
        <v>7</v>
      </c>
      <c r="H4231" s="703">
        <v>1</v>
      </c>
      <c r="I4231" s="331" t="s">
        <v>10</v>
      </c>
      <c r="J4231" s="1220" t="s">
        <v>3388</v>
      </c>
      <c r="K4231" s="1220"/>
      <c r="L4231" s="1221"/>
      <c r="M4231" s="54"/>
      <c r="N4231" s="54"/>
      <c r="O4231" s="336"/>
      <c r="P4231" s="334"/>
      <c r="Q4231" s="335"/>
      <c r="R4231" s="336"/>
      <c r="S4231" s="337"/>
    </row>
    <row r="4232" spans="1:19" ht="30" customHeight="1" x14ac:dyDescent="0.25">
      <c r="A4232" s="359" t="s">
        <v>295</v>
      </c>
      <c r="B4232" s="1222" t="s">
        <v>326</v>
      </c>
      <c r="C4232" s="1235"/>
      <c r="D4232" s="1223"/>
      <c r="E4232" s="577" t="s">
        <v>116</v>
      </c>
      <c r="F4232" s="577" t="s">
        <v>117</v>
      </c>
      <c r="G4232" s="1622" t="s">
        <v>118</v>
      </c>
      <c r="H4232" s="1623"/>
      <c r="I4232" s="356" t="s">
        <v>296</v>
      </c>
      <c r="J4232" s="356"/>
      <c r="K4232" s="581" t="s">
        <v>285</v>
      </c>
      <c r="L4232" s="382"/>
      <c r="M4232" s="54"/>
      <c r="N4232" s="54"/>
      <c r="O4232" s="336"/>
      <c r="P4232" s="334"/>
      <c r="Q4232" s="335"/>
      <c r="R4232" s="336"/>
      <c r="S4232" s="337"/>
    </row>
    <row r="4233" spans="1:19" ht="30" customHeight="1" x14ac:dyDescent="0.25">
      <c r="A4233" s="365" t="s">
        <v>339</v>
      </c>
      <c r="B4233" s="1281" t="s">
        <v>2306</v>
      </c>
      <c r="C4233" s="1281"/>
      <c r="D4233" s="1281"/>
      <c r="E4233" s="247">
        <v>2975</v>
      </c>
      <c r="F4233" s="661" t="s">
        <v>76</v>
      </c>
      <c r="G4233" s="452"/>
      <c r="H4233" s="563"/>
      <c r="I4233" s="698">
        <v>1.05</v>
      </c>
      <c r="J4233" s="365"/>
      <c r="K4233" s="247">
        <f>+E4233*I4233</f>
        <v>3123.75</v>
      </c>
      <c r="L4233" s="365" t="s">
        <v>76</v>
      </c>
      <c r="M4233" s="54"/>
      <c r="N4233" s="54"/>
      <c r="O4233" s="336"/>
      <c r="P4233" s="334"/>
      <c r="Q4233" s="335"/>
      <c r="R4233" s="336"/>
      <c r="S4233" s="337"/>
    </row>
    <row r="4234" spans="1:19" ht="30" customHeight="1" x14ac:dyDescent="0.25">
      <c r="A4234" s="365"/>
      <c r="B4234" s="578"/>
      <c r="C4234" s="578"/>
      <c r="D4234" s="578"/>
      <c r="E4234" s="247"/>
      <c r="F4234" s="1272" t="s">
        <v>303</v>
      </c>
      <c r="G4234" s="1283" t="s">
        <v>304</v>
      </c>
      <c r="H4234" s="1283"/>
      <c r="I4234" s="1283"/>
      <c r="J4234" s="1283"/>
      <c r="K4234" s="251">
        <v>1.07</v>
      </c>
      <c r="L4234" s="365"/>
      <c r="M4234" s="54"/>
      <c r="N4234" s="54"/>
      <c r="O4234" s="336"/>
      <c r="P4234" s="334"/>
      <c r="Q4234" s="335"/>
      <c r="R4234" s="336"/>
      <c r="S4234" s="337"/>
    </row>
    <row r="4235" spans="1:19" ht="30" customHeight="1" x14ac:dyDescent="0.25">
      <c r="A4235" s="365"/>
      <c r="B4235" s="578"/>
      <c r="C4235" s="578"/>
      <c r="D4235" s="578"/>
      <c r="E4235" s="247"/>
      <c r="F4235" s="1273"/>
      <c r="G4235" s="1284" t="s">
        <v>438</v>
      </c>
      <c r="H4235" s="1284"/>
      <c r="I4235" s="1284"/>
      <c r="J4235" s="1284"/>
      <c r="K4235" s="251">
        <v>1.08</v>
      </c>
      <c r="L4235" s="365"/>
      <c r="M4235" s="54"/>
      <c r="N4235" s="54"/>
      <c r="O4235" s="336"/>
      <c r="P4235" s="334"/>
      <c r="Q4235" s="335"/>
      <c r="R4235" s="336"/>
      <c r="S4235" s="337"/>
    </row>
    <row r="4236" spans="1:19" ht="30" customHeight="1" x14ac:dyDescent="0.25">
      <c r="A4236" s="365"/>
      <c r="B4236" s="365"/>
      <c r="C4236" s="366"/>
      <c r="D4236" s="366"/>
      <c r="E4236" s="366"/>
      <c r="F4236" s="366"/>
      <c r="G4236" s="380"/>
      <c r="H4236" s="380"/>
      <c r="I4236" s="366"/>
      <c r="J4236" s="366" t="s">
        <v>72</v>
      </c>
      <c r="K4236" s="246">
        <f>+K4233*K4234/K4235</f>
        <v>3094.8263888888891</v>
      </c>
      <c r="L4236" s="365" t="s">
        <v>76</v>
      </c>
      <c r="M4236" s="54"/>
      <c r="N4236" s="54"/>
      <c r="O4236" s="336"/>
      <c r="P4236" s="334"/>
      <c r="Q4236" s="335"/>
      <c r="R4236" s="336"/>
      <c r="S4236" s="337"/>
    </row>
    <row r="4237" spans="1:19" ht="30" customHeight="1" x14ac:dyDescent="0.25">
      <c r="A4237" s="365"/>
      <c r="B4237" s="365"/>
      <c r="C4237" s="366"/>
      <c r="D4237" s="366"/>
      <c r="E4237" s="366"/>
      <c r="F4237" s="366"/>
      <c r="G4237" s="580" t="s">
        <v>306</v>
      </c>
      <c r="H4237" s="366"/>
      <c r="I4237" s="366"/>
      <c r="J4237" s="521">
        <f>VLOOKUP(B4231,'Mil Cost Premiums for PUCs'!$A$4:$R$277,18,FALSE)</f>
        <v>1.0905505199999999</v>
      </c>
      <c r="K4237" s="246">
        <f>+K4236*J4237</f>
        <v>3375.0645277125</v>
      </c>
      <c r="L4237" s="365" t="s">
        <v>76</v>
      </c>
      <c r="M4237" s="54"/>
      <c r="N4237" s="54"/>
      <c r="O4237" s="336"/>
      <c r="P4237" s="334"/>
      <c r="Q4237" s="335"/>
      <c r="R4237" s="336"/>
      <c r="S4237" s="337"/>
    </row>
    <row r="4238" spans="1:19" ht="30" customHeight="1" thickBot="1" x14ac:dyDescent="0.3">
      <c r="A4238" s="844"/>
      <c r="B4238" s="844"/>
      <c r="C4238" s="471"/>
      <c r="D4238" s="850"/>
      <c r="E4238" s="471"/>
      <c r="F4238" s="1278" t="s">
        <v>1148</v>
      </c>
      <c r="G4238" s="1278"/>
      <c r="H4238" s="1278"/>
      <c r="I4238" s="1278"/>
      <c r="J4238" s="987">
        <v>1.0833999999999999</v>
      </c>
      <c r="K4238" s="988">
        <f>K4237*J4238</f>
        <v>3656.5449093237221</v>
      </c>
      <c r="L4238" s="365" t="s">
        <v>76</v>
      </c>
      <c r="N4238" s="54"/>
      <c r="O4238" s="336"/>
      <c r="P4238" s="334"/>
      <c r="Q4238" s="335"/>
      <c r="R4238" s="336"/>
      <c r="S4238" s="337"/>
    </row>
    <row r="4239" spans="1:19" ht="30" customHeight="1" thickBot="1" x14ac:dyDescent="0.3">
      <c r="A4239" s="1180"/>
      <c r="B4239" s="1181"/>
      <c r="C4239" s="1181"/>
      <c r="D4239" s="1181"/>
      <c r="E4239" s="1181"/>
      <c r="F4239" s="1181"/>
      <c r="G4239" s="1181"/>
      <c r="H4239" s="1181"/>
      <c r="I4239" s="1181"/>
      <c r="J4239" s="1181"/>
      <c r="K4239" s="1181"/>
      <c r="L4239" s="1182"/>
      <c r="M4239" s="54"/>
      <c r="N4239" s="54"/>
      <c r="O4239" s="336"/>
      <c r="P4239" s="334"/>
      <c r="Q4239" s="335"/>
      <c r="R4239" s="336"/>
      <c r="S4239" s="337"/>
    </row>
    <row r="4240" spans="1:19" ht="30" customHeight="1" x14ac:dyDescent="0.25">
      <c r="A4240" s="327" t="s">
        <v>5</v>
      </c>
      <c r="B4240" s="328">
        <v>8123</v>
      </c>
      <c r="C4240" s="1218" t="s">
        <v>2307</v>
      </c>
      <c r="D4240" s="1219"/>
      <c r="E4240" s="331" t="s">
        <v>8</v>
      </c>
      <c r="F4240" s="332" t="s">
        <v>40</v>
      </c>
      <c r="G4240" s="342" t="s">
        <v>74</v>
      </c>
      <c r="H4240" s="160">
        <v>21181</v>
      </c>
      <c r="I4240" s="331" t="s">
        <v>10</v>
      </c>
      <c r="J4240" s="1220" t="s">
        <v>382</v>
      </c>
      <c r="K4240" s="1220"/>
      <c r="L4240" s="1221"/>
      <c r="M4240" s="111"/>
      <c r="N4240" s="54"/>
      <c r="O4240" s="336"/>
      <c r="P4240" s="334"/>
      <c r="Q4240" s="335"/>
      <c r="R4240" s="336"/>
      <c r="S4240" s="337"/>
    </row>
    <row r="4241" spans="1:25" ht="30" customHeight="1" x14ac:dyDescent="0.25">
      <c r="A4241" s="356" t="s">
        <v>282</v>
      </c>
      <c r="B4241" s="1163" t="s">
        <v>13</v>
      </c>
      <c r="C4241" s="1163"/>
      <c r="D4241" s="1163"/>
      <c r="E4241" s="546" t="s">
        <v>2308</v>
      </c>
      <c r="F4241" s="356" t="s">
        <v>283</v>
      </c>
      <c r="G4241" s="1314" t="s">
        <v>118</v>
      </c>
      <c r="H4241" s="1315"/>
      <c r="I4241" s="1276" t="s">
        <v>539</v>
      </c>
      <c r="J4241" s="1277"/>
      <c r="K4241" s="581" t="s">
        <v>285</v>
      </c>
      <c r="L4241" s="382"/>
      <c r="M4241" s="54"/>
      <c r="N4241" s="54"/>
      <c r="O4241" s="336"/>
      <c r="P4241" s="334"/>
      <c r="Q4241" s="335"/>
      <c r="R4241" s="336"/>
      <c r="S4241" s="337"/>
    </row>
    <row r="4242" spans="1:25" ht="30" customHeight="1" x14ac:dyDescent="0.25">
      <c r="A4242" s="365">
        <v>81242</v>
      </c>
      <c r="B4242" s="1209" t="s">
        <v>2309</v>
      </c>
      <c r="C4242" s="1210"/>
      <c r="D4242" s="1211"/>
      <c r="E4242" s="247">
        <v>498</v>
      </c>
      <c r="F4242" s="284">
        <v>1</v>
      </c>
      <c r="G4242" s="753"/>
      <c r="H4242" s="698"/>
      <c r="I4242" s="1378">
        <v>0.9405</v>
      </c>
      <c r="J4242" s="1379"/>
      <c r="K4242" s="253">
        <f>+E4242*I4242</f>
        <v>468.36900000000003</v>
      </c>
      <c r="L4242" s="365" t="s">
        <v>40</v>
      </c>
      <c r="M4242" s="54"/>
      <c r="N4242" s="54"/>
      <c r="O4242" s="336"/>
      <c r="Q4242" s="335"/>
      <c r="R4242" s="336"/>
      <c r="S4242" s="337"/>
    </row>
    <row r="4243" spans="1:25" ht="30" customHeight="1" x14ac:dyDescent="0.25">
      <c r="A4243" s="365">
        <v>81242</v>
      </c>
      <c r="B4243" s="1209" t="s">
        <v>2310</v>
      </c>
      <c r="C4243" s="1210"/>
      <c r="D4243" s="1211"/>
      <c r="E4243" s="282">
        <v>21.3</v>
      </c>
      <c r="F4243" s="257">
        <v>1</v>
      </c>
      <c r="G4243" s="691"/>
      <c r="H4243" s="698"/>
      <c r="I4243" s="1378">
        <v>0.9405</v>
      </c>
      <c r="J4243" s="1379"/>
      <c r="K4243" s="253">
        <f>+E4243*I4243</f>
        <v>20.03265</v>
      </c>
      <c r="L4243" s="365" t="s">
        <v>40</v>
      </c>
      <c r="M4243" s="54"/>
      <c r="N4243" s="54"/>
      <c r="O4243" s="336"/>
      <c r="Q4243" s="335"/>
      <c r="R4243" s="336"/>
      <c r="S4243" s="337"/>
      <c r="U4243" s="60"/>
    </row>
    <row r="4244" spans="1:25" ht="30" customHeight="1" x14ac:dyDescent="0.25">
      <c r="A4244" s="365">
        <v>81242</v>
      </c>
      <c r="B4244" s="1209" t="s">
        <v>2311</v>
      </c>
      <c r="C4244" s="1210"/>
      <c r="D4244" s="1211"/>
      <c r="E4244" s="282">
        <v>37.5</v>
      </c>
      <c r="F4244" s="257">
        <v>1</v>
      </c>
      <c r="G4244" s="661"/>
      <c r="H4244" s="698"/>
      <c r="I4244" s="1378">
        <v>0.9405</v>
      </c>
      <c r="J4244" s="1379"/>
      <c r="K4244" s="253">
        <f>+E4244*I4244</f>
        <v>35.268749999999997</v>
      </c>
      <c r="L4244" s="365" t="s">
        <v>40</v>
      </c>
      <c r="M4244" s="54"/>
      <c r="N4244" s="54"/>
      <c r="O4244" s="336"/>
      <c r="T4244" s="10"/>
      <c r="U4244" s="60"/>
    </row>
    <row r="4245" spans="1:25" ht="30" customHeight="1" x14ac:dyDescent="0.25">
      <c r="A4245" s="365">
        <v>81242</v>
      </c>
      <c r="B4245" s="1209" t="s">
        <v>2312</v>
      </c>
      <c r="C4245" s="1210"/>
      <c r="D4245" s="1211"/>
      <c r="E4245" s="246">
        <v>65</v>
      </c>
      <c r="F4245" s="257">
        <v>1</v>
      </c>
      <c r="G4245" s="661"/>
      <c r="H4245" s="698"/>
      <c r="I4245" s="1378">
        <v>0.9405</v>
      </c>
      <c r="J4245" s="1379"/>
      <c r="K4245" s="253">
        <f>+E4245*I4245</f>
        <v>61.1325</v>
      </c>
      <c r="L4245" s="365" t="s">
        <v>40</v>
      </c>
      <c r="M4245" s="54"/>
      <c r="N4245" s="54"/>
      <c r="O4245" s="336"/>
      <c r="T4245" s="60"/>
      <c r="U4245" s="60"/>
    </row>
    <row r="4246" spans="1:25" ht="30" customHeight="1" x14ac:dyDescent="0.25">
      <c r="A4246" s="365">
        <v>81242</v>
      </c>
      <c r="B4246" s="1209" t="s">
        <v>2313</v>
      </c>
      <c r="C4246" s="1210"/>
      <c r="D4246" s="1211"/>
      <c r="E4246" s="246">
        <v>151</v>
      </c>
      <c r="F4246" s="257">
        <v>1</v>
      </c>
      <c r="G4246" s="661"/>
      <c r="H4246" s="698"/>
      <c r="I4246" s="1378">
        <v>0.9405</v>
      </c>
      <c r="J4246" s="1379"/>
      <c r="K4246" s="253">
        <f>+E4246*I4246</f>
        <v>142.0155</v>
      </c>
      <c r="L4246" s="365" t="s">
        <v>40</v>
      </c>
      <c r="M4246" s="54"/>
      <c r="N4246" s="54"/>
      <c r="O4246" s="336"/>
      <c r="T4246" s="60"/>
      <c r="U4246" s="10"/>
    </row>
    <row r="4247" spans="1:25" ht="30" customHeight="1" x14ac:dyDescent="0.25">
      <c r="A4247" s="365"/>
      <c r="B4247" s="1214"/>
      <c r="C4247" s="1215"/>
      <c r="D4247" s="1216"/>
      <c r="E4247" s="164"/>
      <c r="F4247" s="183"/>
      <c r="G4247" s="697"/>
      <c r="H4247" s="698"/>
      <c r="I4247" s="730"/>
      <c r="J4247" s="721" t="s">
        <v>300</v>
      </c>
      <c r="K4247" s="253">
        <f>AVERAGE(K4242:K4246)</f>
        <v>145.36367999999999</v>
      </c>
      <c r="L4247" s="365" t="s">
        <v>40</v>
      </c>
      <c r="M4247" s="54"/>
      <c r="N4247" s="54"/>
      <c r="O4247" s="336"/>
      <c r="T4247" s="60"/>
      <c r="U4247" s="10"/>
    </row>
    <row r="4248" spans="1:25" ht="30" customHeight="1" thickBot="1" x14ac:dyDescent="0.3">
      <c r="A4248" s="365"/>
      <c r="B4248" s="1164"/>
      <c r="C4248" s="1164"/>
      <c r="D4248" s="1164"/>
      <c r="E4248" s="333"/>
      <c r="F4248" s="744"/>
      <c r="G4248" s="333"/>
      <c r="H4248" s="729"/>
      <c r="I4248" s="366"/>
      <c r="J4248" s="359" t="s">
        <v>72</v>
      </c>
      <c r="K4248" s="253">
        <f>+K4247</f>
        <v>145.36367999999999</v>
      </c>
      <c r="L4248" s="365" t="s">
        <v>40</v>
      </c>
      <c r="M4248" s="54"/>
      <c r="N4248" s="54"/>
      <c r="O4248" s="336"/>
      <c r="T4248" s="10"/>
      <c r="U4248" s="10"/>
    </row>
    <row r="4249" spans="1:25" ht="30" customHeight="1" thickBot="1" x14ac:dyDescent="0.3">
      <c r="A4249" s="1180"/>
      <c r="B4249" s="1181"/>
      <c r="C4249" s="1181"/>
      <c r="D4249" s="1181"/>
      <c r="E4249" s="1181"/>
      <c r="F4249" s="1181"/>
      <c r="G4249" s="1181"/>
      <c r="H4249" s="1181"/>
      <c r="I4249" s="1181"/>
      <c r="J4249" s="1181"/>
      <c r="K4249" s="1181"/>
      <c r="L4249" s="1182"/>
      <c r="M4249" s="54"/>
      <c r="N4249" s="54"/>
      <c r="O4249" s="336"/>
      <c r="T4249" s="10"/>
      <c r="U4249" s="10"/>
    </row>
    <row r="4250" spans="1:25" ht="30" customHeight="1" x14ac:dyDescent="0.25">
      <c r="A4250" s="456" t="s">
        <v>5</v>
      </c>
      <c r="B4250" s="456">
        <v>8124</v>
      </c>
      <c r="C4250" s="1406" t="s">
        <v>2314</v>
      </c>
      <c r="D4250" s="1406"/>
      <c r="E4250" s="367" t="s">
        <v>8</v>
      </c>
      <c r="F4250" s="378" t="s">
        <v>2270</v>
      </c>
      <c r="G4250" s="342" t="s">
        <v>2315</v>
      </c>
      <c r="H4250" s="859"/>
      <c r="I4250" s="331" t="s">
        <v>10</v>
      </c>
      <c r="J4250" s="1220" t="s">
        <v>2316</v>
      </c>
      <c r="K4250" s="1220"/>
      <c r="L4250" s="1221"/>
      <c r="M4250" s="54"/>
      <c r="N4250" s="54"/>
      <c r="O4250" s="336"/>
      <c r="T4250" s="10"/>
      <c r="U4250" s="10"/>
    </row>
    <row r="4251" spans="1:25" ht="30" customHeight="1" x14ac:dyDescent="0.25">
      <c r="A4251" s="359" t="s">
        <v>2317</v>
      </c>
      <c r="B4251" s="1222" t="s">
        <v>2318</v>
      </c>
      <c r="C4251" s="1235"/>
      <c r="D4251" s="1223"/>
      <c r="E4251" s="934" t="s">
        <v>2319</v>
      </c>
      <c r="F4251" s="577" t="s">
        <v>2320</v>
      </c>
      <c r="G4251" s="633" t="s">
        <v>2321</v>
      </c>
      <c r="H4251" s="633" t="s">
        <v>2322</v>
      </c>
      <c r="I4251" s="812" t="s">
        <v>2323</v>
      </c>
      <c r="J4251" s="356" t="s">
        <v>539</v>
      </c>
      <c r="K4251" s="1236" t="s">
        <v>285</v>
      </c>
      <c r="L4251" s="1237"/>
      <c r="M4251" s="54"/>
      <c r="N4251" s="111"/>
      <c r="O4251" s="336"/>
      <c r="T4251" s="10"/>
      <c r="U4251" s="10"/>
    </row>
    <row r="4252" spans="1:25" ht="30" customHeight="1" x14ac:dyDescent="0.25">
      <c r="A4252" s="365" t="s">
        <v>2324</v>
      </c>
      <c r="B4252" s="1368" t="s">
        <v>2325</v>
      </c>
      <c r="C4252" s="1368"/>
      <c r="D4252" s="1368"/>
      <c r="E4252" s="247" t="s">
        <v>2326</v>
      </c>
      <c r="F4252" s="365">
        <v>1.4</v>
      </c>
      <c r="G4252" s="247">
        <v>813</v>
      </c>
      <c r="H4252" s="247">
        <v>2836</v>
      </c>
      <c r="I4252" s="1004">
        <f>+(G4252+H4252)/F4252</f>
        <v>2606.4285714285716</v>
      </c>
      <c r="J4252" s="758">
        <v>1.1446122264727614</v>
      </c>
      <c r="K4252" s="1005" t="s">
        <v>2327</v>
      </c>
      <c r="L4252" s="365"/>
      <c r="M4252" s="54"/>
      <c r="N4252" s="54"/>
      <c r="T4252" s="10"/>
      <c r="U4252" s="10"/>
    </row>
    <row r="4253" spans="1:25" ht="30" customHeight="1" x14ac:dyDescent="0.25">
      <c r="A4253" s="365" t="s">
        <v>2324</v>
      </c>
      <c r="B4253" s="1368" t="s">
        <v>2325</v>
      </c>
      <c r="C4253" s="1368"/>
      <c r="D4253" s="1368"/>
      <c r="E4253" s="247" t="s">
        <v>2328</v>
      </c>
      <c r="F4253" s="365">
        <v>1.4</v>
      </c>
      <c r="G4253" s="152">
        <v>596</v>
      </c>
      <c r="H4253" s="247">
        <v>3020</v>
      </c>
      <c r="I4253" s="1004">
        <f t="shared" ref="I4253:I4260" si="63">+(G4253+H4253)/F4253</f>
        <v>2582.8571428571431</v>
      </c>
      <c r="J4253" s="758">
        <v>1.1446122264727614</v>
      </c>
      <c r="K4253" s="1006">
        <f>+(I4252*J4252+I4253*J4253)/2</f>
        <v>2969.8599376159327</v>
      </c>
      <c r="L4253" s="365" t="s">
        <v>2270</v>
      </c>
      <c r="M4253" s="54"/>
      <c r="N4253" s="54"/>
      <c r="P4253" s="344"/>
      <c r="T4253" s="10"/>
      <c r="U4253" s="10"/>
    </row>
    <row r="4254" spans="1:25" ht="30" customHeight="1" x14ac:dyDescent="0.25">
      <c r="A4254" s="365" t="s">
        <v>2329</v>
      </c>
      <c r="B4254" s="1368" t="s">
        <v>2325</v>
      </c>
      <c r="C4254" s="1368"/>
      <c r="D4254" s="1368"/>
      <c r="E4254" s="247" t="s">
        <v>2326</v>
      </c>
      <c r="F4254" s="365">
        <v>6.6</v>
      </c>
      <c r="G4254" s="152">
        <v>1182</v>
      </c>
      <c r="H4254" s="247">
        <v>3090</v>
      </c>
      <c r="I4254" s="1004">
        <f t="shared" si="63"/>
        <v>647.27272727272725</v>
      </c>
      <c r="J4254" s="758">
        <v>1.1446122264727614</v>
      </c>
      <c r="K4254" s="1005"/>
      <c r="L4254" s="365"/>
      <c r="M4254" s="54"/>
      <c r="N4254" s="54"/>
      <c r="P4254" s="344"/>
      <c r="T4254" s="10"/>
      <c r="U4254" s="345"/>
    </row>
    <row r="4255" spans="1:25" ht="30" customHeight="1" x14ac:dyDescent="0.25">
      <c r="A4255" s="365" t="s">
        <v>2329</v>
      </c>
      <c r="B4255" s="1368" t="s">
        <v>2325</v>
      </c>
      <c r="C4255" s="1368"/>
      <c r="D4255" s="1368"/>
      <c r="E4255" s="247" t="s">
        <v>2328</v>
      </c>
      <c r="F4255" s="365">
        <v>6.6</v>
      </c>
      <c r="G4255" s="152">
        <v>938</v>
      </c>
      <c r="H4255" s="247">
        <v>3090</v>
      </c>
      <c r="I4255" s="1004">
        <f t="shared" si="63"/>
        <v>610.30303030303037</v>
      </c>
      <c r="J4255" s="758">
        <v>1.1446122264727614</v>
      </c>
      <c r="K4255" s="1005"/>
      <c r="L4255" s="365"/>
      <c r="M4255" s="54"/>
      <c r="N4255" s="54"/>
      <c r="P4255" s="344"/>
      <c r="T4255" s="10"/>
      <c r="U4255" s="345"/>
    </row>
    <row r="4256" spans="1:25" ht="30" customHeight="1" x14ac:dyDescent="0.25">
      <c r="A4256" s="365" t="s">
        <v>2329</v>
      </c>
      <c r="B4256" s="1368" t="s">
        <v>2330</v>
      </c>
      <c r="C4256" s="1368"/>
      <c r="D4256" s="1368"/>
      <c r="E4256" s="247" t="s">
        <v>2326</v>
      </c>
      <c r="F4256" s="365">
        <v>6.6</v>
      </c>
      <c r="G4256" s="152">
        <v>3127</v>
      </c>
      <c r="H4256" s="247">
        <v>3090</v>
      </c>
      <c r="I4256" s="1004">
        <f t="shared" si="63"/>
        <v>941.969696969697</v>
      </c>
      <c r="J4256" s="758">
        <v>1.1446122264727614</v>
      </c>
      <c r="K4256" s="1005" t="s">
        <v>2331</v>
      </c>
      <c r="L4256" s="365"/>
      <c r="M4256" s="54"/>
      <c r="N4256" s="54"/>
      <c r="Q4256" s="345"/>
      <c r="R4256" s="345"/>
      <c r="S4256" s="345"/>
      <c r="T4256" s="345"/>
      <c r="U4256" s="345"/>
      <c r="V4256" s="345"/>
      <c r="W4256" s="345"/>
      <c r="X4256" s="345"/>
      <c r="Y4256" s="345"/>
    </row>
    <row r="4257" spans="1:26" ht="30" customHeight="1" x14ac:dyDescent="0.25">
      <c r="A4257" s="365" t="s">
        <v>2329</v>
      </c>
      <c r="B4257" s="1368" t="s">
        <v>2330</v>
      </c>
      <c r="C4257" s="1368"/>
      <c r="D4257" s="1368"/>
      <c r="E4257" s="247" t="s">
        <v>2328</v>
      </c>
      <c r="F4257" s="365">
        <v>6.6</v>
      </c>
      <c r="G4257" s="152">
        <v>2793</v>
      </c>
      <c r="H4257" s="247">
        <v>3090</v>
      </c>
      <c r="I4257" s="1004">
        <f t="shared" si="63"/>
        <v>891.36363636363637</v>
      </c>
      <c r="J4257" s="758">
        <v>1.1446122264727614</v>
      </c>
      <c r="K4257" s="1006">
        <f>+(I4254*J4254+I4255*J4255+I4256*J4256+I4257*J4257)/4</f>
        <v>884.47308409258835</v>
      </c>
      <c r="L4257" s="365" t="s">
        <v>2270</v>
      </c>
      <c r="M4257" s="54"/>
      <c r="N4257" s="54"/>
      <c r="Q4257" s="345"/>
      <c r="R4257" s="345"/>
      <c r="S4257" s="345"/>
      <c r="T4257" s="345"/>
      <c r="V4257" s="345"/>
      <c r="W4257" s="345"/>
      <c r="X4257" s="345"/>
      <c r="Y4257" s="345"/>
      <c r="Z4257" s="345"/>
    </row>
    <row r="4258" spans="1:26" ht="30" customHeight="1" x14ac:dyDescent="0.25">
      <c r="A4258" s="365" t="s">
        <v>2332</v>
      </c>
      <c r="B4258" s="1368" t="s">
        <v>2333</v>
      </c>
      <c r="C4258" s="1368"/>
      <c r="D4258" s="1368"/>
      <c r="E4258" s="247" t="s">
        <v>2326</v>
      </c>
      <c r="F4258" s="365">
        <v>50</v>
      </c>
      <c r="G4258" s="152">
        <v>28401</v>
      </c>
      <c r="H4258" s="247">
        <v>26964</v>
      </c>
      <c r="I4258" s="1004">
        <f t="shared" si="63"/>
        <v>1107.3</v>
      </c>
      <c r="J4258" s="758">
        <v>1.1446122264727614</v>
      </c>
      <c r="K4258" s="1005"/>
      <c r="L4258" s="365"/>
      <c r="M4258" s="54"/>
      <c r="N4258" s="54"/>
      <c r="P4258" s="344"/>
      <c r="Q4258" s="345"/>
      <c r="R4258" s="345"/>
      <c r="S4258" s="345"/>
      <c r="T4258" s="345"/>
      <c r="V4258" s="345"/>
      <c r="W4258" s="345"/>
      <c r="X4258" s="345"/>
      <c r="Y4258" s="345"/>
      <c r="Z4258" s="345"/>
    </row>
    <row r="4259" spans="1:26" ht="30" customHeight="1" x14ac:dyDescent="0.25">
      <c r="A4259" s="365" t="s">
        <v>2332</v>
      </c>
      <c r="B4259" s="1368" t="s">
        <v>2334</v>
      </c>
      <c r="C4259" s="1368"/>
      <c r="D4259" s="1368"/>
      <c r="E4259" s="247" t="s">
        <v>2326</v>
      </c>
      <c r="F4259" s="365">
        <v>150</v>
      </c>
      <c r="G4259" s="246">
        <v>75000</v>
      </c>
      <c r="H4259" s="247">
        <v>28312</v>
      </c>
      <c r="I4259" s="1004">
        <f t="shared" si="63"/>
        <v>688.74666666666667</v>
      </c>
      <c r="J4259" s="758">
        <v>1.1446122264727614</v>
      </c>
      <c r="K4259" s="1005" t="s">
        <v>2335</v>
      </c>
      <c r="L4259" s="365"/>
      <c r="M4259" s="54"/>
      <c r="N4259" s="54"/>
      <c r="V4259" s="345"/>
      <c r="W4259" s="345"/>
      <c r="X4259" s="345"/>
      <c r="Y4259" s="345"/>
      <c r="Z4259" s="345"/>
    </row>
    <row r="4260" spans="1:26" s="345" customFormat="1" ht="30" customHeight="1" x14ac:dyDescent="0.25">
      <c r="A4260" s="365" t="s">
        <v>2332</v>
      </c>
      <c r="B4260" s="1368" t="s">
        <v>2336</v>
      </c>
      <c r="C4260" s="1368"/>
      <c r="D4260" s="1368"/>
      <c r="E4260" s="247" t="s">
        <v>2326</v>
      </c>
      <c r="F4260" s="365">
        <v>350</v>
      </c>
      <c r="G4260" s="246">
        <v>140000</v>
      </c>
      <c r="H4260" s="247">
        <v>39097</v>
      </c>
      <c r="I4260" s="1004">
        <f t="shared" si="63"/>
        <v>511.70571428571429</v>
      </c>
      <c r="J4260" s="758">
        <v>1.1446122264727614</v>
      </c>
      <c r="K4260" s="1006">
        <f>+(J4258*I4258+I4259*J4259+I4260*J4260)/3</f>
        <v>880.49386363657368</v>
      </c>
      <c r="L4260" s="365" t="s">
        <v>2270</v>
      </c>
      <c r="M4260" s="54"/>
      <c r="N4260" s="54"/>
      <c r="O4260" s="384"/>
      <c r="P4260" s="340"/>
      <c r="Q4260" s="334"/>
      <c r="R4260" s="334"/>
      <c r="S4260" s="334"/>
      <c r="T4260" s="334"/>
      <c r="U4260" s="10"/>
      <c r="V4260" s="334"/>
      <c r="W4260" s="334"/>
      <c r="X4260" s="334"/>
      <c r="Y4260" s="334"/>
    </row>
    <row r="4261" spans="1:26" s="345" customFormat="1" ht="30" customHeight="1" x14ac:dyDescent="0.25">
      <c r="A4261" s="365"/>
      <c r="B4261" s="1281"/>
      <c r="C4261" s="1281"/>
      <c r="D4261" s="1281"/>
      <c r="E4261" s="247"/>
      <c r="F4261" s="366"/>
      <c r="G4261" s="366"/>
      <c r="H4261" s="662"/>
      <c r="I4261" s="365"/>
      <c r="J4261" s="365" t="s">
        <v>396</v>
      </c>
      <c r="K4261" s="1007">
        <f>+K4253*0.1+K4257*0.75+K4260*0.15</f>
        <v>1092.4148863765206</v>
      </c>
      <c r="L4261" s="365" t="s">
        <v>2270</v>
      </c>
      <c r="M4261" s="54"/>
      <c r="N4261" s="54"/>
      <c r="O4261" s="334"/>
      <c r="P4261" s="334"/>
      <c r="Q4261" s="334"/>
      <c r="R4261" s="334"/>
      <c r="S4261" s="334"/>
      <c r="T4261" s="334"/>
      <c r="U4261" s="10"/>
      <c r="V4261" s="334"/>
      <c r="W4261" s="334"/>
      <c r="X4261" s="334"/>
      <c r="Y4261" s="334"/>
      <c r="Z4261" s="334"/>
    </row>
    <row r="4262" spans="1:26" s="345" customFormat="1" ht="30" customHeight="1" x14ac:dyDescent="0.25">
      <c r="A4262" s="365"/>
      <c r="B4262" s="365"/>
      <c r="C4262" s="366"/>
      <c r="D4262" s="366"/>
      <c r="E4262" s="366"/>
      <c r="F4262" s="334"/>
      <c r="G4262" s="366"/>
      <c r="H4262" s="366"/>
      <c r="I4262" s="553" t="s">
        <v>414</v>
      </c>
      <c r="J4262" s="521">
        <f>VLOOKUP(B4250,'Mil Cost Premiums for PUCs'!$A$4:$R$277,18,FALSE)</f>
        <v>1.0905505199999999</v>
      </c>
      <c r="K4262" s="246">
        <f>+K4261*J4262</f>
        <v>1191.3336223936553</v>
      </c>
      <c r="L4262" s="365" t="s">
        <v>2270</v>
      </c>
      <c r="M4262" s="54"/>
      <c r="N4262" s="54"/>
      <c r="O4262" s="334"/>
      <c r="P4262" s="334"/>
      <c r="Q4262" s="334"/>
      <c r="R4262" s="334"/>
      <c r="S4262" s="334"/>
      <c r="T4262" s="10"/>
      <c r="U4262" s="334"/>
      <c r="V4262" s="334"/>
      <c r="W4262" s="334"/>
      <c r="X4262" s="334"/>
      <c r="Y4262" s="334"/>
      <c r="Z4262" s="334"/>
    </row>
    <row r="4263" spans="1:26" s="345" customFormat="1" ht="30" customHeight="1" x14ac:dyDescent="0.25">
      <c r="A4263" s="1230" t="s">
        <v>2337</v>
      </c>
      <c r="B4263" s="1231"/>
      <c r="C4263" s="1231"/>
      <c r="D4263" s="1231"/>
      <c r="E4263" s="1231"/>
      <c r="F4263" s="1231"/>
      <c r="G4263" s="1231"/>
      <c r="H4263" s="1231"/>
      <c r="I4263" s="1231"/>
      <c r="J4263" s="1231"/>
      <c r="K4263" s="1231"/>
      <c r="L4263" s="1232"/>
      <c r="M4263" s="54"/>
      <c r="N4263" s="54"/>
      <c r="O4263" s="334"/>
      <c r="P4263" s="340"/>
      <c r="Q4263" s="334"/>
      <c r="R4263" s="334"/>
      <c r="S4263" s="334"/>
      <c r="T4263" s="10"/>
      <c r="U4263" s="334"/>
      <c r="V4263" s="334"/>
      <c r="W4263" s="334"/>
      <c r="X4263" s="334"/>
      <c r="Y4263" s="334"/>
      <c r="Z4263" s="334"/>
    </row>
    <row r="4264" spans="1:26" ht="30" customHeight="1" thickBot="1" x14ac:dyDescent="0.3">
      <c r="A4264" s="1268" t="s">
        <v>322</v>
      </c>
      <c r="B4264" s="1167"/>
      <c r="C4264" s="1168"/>
      <c r="D4264" s="1230" t="s">
        <v>2338</v>
      </c>
      <c r="E4264" s="1231"/>
      <c r="F4264" s="1231"/>
      <c r="G4264" s="1231"/>
      <c r="H4264" s="1231"/>
      <c r="I4264" s="1231"/>
      <c r="J4264" s="1231"/>
      <c r="K4264" s="1231"/>
      <c r="L4264" s="1232"/>
      <c r="M4264" s="54"/>
      <c r="N4264" s="54"/>
      <c r="O4264" s="543"/>
      <c r="P4264" s="334"/>
      <c r="Q4264" s="335"/>
      <c r="R4264" s="336"/>
      <c r="S4264" s="337"/>
    </row>
    <row r="4265" spans="1:26" ht="30" customHeight="1" thickBot="1" x14ac:dyDescent="0.3">
      <c r="A4265" s="1180"/>
      <c r="B4265" s="1181"/>
      <c r="C4265" s="1181"/>
      <c r="D4265" s="1181"/>
      <c r="E4265" s="1181"/>
      <c r="F4265" s="1181"/>
      <c r="G4265" s="1181"/>
      <c r="H4265" s="1181"/>
      <c r="I4265" s="1181"/>
      <c r="J4265" s="1181"/>
      <c r="K4265" s="1181"/>
      <c r="L4265" s="1182"/>
      <c r="M4265" s="54"/>
      <c r="N4265" s="54"/>
      <c r="P4265" s="334"/>
      <c r="Q4265" s="335"/>
      <c r="R4265" s="336"/>
      <c r="S4265" s="337"/>
    </row>
    <row r="4266" spans="1:26" ht="30" customHeight="1" x14ac:dyDescent="0.25">
      <c r="A4266" s="327" t="s">
        <v>5</v>
      </c>
      <c r="B4266" s="328">
        <v>8131</v>
      </c>
      <c r="C4266" s="1251" t="s">
        <v>2339</v>
      </c>
      <c r="D4266" s="1252"/>
      <c r="E4266" s="331" t="s">
        <v>8</v>
      </c>
      <c r="F4266" s="332" t="s">
        <v>2340</v>
      </c>
      <c r="G4266" s="342" t="s">
        <v>74</v>
      </c>
      <c r="H4266" s="156">
        <v>4674</v>
      </c>
      <c r="I4266" s="331" t="s">
        <v>10</v>
      </c>
      <c r="J4266" s="1220" t="s">
        <v>2341</v>
      </c>
      <c r="K4266" s="1220"/>
      <c r="L4266" s="1221"/>
      <c r="M4266" s="111"/>
      <c r="N4266" s="54"/>
      <c r="O4266" s="554"/>
      <c r="P4266" s="334"/>
      <c r="Q4266" s="335"/>
      <c r="R4266" s="336"/>
      <c r="S4266" s="337"/>
    </row>
    <row r="4267" spans="1:26" ht="30" customHeight="1" x14ac:dyDescent="0.25">
      <c r="A4267" s="356" t="s">
        <v>12</v>
      </c>
      <c r="B4267" s="1163" t="s">
        <v>13</v>
      </c>
      <c r="C4267" s="1163"/>
      <c r="D4267" s="1163"/>
      <c r="E4267" s="356" t="s">
        <v>14</v>
      </c>
      <c r="F4267" s="356" t="s">
        <v>15</v>
      </c>
      <c r="G4267" s="356" t="s">
        <v>16</v>
      </c>
      <c r="H4267" s="356" t="s">
        <v>17</v>
      </c>
      <c r="I4267" s="356" t="s">
        <v>18</v>
      </c>
      <c r="J4267" s="359" t="s">
        <v>19</v>
      </c>
      <c r="K4267" s="359" t="s">
        <v>20</v>
      </c>
      <c r="L4267" s="359"/>
      <c r="M4267" s="54"/>
      <c r="N4267" s="54"/>
      <c r="O4267" s="554"/>
      <c r="P4267" s="334"/>
      <c r="Q4267" s="335"/>
      <c r="R4267" s="336"/>
      <c r="S4267" s="337"/>
    </row>
    <row r="4268" spans="1:26" ht="30" customHeight="1" x14ac:dyDescent="0.25">
      <c r="A4268" s="486" t="s">
        <v>2342</v>
      </c>
      <c r="B4268" s="578" t="s">
        <v>2343</v>
      </c>
      <c r="C4268" s="662"/>
      <c r="D4268" s="662"/>
      <c r="E4268" s="1008">
        <v>2400</v>
      </c>
      <c r="F4268" s="486" t="s">
        <v>205</v>
      </c>
      <c r="G4268" s="1009">
        <v>19454.27</v>
      </c>
      <c r="H4268" s="1009">
        <v>18293.62</v>
      </c>
      <c r="I4268" s="1009">
        <v>679.13</v>
      </c>
      <c r="J4268" s="1009">
        <v>20725.8</v>
      </c>
      <c r="K4268" s="1009">
        <v>38427.019999999997</v>
      </c>
      <c r="L4268" s="486" t="s">
        <v>205</v>
      </c>
      <c r="M4268" s="112"/>
      <c r="N4268" s="54"/>
      <c r="O4268" s="554"/>
      <c r="P4268" s="334"/>
      <c r="Q4268" s="335"/>
      <c r="R4268" s="336"/>
      <c r="S4268" s="337"/>
    </row>
    <row r="4269" spans="1:26" ht="30" customHeight="1" x14ac:dyDescent="0.25">
      <c r="A4269" s="486" t="s">
        <v>2344</v>
      </c>
      <c r="B4269" s="578" t="s">
        <v>2345</v>
      </c>
      <c r="C4269" s="662"/>
      <c r="D4269" s="662"/>
      <c r="E4269" s="1008">
        <v>3</v>
      </c>
      <c r="F4269" s="486" t="s">
        <v>76</v>
      </c>
      <c r="G4269" s="1009">
        <v>104977.91</v>
      </c>
      <c r="H4269" s="1009">
        <v>17576.22</v>
      </c>
      <c r="I4269" s="1009">
        <v>1729.56</v>
      </c>
      <c r="J4269" s="1009">
        <v>72768.570000000007</v>
      </c>
      <c r="K4269" s="1009">
        <v>124283.68</v>
      </c>
      <c r="L4269" s="486" t="s">
        <v>76</v>
      </c>
      <c r="M4269" s="54"/>
      <c r="N4269" s="54"/>
      <c r="O4269" s="554"/>
      <c r="P4269" s="334"/>
      <c r="Q4269" s="335"/>
      <c r="R4269" s="336"/>
      <c r="S4269" s="337"/>
    </row>
    <row r="4270" spans="1:26" ht="30" customHeight="1" x14ac:dyDescent="0.25">
      <c r="A4270" s="486" t="s">
        <v>2346</v>
      </c>
      <c r="B4270" s="578" t="s">
        <v>2347</v>
      </c>
      <c r="C4270" s="662"/>
      <c r="D4270" s="662"/>
      <c r="E4270" s="1008">
        <v>3</v>
      </c>
      <c r="F4270" s="486" t="s">
        <v>76</v>
      </c>
      <c r="G4270" s="1009">
        <v>17568.599999999999</v>
      </c>
      <c r="H4270" s="1009">
        <v>8374.42</v>
      </c>
      <c r="I4270" s="1009">
        <v>0</v>
      </c>
      <c r="J4270" s="1009">
        <v>14540.81</v>
      </c>
      <c r="K4270" s="1009">
        <v>25943.02</v>
      </c>
      <c r="L4270" s="486" t="s">
        <v>76</v>
      </c>
      <c r="M4270" s="54"/>
      <c r="N4270" s="54"/>
      <c r="O4270" s="554"/>
      <c r="P4270" s="334"/>
      <c r="Q4270" s="335"/>
      <c r="R4270" s="336"/>
      <c r="S4270" s="337"/>
    </row>
    <row r="4271" spans="1:26" ht="30" customHeight="1" x14ac:dyDescent="0.25">
      <c r="A4271" s="486" t="s">
        <v>2348</v>
      </c>
      <c r="B4271" s="578" t="s">
        <v>2349</v>
      </c>
      <c r="C4271" s="662"/>
      <c r="D4271" s="662"/>
      <c r="E4271" s="1008">
        <v>6</v>
      </c>
      <c r="F4271" s="486" t="s">
        <v>76</v>
      </c>
      <c r="G4271" s="1009">
        <v>7015.75</v>
      </c>
      <c r="H4271" s="1009">
        <v>2474.44</v>
      </c>
      <c r="I4271" s="1009">
        <v>0</v>
      </c>
      <c r="J4271" s="1009">
        <v>5400.38</v>
      </c>
      <c r="K4271" s="1009">
        <v>9490.18</v>
      </c>
      <c r="L4271" s="486" t="s">
        <v>76</v>
      </c>
      <c r="M4271" s="111"/>
      <c r="N4271" s="54"/>
      <c r="O4271" s="554"/>
      <c r="P4271" s="334"/>
      <c r="Q4271" s="335"/>
      <c r="R4271" s="336"/>
      <c r="S4271" s="337"/>
    </row>
    <row r="4272" spans="1:26" ht="30" customHeight="1" x14ac:dyDescent="0.25">
      <c r="A4272" s="486" t="s">
        <v>2350</v>
      </c>
      <c r="B4272" s="578" t="s">
        <v>2351</v>
      </c>
      <c r="C4272" s="662"/>
      <c r="D4272" s="662"/>
      <c r="E4272" s="1008">
        <v>3</v>
      </c>
      <c r="F4272" s="486" t="s">
        <v>76</v>
      </c>
      <c r="G4272" s="1009">
        <v>47380.639999999999</v>
      </c>
      <c r="H4272" s="1009">
        <v>0</v>
      </c>
      <c r="I4272" s="1009">
        <v>0</v>
      </c>
      <c r="J4272" s="1009">
        <v>28665.599999999999</v>
      </c>
      <c r="K4272" s="1009">
        <v>47380.639999999999</v>
      </c>
      <c r="L4272" s="486" t="s">
        <v>76</v>
      </c>
      <c r="M4272" s="54"/>
      <c r="N4272" s="54"/>
      <c r="O4272" s="718"/>
      <c r="P4272" s="334"/>
      <c r="Q4272" s="335"/>
      <c r="R4272" s="336"/>
      <c r="S4272" s="337"/>
    </row>
    <row r="4273" spans="1:19" ht="30" customHeight="1" x14ac:dyDescent="0.25">
      <c r="A4273" s="486" t="s">
        <v>2352</v>
      </c>
      <c r="B4273" s="578" t="s">
        <v>2353</v>
      </c>
      <c r="C4273" s="662"/>
      <c r="D4273" s="662"/>
      <c r="E4273" s="1008">
        <v>6</v>
      </c>
      <c r="F4273" s="486" t="s">
        <v>76</v>
      </c>
      <c r="G4273" s="1009">
        <v>531.27</v>
      </c>
      <c r="H4273" s="1009">
        <v>1370.57</v>
      </c>
      <c r="I4273" s="1009">
        <v>0</v>
      </c>
      <c r="J4273" s="1009">
        <v>961.62</v>
      </c>
      <c r="K4273" s="1009">
        <v>1901.84</v>
      </c>
      <c r="L4273" s="486" t="s">
        <v>76</v>
      </c>
      <c r="M4273" s="54"/>
      <c r="N4273" s="54"/>
      <c r="O4273" s="718"/>
      <c r="P4273" s="334"/>
      <c r="Q4273" s="335"/>
      <c r="R4273" s="336"/>
      <c r="S4273" s="337"/>
    </row>
    <row r="4274" spans="1:19" ht="30" customHeight="1" x14ac:dyDescent="0.25">
      <c r="A4274" s="486" t="s">
        <v>2354</v>
      </c>
      <c r="B4274" s="578" t="s">
        <v>2355</v>
      </c>
      <c r="C4274" s="662"/>
      <c r="D4274" s="662"/>
      <c r="E4274" s="1008">
        <v>12</v>
      </c>
      <c r="F4274" s="486" t="s">
        <v>76</v>
      </c>
      <c r="G4274" s="1009">
        <v>3642.54</v>
      </c>
      <c r="H4274" s="1009">
        <v>4945.7299999999996</v>
      </c>
      <c r="I4274" s="1009">
        <v>0</v>
      </c>
      <c r="J4274" s="1009">
        <v>4513.91</v>
      </c>
      <c r="K4274" s="1009">
        <v>8588.27</v>
      </c>
      <c r="L4274" s="486" t="s">
        <v>76</v>
      </c>
      <c r="M4274" s="54"/>
      <c r="N4274" s="54"/>
      <c r="O4274" s="336"/>
      <c r="P4274" s="334"/>
      <c r="Q4274" s="335"/>
      <c r="R4274" s="336"/>
      <c r="S4274" s="337"/>
    </row>
    <row r="4275" spans="1:19" ht="30" customHeight="1" x14ac:dyDescent="0.25">
      <c r="A4275" s="486" t="s">
        <v>2356</v>
      </c>
      <c r="B4275" s="578" t="s">
        <v>2357</v>
      </c>
      <c r="C4275" s="662"/>
      <c r="D4275" s="662"/>
      <c r="E4275" s="1008">
        <v>9</v>
      </c>
      <c r="F4275" s="486" t="s">
        <v>2358</v>
      </c>
      <c r="G4275" s="1009">
        <v>1883.47</v>
      </c>
      <c r="H4275" s="1009">
        <v>332.95</v>
      </c>
      <c r="I4275" s="1009">
        <v>0</v>
      </c>
      <c r="J4275" s="1009">
        <v>6800.7</v>
      </c>
      <c r="K4275" s="1009">
        <v>9465.4599999999991</v>
      </c>
      <c r="L4275" s="486" t="s">
        <v>2358</v>
      </c>
      <c r="M4275" s="54"/>
      <c r="N4275" s="54"/>
      <c r="O4275" s="839"/>
      <c r="P4275" s="334"/>
      <c r="Q4275" s="335"/>
      <c r="R4275" s="336"/>
      <c r="S4275" s="337"/>
    </row>
    <row r="4276" spans="1:19" ht="30" customHeight="1" x14ac:dyDescent="0.25">
      <c r="A4276" s="486" t="s">
        <v>2359</v>
      </c>
      <c r="B4276" s="578" t="s">
        <v>2360</v>
      </c>
      <c r="C4276" s="662"/>
      <c r="D4276" s="662"/>
      <c r="E4276" s="1008">
        <v>9</v>
      </c>
      <c r="F4276" s="486" t="s">
        <v>76</v>
      </c>
      <c r="G4276" s="1009">
        <v>48964.06</v>
      </c>
      <c r="H4276" s="1009">
        <v>4833.78</v>
      </c>
      <c r="I4276" s="1009">
        <v>0</v>
      </c>
      <c r="J4276" s="1009">
        <v>31881.43</v>
      </c>
      <c r="K4276" s="1009">
        <v>53797.84</v>
      </c>
      <c r="L4276" s="486" t="s">
        <v>76</v>
      </c>
      <c r="M4276" s="54"/>
      <c r="N4276" s="54"/>
      <c r="O4276" s="839"/>
      <c r="P4276" s="334"/>
      <c r="Q4276" s="335"/>
      <c r="R4276" s="336"/>
      <c r="S4276" s="337"/>
    </row>
    <row r="4277" spans="1:19" ht="30" customHeight="1" x14ac:dyDescent="0.25">
      <c r="A4277" s="486" t="s">
        <v>2361</v>
      </c>
      <c r="B4277" s="1214" t="s">
        <v>2362</v>
      </c>
      <c r="C4277" s="1215"/>
      <c r="D4277" s="1216"/>
      <c r="E4277" s="1008">
        <v>60</v>
      </c>
      <c r="F4277" s="486" t="s">
        <v>40</v>
      </c>
      <c r="G4277" s="1009">
        <v>44335.61</v>
      </c>
      <c r="H4277" s="1009">
        <v>7835.72</v>
      </c>
      <c r="I4277" s="1009">
        <v>0</v>
      </c>
      <c r="J4277" s="1009">
        <v>30483.4</v>
      </c>
      <c r="K4277" s="1009">
        <v>52171.34</v>
      </c>
      <c r="L4277" s="486" t="s">
        <v>40</v>
      </c>
      <c r="M4277" s="54"/>
      <c r="N4277" s="54"/>
      <c r="O4277" s="336"/>
      <c r="P4277" s="334"/>
      <c r="Q4277" s="335"/>
      <c r="R4277" s="336"/>
      <c r="S4277" s="337"/>
    </row>
    <row r="4278" spans="1:19" ht="30" customHeight="1" x14ac:dyDescent="0.25">
      <c r="A4278" s="486" t="s">
        <v>2363</v>
      </c>
      <c r="B4278" s="578" t="s">
        <v>2364</v>
      </c>
      <c r="C4278" s="662"/>
      <c r="D4278" s="662"/>
      <c r="E4278" s="1008">
        <v>60</v>
      </c>
      <c r="F4278" s="486" t="s">
        <v>40</v>
      </c>
      <c r="G4278" s="1009">
        <v>46284.43</v>
      </c>
      <c r="H4278" s="1009">
        <v>7835.58</v>
      </c>
      <c r="I4278" s="1009">
        <v>0</v>
      </c>
      <c r="J4278" s="1009">
        <v>31662.38</v>
      </c>
      <c r="K4278" s="1009">
        <v>54120.01</v>
      </c>
      <c r="L4278" s="486" t="s">
        <v>40</v>
      </c>
      <c r="M4278" s="54"/>
      <c r="N4278" s="54"/>
      <c r="O4278" s="336"/>
      <c r="P4278" s="334"/>
      <c r="Q4278" s="335"/>
      <c r="R4278" s="336"/>
      <c r="S4278" s="337"/>
    </row>
    <row r="4279" spans="1:19" ht="30" customHeight="1" x14ac:dyDescent="0.25">
      <c r="A4279" s="486" t="s">
        <v>2365</v>
      </c>
      <c r="B4279" s="578" t="s">
        <v>2366</v>
      </c>
      <c r="C4279" s="662"/>
      <c r="D4279" s="662"/>
      <c r="E4279" s="1008">
        <v>40</v>
      </c>
      <c r="F4279" s="486" t="s">
        <v>40</v>
      </c>
      <c r="G4279" s="1009">
        <v>81200.759999999995</v>
      </c>
      <c r="H4279" s="1009">
        <v>17412.71</v>
      </c>
      <c r="I4279" s="1009">
        <v>0</v>
      </c>
      <c r="J4279" s="1009">
        <v>57260.47</v>
      </c>
      <c r="K4279" s="1009">
        <v>98613.46</v>
      </c>
      <c r="L4279" s="486" t="s">
        <v>40</v>
      </c>
      <c r="M4279" s="54"/>
      <c r="N4279" s="54"/>
      <c r="O4279" s="336"/>
      <c r="P4279" s="334"/>
      <c r="Q4279" s="335"/>
      <c r="R4279" s="336"/>
      <c r="S4279" s="337"/>
    </row>
    <row r="4280" spans="1:19" ht="30" customHeight="1" x14ac:dyDescent="0.25">
      <c r="A4280" s="486" t="s">
        <v>2367</v>
      </c>
      <c r="B4280" s="1230" t="s">
        <v>2368</v>
      </c>
      <c r="C4280" s="1231"/>
      <c r="D4280" s="1232"/>
      <c r="E4280" s="1008">
        <v>3</v>
      </c>
      <c r="F4280" s="486" t="s">
        <v>76</v>
      </c>
      <c r="G4280" s="1009">
        <v>148597.38</v>
      </c>
      <c r="H4280" s="1009">
        <v>25734.39</v>
      </c>
      <c r="I4280" s="1009">
        <v>2984.84</v>
      </c>
      <c r="J4280" s="1009">
        <v>103728.78</v>
      </c>
      <c r="K4280" s="1009">
        <v>177316.61</v>
      </c>
      <c r="L4280" s="486"/>
      <c r="M4280" s="54"/>
      <c r="N4280" s="54"/>
      <c r="O4280" s="336"/>
      <c r="P4280" s="334"/>
      <c r="Q4280" s="335"/>
      <c r="R4280" s="336"/>
      <c r="S4280" s="337"/>
    </row>
    <row r="4281" spans="1:19" ht="30" customHeight="1" x14ac:dyDescent="0.25">
      <c r="A4281" s="486" t="s">
        <v>2369</v>
      </c>
      <c r="B4281" s="578" t="s">
        <v>2370</v>
      </c>
      <c r="C4281" s="662"/>
      <c r="D4281" s="662"/>
      <c r="E4281" s="1008">
        <v>3</v>
      </c>
      <c r="F4281" s="486" t="s">
        <v>76</v>
      </c>
      <c r="G4281" s="1009">
        <v>272834.53999999998</v>
      </c>
      <c r="H4281" s="1009">
        <v>14003.64</v>
      </c>
      <c r="I4281" s="1009">
        <v>2602.19</v>
      </c>
      <c r="J4281" s="1009">
        <v>173182.12</v>
      </c>
      <c r="K4281" s="1009">
        <v>289440.38</v>
      </c>
      <c r="L4281" s="486"/>
      <c r="M4281" s="54"/>
      <c r="N4281" s="54"/>
      <c r="O4281" s="336"/>
      <c r="P4281" s="334"/>
      <c r="Q4281" s="335"/>
      <c r="R4281" s="336"/>
      <c r="S4281" s="337"/>
    </row>
    <row r="4282" spans="1:19" ht="30" customHeight="1" x14ac:dyDescent="0.25">
      <c r="A4282" s="486" t="s">
        <v>2371</v>
      </c>
      <c r="B4282" s="578" t="s">
        <v>2372</v>
      </c>
      <c r="C4282" s="662"/>
      <c r="D4282" s="662"/>
      <c r="E4282" s="1008">
        <v>6</v>
      </c>
      <c r="F4282" s="486" t="s">
        <v>76</v>
      </c>
      <c r="G4282" s="1009">
        <v>8769.68</v>
      </c>
      <c r="H4282" s="1009">
        <v>4082.01</v>
      </c>
      <c r="I4282" s="1009">
        <v>473.45</v>
      </c>
      <c r="J4282" s="1009">
        <v>7498.86</v>
      </c>
      <c r="K4282" s="1009">
        <v>13325.14</v>
      </c>
      <c r="L4282" s="486"/>
      <c r="M4282" s="54"/>
      <c r="N4282" s="54"/>
      <c r="O4282" s="336"/>
      <c r="P4282" s="334"/>
      <c r="Q4282" s="335"/>
      <c r="R4282" s="336"/>
      <c r="S4282" s="337"/>
    </row>
    <row r="4283" spans="1:19" ht="30" customHeight="1" x14ac:dyDescent="0.25">
      <c r="A4283" s="486" t="s">
        <v>2373</v>
      </c>
      <c r="B4283" s="578" t="s">
        <v>2374</v>
      </c>
      <c r="C4283" s="662"/>
      <c r="D4283" s="662"/>
      <c r="E4283" s="1008">
        <v>12</v>
      </c>
      <c r="F4283" s="486" t="s">
        <v>76</v>
      </c>
      <c r="G4283" s="1009">
        <v>6684.45</v>
      </c>
      <c r="H4283" s="1009">
        <v>4897.32</v>
      </c>
      <c r="I4283" s="1009">
        <v>0</v>
      </c>
      <c r="J4283" s="1009">
        <v>6331.68</v>
      </c>
      <c r="K4283" s="1009">
        <v>11581.77</v>
      </c>
      <c r="L4283" s="486"/>
      <c r="M4283" s="54"/>
      <c r="N4283" s="54"/>
      <c r="O4283" s="336"/>
      <c r="P4283" s="334"/>
      <c r="Q4283" s="335"/>
      <c r="R4283" s="336"/>
      <c r="S4283" s="337"/>
    </row>
    <row r="4284" spans="1:19" ht="30" customHeight="1" x14ac:dyDescent="0.25">
      <c r="A4284" s="486" t="s">
        <v>2375</v>
      </c>
      <c r="B4284" s="578" t="s">
        <v>2376</v>
      </c>
      <c r="C4284" s="662"/>
      <c r="D4284" s="662"/>
      <c r="E4284" s="1008">
        <v>1500</v>
      </c>
      <c r="F4284" s="486" t="s">
        <v>40</v>
      </c>
      <c r="G4284" s="1009">
        <v>5822.09</v>
      </c>
      <c r="H4284" s="1009">
        <v>2612.0500000000002</v>
      </c>
      <c r="I4284" s="1009">
        <v>0</v>
      </c>
      <c r="J4284" s="1009">
        <v>4742.5</v>
      </c>
      <c r="K4284" s="1009">
        <v>8434.15</v>
      </c>
      <c r="L4284" s="486"/>
      <c r="M4284" s="54"/>
      <c r="N4284" s="54"/>
      <c r="O4284" s="336"/>
      <c r="P4284" s="334"/>
      <c r="Q4284" s="335"/>
      <c r="R4284" s="336"/>
      <c r="S4284" s="337"/>
    </row>
    <row r="4285" spans="1:19" ht="30" customHeight="1" x14ac:dyDescent="0.25">
      <c r="A4285" s="1352" t="s">
        <v>2377</v>
      </c>
      <c r="B4285" s="1353"/>
      <c r="C4285" s="1353"/>
      <c r="D4285" s="1354"/>
      <c r="E4285" s="366"/>
      <c r="F4285" s="366"/>
      <c r="G4285" s="1010"/>
      <c r="H4285" s="1010"/>
      <c r="I4285" s="1010"/>
      <c r="J4285" s="766">
        <f>SUM(J4268:J4284)</f>
        <v>601149.01</v>
      </c>
      <c r="K4285" s="255">
        <f>SUM(K4268:K4284)</f>
        <v>1024280.8099999999</v>
      </c>
      <c r="L4285" s="486" t="s">
        <v>54</v>
      </c>
      <c r="M4285" s="54"/>
      <c r="N4285" s="54"/>
      <c r="O4285" s="336"/>
      <c r="P4285" s="334"/>
      <c r="Q4285" s="335"/>
      <c r="R4285" s="336"/>
      <c r="S4285" s="337"/>
    </row>
    <row r="4286" spans="1:19" ht="30" customHeight="1" x14ac:dyDescent="0.25">
      <c r="A4286" s="1381"/>
      <c r="B4286" s="1382"/>
      <c r="C4286" s="1382"/>
      <c r="D4286" s="1383"/>
      <c r="E4286" s="366"/>
      <c r="F4286" s="366"/>
      <c r="G4286" s="1010"/>
      <c r="H4286" s="1010"/>
      <c r="I4286" s="1010"/>
      <c r="J4286" s="1011" t="s">
        <v>72</v>
      </c>
      <c r="K4286" s="255">
        <f>+K4285/H4266</f>
        <v>219.14437526743689</v>
      </c>
      <c r="L4286" s="365" t="s">
        <v>2340</v>
      </c>
      <c r="M4286" s="54"/>
      <c r="N4286" s="54"/>
      <c r="O4286" s="336"/>
      <c r="P4286" s="334"/>
      <c r="Q4286" s="335"/>
      <c r="R4286" s="336"/>
      <c r="S4286" s="337"/>
    </row>
    <row r="4287" spans="1:19" ht="30" customHeight="1" x14ac:dyDescent="0.25">
      <c r="A4287" s="1381"/>
      <c r="B4287" s="1382"/>
      <c r="C4287" s="1382"/>
      <c r="D4287" s="1383"/>
      <c r="E4287" s="366"/>
      <c r="F4287" s="366"/>
      <c r="G4287" s="366"/>
      <c r="H4287" s="366"/>
      <c r="I4287" s="366"/>
      <c r="J4287" s="553"/>
      <c r="K4287" s="285"/>
      <c r="L4287" s="359"/>
      <c r="M4287" s="54"/>
      <c r="N4287" s="54"/>
      <c r="O4287" s="336"/>
      <c r="P4287" s="334"/>
      <c r="Q4287" s="335"/>
      <c r="R4287" s="336"/>
      <c r="S4287" s="337"/>
    </row>
    <row r="4288" spans="1:19" ht="30" customHeight="1" thickBot="1" x14ac:dyDescent="0.3">
      <c r="A4288" s="1384"/>
      <c r="B4288" s="1385"/>
      <c r="C4288" s="1385"/>
      <c r="D4288" s="1386"/>
      <c r="E4288" s="366"/>
      <c r="F4288" s="366"/>
      <c r="G4288" s="366"/>
      <c r="H4288" s="366"/>
      <c r="I4288" s="366"/>
      <c r="J4288" s="366"/>
      <c r="K4288" s="366"/>
      <c r="L4288" s="366"/>
      <c r="M4288" s="54"/>
      <c r="N4288" s="54"/>
      <c r="O4288" s="336"/>
      <c r="P4288" s="334"/>
      <c r="Q4288" s="335"/>
      <c r="R4288" s="336"/>
      <c r="S4288" s="337"/>
    </row>
    <row r="4289" spans="1:19" ht="30" customHeight="1" thickBot="1" x14ac:dyDescent="0.3">
      <c r="A4289" s="1180"/>
      <c r="B4289" s="1181"/>
      <c r="C4289" s="1181"/>
      <c r="D4289" s="1181"/>
      <c r="E4289" s="1181"/>
      <c r="F4289" s="1181"/>
      <c r="G4289" s="1181"/>
      <c r="H4289" s="1181"/>
      <c r="I4289" s="1181"/>
      <c r="J4289" s="1181"/>
      <c r="K4289" s="1181"/>
      <c r="L4289" s="1182"/>
      <c r="M4289" s="54"/>
      <c r="N4289" s="54"/>
      <c r="O4289" s="336"/>
      <c r="P4289" s="334"/>
      <c r="Q4289" s="335"/>
      <c r="R4289" s="336"/>
      <c r="S4289" s="337"/>
    </row>
    <row r="4290" spans="1:19" ht="30" customHeight="1" x14ac:dyDescent="0.25">
      <c r="A4290" s="327" t="s">
        <v>5</v>
      </c>
      <c r="B4290" s="328">
        <v>8132</v>
      </c>
      <c r="C4290" s="1251" t="s">
        <v>2378</v>
      </c>
      <c r="D4290" s="1252"/>
      <c r="E4290" s="331" t="s">
        <v>8</v>
      </c>
      <c r="F4290" s="332" t="s">
        <v>2340</v>
      </c>
      <c r="G4290" s="342" t="s">
        <v>74</v>
      </c>
      <c r="H4290" s="156">
        <v>10257</v>
      </c>
      <c r="I4290" s="331" t="s">
        <v>10</v>
      </c>
      <c r="J4290" s="1220" t="s">
        <v>2341</v>
      </c>
      <c r="K4290" s="1220"/>
      <c r="L4290" s="1221"/>
      <c r="M4290" s="54"/>
      <c r="N4290" s="54"/>
      <c r="O4290" s="336"/>
      <c r="P4290" s="334"/>
      <c r="Q4290" s="335"/>
      <c r="R4290" s="336"/>
      <c r="S4290" s="337"/>
    </row>
    <row r="4291" spans="1:19" ht="30" customHeight="1" x14ac:dyDescent="0.25">
      <c r="A4291" s="356" t="s">
        <v>12</v>
      </c>
      <c r="B4291" s="1163" t="s">
        <v>13</v>
      </c>
      <c r="C4291" s="1163"/>
      <c r="D4291" s="1163"/>
      <c r="E4291" s="356" t="s">
        <v>14</v>
      </c>
      <c r="F4291" s="356" t="s">
        <v>15</v>
      </c>
      <c r="G4291" s="356" t="s">
        <v>16</v>
      </c>
      <c r="H4291" s="356" t="s">
        <v>17</v>
      </c>
      <c r="I4291" s="356" t="s">
        <v>18</v>
      </c>
      <c r="J4291" s="359" t="s">
        <v>19</v>
      </c>
      <c r="K4291" s="359" t="s">
        <v>20</v>
      </c>
      <c r="L4291" s="359"/>
      <c r="M4291" s="54"/>
      <c r="N4291" s="54"/>
      <c r="O4291" s="336"/>
      <c r="P4291" s="334"/>
      <c r="Q4291" s="335"/>
      <c r="R4291" s="336"/>
      <c r="S4291" s="337"/>
    </row>
    <row r="4292" spans="1:19" ht="30" customHeight="1" x14ac:dyDescent="0.25">
      <c r="A4292" s="486" t="s">
        <v>2342</v>
      </c>
      <c r="B4292" s="578" t="s">
        <v>2343</v>
      </c>
      <c r="C4292" s="662"/>
      <c r="D4292" s="662"/>
      <c r="E4292" s="1008">
        <v>1200</v>
      </c>
      <c r="F4292" s="486" t="s">
        <v>205</v>
      </c>
      <c r="G4292" s="485">
        <v>9513.0400000000009</v>
      </c>
      <c r="H4292" s="485">
        <v>8953.06</v>
      </c>
      <c r="I4292" s="485">
        <v>332.37</v>
      </c>
      <c r="J4292" s="485">
        <v>10357.950000000001</v>
      </c>
      <c r="K4292" s="485">
        <v>18798.48</v>
      </c>
      <c r="L4292" s="486" t="s">
        <v>205</v>
      </c>
      <c r="M4292" s="134"/>
      <c r="N4292" s="54"/>
      <c r="O4292" s="336"/>
      <c r="P4292" s="334"/>
      <c r="Q4292" s="335"/>
      <c r="R4292" s="336"/>
      <c r="S4292" s="337"/>
    </row>
    <row r="4293" spans="1:19" ht="30" customHeight="1" x14ac:dyDescent="0.25">
      <c r="A4293" s="486" t="s">
        <v>2346</v>
      </c>
      <c r="B4293" s="578" t="s">
        <v>2379</v>
      </c>
      <c r="C4293" s="662"/>
      <c r="D4293" s="662"/>
      <c r="E4293" s="1008">
        <v>12</v>
      </c>
      <c r="F4293" s="486" t="s">
        <v>76</v>
      </c>
      <c r="G4293" s="485">
        <v>68785.88</v>
      </c>
      <c r="H4293" s="485">
        <v>32788.15</v>
      </c>
      <c r="I4293" s="485">
        <v>0</v>
      </c>
      <c r="J4293" s="485">
        <v>58163.27</v>
      </c>
      <c r="K4293" s="485">
        <v>101574.03</v>
      </c>
      <c r="L4293" s="486" t="s">
        <v>76</v>
      </c>
      <c r="M4293" s="54"/>
      <c r="N4293" s="54"/>
      <c r="O4293" s="336"/>
      <c r="P4293" s="334"/>
      <c r="Q4293" s="335"/>
      <c r="R4293" s="336"/>
      <c r="S4293" s="337"/>
    </row>
    <row r="4294" spans="1:19" ht="30" customHeight="1" x14ac:dyDescent="0.25">
      <c r="A4294" s="486" t="s">
        <v>2348</v>
      </c>
      <c r="B4294" s="578" t="s">
        <v>2349</v>
      </c>
      <c r="C4294" s="662"/>
      <c r="D4294" s="662"/>
      <c r="E4294" s="1008">
        <v>12</v>
      </c>
      <c r="F4294" s="486" t="s">
        <v>76</v>
      </c>
      <c r="G4294" s="485">
        <v>13734.31</v>
      </c>
      <c r="H4294" s="485">
        <v>4844.05</v>
      </c>
      <c r="I4294" s="485">
        <v>0</v>
      </c>
      <c r="J4294" s="485">
        <v>10800.78</v>
      </c>
      <c r="K4294" s="485">
        <v>18578.349999999999</v>
      </c>
      <c r="L4294" s="486" t="s">
        <v>76</v>
      </c>
      <c r="M4294" s="54"/>
      <c r="N4294" s="54"/>
      <c r="O4294" s="336"/>
      <c r="P4294" s="334"/>
      <c r="Q4294" s="335"/>
      <c r="R4294" s="336"/>
      <c r="S4294" s="337"/>
    </row>
    <row r="4295" spans="1:19" ht="30" customHeight="1" x14ac:dyDescent="0.25">
      <c r="A4295" s="486" t="s">
        <v>2354</v>
      </c>
      <c r="B4295" s="578" t="s">
        <v>2355</v>
      </c>
      <c r="C4295" s="662"/>
      <c r="D4295" s="662"/>
      <c r="E4295" s="1008">
        <v>6</v>
      </c>
      <c r="F4295" s="486" t="s">
        <v>76</v>
      </c>
      <c r="G4295" s="485">
        <v>1782.72</v>
      </c>
      <c r="H4295" s="485">
        <v>2420.4899999999998</v>
      </c>
      <c r="I4295" s="485">
        <v>0</v>
      </c>
      <c r="J4295" s="485">
        <v>2256.98</v>
      </c>
      <c r="K4295" s="485">
        <v>4203.21</v>
      </c>
      <c r="L4295" s="486" t="s">
        <v>76</v>
      </c>
      <c r="M4295" s="54"/>
      <c r="N4295" s="54"/>
      <c r="O4295" s="336"/>
      <c r="P4295" s="334"/>
      <c r="Q4295" s="335"/>
      <c r="R4295" s="336"/>
      <c r="S4295" s="337"/>
    </row>
    <row r="4296" spans="1:19" ht="30" customHeight="1" x14ac:dyDescent="0.25">
      <c r="A4296" s="486" t="s">
        <v>2356</v>
      </c>
      <c r="B4296" s="578" t="s">
        <v>2357</v>
      </c>
      <c r="C4296" s="662"/>
      <c r="D4296" s="662"/>
      <c r="E4296" s="1008">
        <v>9</v>
      </c>
      <c r="F4296" s="486" t="s">
        <v>2358</v>
      </c>
      <c r="G4296" s="485">
        <v>1843.54</v>
      </c>
      <c r="H4296" s="485">
        <v>325.89999999999998</v>
      </c>
      <c r="I4296" s="485">
        <v>0</v>
      </c>
      <c r="J4296" s="485">
        <v>6800.68</v>
      </c>
      <c r="K4296" s="485">
        <v>9264.92</v>
      </c>
      <c r="L4296" s="486" t="s">
        <v>76</v>
      </c>
      <c r="M4296" s="54"/>
      <c r="N4296" s="54"/>
      <c r="O4296" s="336"/>
      <c r="P4296" s="334"/>
      <c r="Q4296" s="335"/>
      <c r="R4296" s="336"/>
      <c r="S4296" s="337"/>
    </row>
    <row r="4297" spans="1:19" ht="30" customHeight="1" x14ac:dyDescent="0.25">
      <c r="A4297" s="486" t="s">
        <v>2359</v>
      </c>
      <c r="B4297" s="578" t="s">
        <v>2360</v>
      </c>
      <c r="C4297" s="662"/>
      <c r="D4297" s="662"/>
      <c r="E4297" s="1008">
        <v>3</v>
      </c>
      <c r="F4297" s="486" t="s">
        <v>76</v>
      </c>
      <c r="G4297" s="485">
        <v>15975.65</v>
      </c>
      <c r="H4297" s="485">
        <v>1577.13</v>
      </c>
      <c r="I4297" s="485">
        <v>0</v>
      </c>
      <c r="J4297" s="485">
        <v>10627.15</v>
      </c>
      <c r="K4297" s="485">
        <v>17552.78</v>
      </c>
      <c r="L4297" s="486" t="s">
        <v>76</v>
      </c>
      <c r="M4297" s="54"/>
      <c r="N4297" s="54"/>
      <c r="O4297" s="336"/>
      <c r="P4297" s="334"/>
      <c r="Q4297" s="335"/>
      <c r="R4297" s="336"/>
      <c r="S4297" s="337"/>
    </row>
    <row r="4298" spans="1:19" ht="30" customHeight="1" x14ac:dyDescent="0.25">
      <c r="A4298" s="486" t="s">
        <v>2361</v>
      </c>
      <c r="B4298" s="1214" t="s">
        <v>2362</v>
      </c>
      <c r="C4298" s="1215"/>
      <c r="D4298" s="1216"/>
      <c r="E4298" s="1008">
        <v>60</v>
      </c>
      <c r="F4298" s="486" t="s">
        <v>40</v>
      </c>
      <c r="G4298" s="485">
        <v>43396.93</v>
      </c>
      <c r="H4298" s="485">
        <v>7669.75</v>
      </c>
      <c r="I4298" s="485">
        <v>0</v>
      </c>
      <c r="J4298" s="485">
        <v>30483.67</v>
      </c>
      <c r="K4298" s="485">
        <v>51066.68</v>
      </c>
      <c r="L4298" s="486" t="s">
        <v>76</v>
      </c>
      <c r="M4298" s="54"/>
      <c r="N4298" s="54"/>
      <c r="O4298" s="336"/>
      <c r="P4298" s="334"/>
      <c r="Q4298" s="335"/>
      <c r="R4298" s="336"/>
      <c r="S4298" s="337"/>
    </row>
    <row r="4299" spans="1:19" ht="30" customHeight="1" x14ac:dyDescent="0.25">
      <c r="A4299" s="486" t="s">
        <v>2369</v>
      </c>
      <c r="B4299" s="578" t="s">
        <v>2370</v>
      </c>
      <c r="C4299" s="662"/>
      <c r="D4299" s="662"/>
      <c r="E4299" s="1008">
        <v>3</v>
      </c>
      <c r="F4299" s="486" t="s">
        <v>76</v>
      </c>
      <c r="G4299" s="485">
        <v>267055.39</v>
      </c>
      <c r="H4299" s="485">
        <v>13707.02</v>
      </c>
      <c r="I4299" s="485">
        <v>2547.0700000000002</v>
      </c>
      <c r="J4299" s="485">
        <v>173182.11</v>
      </c>
      <c r="K4299" s="485">
        <v>283309.49</v>
      </c>
      <c r="L4299" s="486" t="s">
        <v>2358</v>
      </c>
      <c r="M4299" s="54"/>
      <c r="N4299" s="54"/>
      <c r="O4299" s="336"/>
      <c r="P4299" s="334"/>
      <c r="Q4299" s="335"/>
      <c r="R4299" s="336"/>
      <c r="S4299" s="337"/>
    </row>
    <row r="4300" spans="1:19" ht="30" customHeight="1" x14ac:dyDescent="0.25">
      <c r="A4300" s="486" t="s">
        <v>2371</v>
      </c>
      <c r="B4300" s="578" t="s">
        <v>2372</v>
      </c>
      <c r="C4300" s="662"/>
      <c r="D4300" s="662"/>
      <c r="E4300" s="1008">
        <v>6</v>
      </c>
      <c r="F4300" s="486" t="s">
        <v>76</v>
      </c>
      <c r="G4300" s="485">
        <v>8583.9699999999993</v>
      </c>
      <c r="H4300" s="485">
        <v>3995.54</v>
      </c>
      <c r="I4300" s="485">
        <v>463.42</v>
      </c>
      <c r="J4300" s="485">
        <v>7498.89</v>
      </c>
      <c r="K4300" s="485">
        <v>13042.93</v>
      </c>
      <c r="L4300" s="486" t="s">
        <v>76</v>
      </c>
      <c r="M4300" s="111"/>
      <c r="N4300" s="54"/>
      <c r="O4300" s="336"/>
      <c r="P4300" s="334"/>
      <c r="Q4300" s="335"/>
      <c r="R4300" s="336"/>
      <c r="S4300" s="337"/>
    </row>
    <row r="4301" spans="1:19" ht="30" customHeight="1" x14ac:dyDescent="0.25">
      <c r="A4301" s="486" t="s">
        <v>2373</v>
      </c>
      <c r="B4301" s="561" t="s">
        <v>2374</v>
      </c>
      <c r="C4301" s="562"/>
      <c r="D4301" s="563"/>
      <c r="E4301" s="1008">
        <v>12</v>
      </c>
      <c r="F4301" s="486" t="s">
        <v>76</v>
      </c>
      <c r="G4301" s="485">
        <v>6542.84</v>
      </c>
      <c r="H4301" s="485">
        <v>4793.59</v>
      </c>
      <c r="I4301" s="485">
        <v>0</v>
      </c>
      <c r="J4301" s="485">
        <v>6331.66</v>
      </c>
      <c r="K4301" s="485">
        <v>11336.42</v>
      </c>
      <c r="L4301" s="486" t="s">
        <v>40</v>
      </c>
      <c r="M4301" s="54"/>
      <c r="N4301" s="54"/>
      <c r="O4301" s="336"/>
      <c r="P4301" s="334"/>
      <c r="Q4301" s="335"/>
      <c r="R4301" s="336"/>
      <c r="S4301" s="337"/>
    </row>
    <row r="4302" spans="1:19" ht="30" customHeight="1" x14ac:dyDescent="0.25">
      <c r="A4302" s="486" t="s">
        <v>2375</v>
      </c>
      <c r="B4302" s="1209" t="s">
        <v>2376</v>
      </c>
      <c r="C4302" s="1210"/>
      <c r="D4302" s="1211"/>
      <c r="E4302" s="1008">
        <v>2500</v>
      </c>
      <c r="F4302" s="486" t="s">
        <v>40</v>
      </c>
      <c r="G4302" s="485">
        <v>9504.9500000000007</v>
      </c>
      <c r="H4302" s="485">
        <v>4261.21</v>
      </c>
      <c r="I4302" s="485">
        <v>0</v>
      </c>
      <c r="J4302" s="485">
        <v>7908.58</v>
      </c>
      <c r="K4302" s="485">
        <v>13766.16</v>
      </c>
      <c r="L4302" s="486" t="s">
        <v>40</v>
      </c>
      <c r="M4302" s="54"/>
      <c r="N4302" s="54"/>
      <c r="O4302" s="336"/>
      <c r="P4302" s="334"/>
      <c r="Q4302" s="335"/>
      <c r="R4302" s="336"/>
      <c r="S4302" s="337"/>
    </row>
    <row r="4303" spans="1:19" ht="30" customHeight="1" x14ac:dyDescent="0.25">
      <c r="A4303" s="1352" t="s">
        <v>2380</v>
      </c>
      <c r="B4303" s="1353"/>
      <c r="C4303" s="1353"/>
      <c r="D4303" s="1354"/>
      <c r="E4303" s="366"/>
      <c r="F4303" s="366"/>
      <c r="G4303" s="366"/>
      <c r="H4303" s="366"/>
      <c r="I4303" s="366"/>
      <c r="J4303" s="365">
        <v>324411.71999999997</v>
      </c>
      <c r="K4303" s="268">
        <f>SUM(K4292:K4302)</f>
        <v>542493.44999999995</v>
      </c>
      <c r="L4303" s="486" t="s">
        <v>54</v>
      </c>
      <c r="M4303" s="54"/>
      <c r="N4303" s="54"/>
      <c r="O4303" s="336"/>
      <c r="P4303" s="334"/>
      <c r="Q4303" s="335"/>
      <c r="R4303" s="336"/>
      <c r="S4303" s="337"/>
    </row>
    <row r="4304" spans="1:19" ht="30" customHeight="1" x14ac:dyDescent="0.25">
      <c r="A4304" s="1381"/>
      <c r="B4304" s="1382"/>
      <c r="C4304" s="1382"/>
      <c r="D4304" s="1383"/>
      <c r="E4304" s="366"/>
      <c r="F4304" s="366"/>
      <c r="G4304" s="366"/>
      <c r="H4304" s="366"/>
      <c r="I4304" s="366"/>
      <c r="J4304" s="359" t="s">
        <v>72</v>
      </c>
      <c r="K4304" s="265">
        <f>+K4303/H4290</f>
        <v>52.89007019596373</v>
      </c>
      <c r="L4304" s="365" t="s">
        <v>2340</v>
      </c>
      <c r="M4304" s="54"/>
      <c r="N4304" s="54"/>
      <c r="O4304" s="336"/>
      <c r="P4304" s="334"/>
      <c r="Q4304" s="335"/>
      <c r="R4304" s="336"/>
      <c r="S4304" s="337"/>
    </row>
    <row r="4305" spans="1:26" ht="30" customHeight="1" x14ac:dyDescent="0.25">
      <c r="A4305" s="1381"/>
      <c r="B4305" s="1382"/>
      <c r="C4305" s="1382"/>
      <c r="D4305" s="1383"/>
      <c r="E4305" s="366"/>
      <c r="F4305" s="366"/>
      <c r="G4305" s="366"/>
      <c r="H4305" s="366"/>
      <c r="I4305" s="366"/>
      <c r="J4305" s="553"/>
      <c r="K4305" s="285"/>
      <c r="L4305" s="359"/>
      <c r="M4305" s="54"/>
      <c r="N4305" s="54"/>
      <c r="O4305" s="336"/>
      <c r="P4305" s="334"/>
      <c r="Q4305" s="335"/>
      <c r="R4305" s="336"/>
      <c r="S4305" s="337"/>
    </row>
    <row r="4306" spans="1:26" ht="30" customHeight="1" thickBot="1" x14ac:dyDescent="0.3">
      <c r="A4306" s="1384"/>
      <c r="B4306" s="1385"/>
      <c r="C4306" s="1385"/>
      <c r="D4306" s="1386"/>
      <c r="E4306" s="366"/>
      <c r="F4306" s="366"/>
      <c r="G4306" s="366"/>
      <c r="H4306" s="366"/>
      <c r="I4306" s="366"/>
      <c r="J4306" s="366"/>
      <c r="K4306" s="366"/>
      <c r="L4306" s="366"/>
      <c r="M4306" s="54"/>
      <c r="N4306" s="54"/>
      <c r="O4306" s="336"/>
      <c r="P4306" s="334"/>
      <c r="Q4306" s="335"/>
      <c r="R4306" s="336"/>
      <c r="S4306" s="337"/>
    </row>
    <row r="4307" spans="1:26" ht="30" customHeight="1" thickBot="1" x14ac:dyDescent="0.3">
      <c r="A4307" s="1180"/>
      <c r="B4307" s="1181"/>
      <c r="C4307" s="1181"/>
      <c r="D4307" s="1181"/>
      <c r="E4307" s="1181"/>
      <c r="F4307" s="1181"/>
      <c r="G4307" s="1181"/>
      <c r="H4307" s="1181"/>
      <c r="I4307" s="1181"/>
      <c r="J4307" s="1181"/>
      <c r="K4307" s="1181"/>
      <c r="L4307" s="1182"/>
      <c r="M4307" s="54"/>
      <c r="N4307" s="54"/>
      <c r="O4307" s="336"/>
      <c r="P4307" s="334"/>
      <c r="Q4307" s="335"/>
      <c r="R4307" s="336"/>
      <c r="S4307" s="337"/>
    </row>
    <row r="4308" spans="1:26" ht="30" customHeight="1" x14ac:dyDescent="0.25">
      <c r="A4308" s="327" t="s">
        <v>5</v>
      </c>
      <c r="B4308" s="328">
        <v>8133</v>
      </c>
      <c r="C4308" s="1218" t="s">
        <v>2381</v>
      </c>
      <c r="D4308" s="1219"/>
      <c r="E4308" s="331" t="s">
        <v>8</v>
      </c>
      <c r="F4308" s="332" t="s">
        <v>2340</v>
      </c>
      <c r="G4308" s="342" t="s">
        <v>74</v>
      </c>
      <c r="H4308" s="160">
        <v>1630</v>
      </c>
      <c r="I4308" s="331" t="s">
        <v>10</v>
      </c>
      <c r="J4308" s="1220" t="s">
        <v>382</v>
      </c>
      <c r="K4308" s="1220"/>
      <c r="L4308" s="1221"/>
      <c r="M4308" s="111"/>
      <c r="N4308" s="54"/>
      <c r="O4308" s="336"/>
      <c r="P4308" s="334"/>
      <c r="Q4308" s="335"/>
      <c r="R4308" s="336"/>
      <c r="S4308" s="337"/>
    </row>
    <row r="4309" spans="1:26" ht="30" customHeight="1" x14ac:dyDescent="0.25">
      <c r="A4309" s="356" t="s">
        <v>282</v>
      </c>
      <c r="B4309" s="1163" t="s">
        <v>13</v>
      </c>
      <c r="C4309" s="1163"/>
      <c r="D4309" s="1163"/>
      <c r="E4309" s="546" t="s">
        <v>2273</v>
      </c>
      <c r="F4309" s="356" t="s">
        <v>283</v>
      </c>
      <c r="G4309" s="1314" t="s">
        <v>118</v>
      </c>
      <c r="H4309" s="1315"/>
      <c r="I4309" s="1276" t="s">
        <v>284</v>
      </c>
      <c r="J4309" s="1277"/>
      <c r="K4309" s="581" t="s">
        <v>285</v>
      </c>
      <c r="L4309" s="382"/>
      <c r="M4309" s="54"/>
      <c r="N4309" s="54"/>
      <c r="O4309" s="336"/>
      <c r="P4309" s="334"/>
      <c r="Q4309" s="335"/>
      <c r="R4309" s="336"/>
      <c r="S4309" s="337"/>
    </row>
    <row r="4310" spans="1:26" ht="30" customHeight="1" x14ac:dyDescent="0.25">
      <c r="A4310" s="365">
        <v>81360</v>
      </c>
      <c r="B4310" s="1209" t="s">
        <v>2382</v>
      </c>
      <c r="C4310" s="1210"/>
      <c r="D4310" s="1211"/>
      <c r="E4310" s="247">
        <v>29150</v>
      </c>
      <c r="F4310" s="257">
        <v>500</v>
      </c>
      <c r="G4310" s="661">
        <v>500</v>
      </c>
      <c r="H4310" s="698" t="s">
        <v>2383</v>
      </c>
      <c r="I4310" s="1378">
        <v>0.9405</v>
      </c>
      <c r="J4310" s="1379"/>
      <c r="K4310" s="1012">
        <f>+E4310/G4310*I4310</f>
        <v>54.831150000000001</v>
      </c>
      <c r="L4310" s="365" t="s">
        <v>2340</v>
      </c>
      <c r="M4310" s="54"/>
      <c r="N4310" s="54"/>
      <c r="O4310" s="336"/>
      <c r="P4310" s="334"/>
      <c r="Q4310" s="335"/>
      <c r="R4310" s="336"/>
      <c r="S4310" s="337"/>
    </row>
    <row r="4311" spans="1:26" ht="30" customHeight="1" x14ac:dyDescent="0.25">
      <c r="A4311" s="365">
        <v>81360</v>
      </c>
      <c r="B4311" s="1209" t="s">
        <v>2384</v>
      </c>
      <c r="C4311" s="1210"/>
      <c r="D4311" s="1211"/>
      <c r="E4311" s="247">
        <v>52920</v>
      </c>
      <c r="F4311" s="257">
        <v>1000</v>
      </c>
      <c r="G4311" s="661">
        <v>1000</v>
      </c>
      <c r="H4311" s="698" t="s">
        <v>2383</v>
      </c>
      <c r="I4311" s="1378">
        <v>0.9405</v>
      </c>
      <c r="J4311" s="1379"/>
      <c r="K4311" s="1012">
        <f>+E4311/G4311*I4311</f>
        <v>49.771260000000005</v>
      </c>
      <c r="L4311" s="365" t="s">
        <v>2340</v>
      </c>
      <c r="M4311" s="54"/>
      <c r="N4311" s="54"/>
      <c r="O4311" s="336"/>
      <c r="P4311" s="334"/>
      <c r="Q4311" s="335"/>
      <c r="R4311" s="336"/>
      <c r="S4311" s="337"/>
    </row>
    <row r="4312" spans="1:26" ht="30" customHeight="1" x14ac:dyDescent="0.25">
      <c r="A4312" s="365">
        <v>81360</v>
      </c>
      <c r="B4312" s="1209" t="s">
        <v>2385</v>
      </c>
      <c r="C4312" s="1210"/>
      <c r="D4312" s="1211"/>
      <c r="E4312" s="247">
        <v>74330</v>
      </c>
      <c r="F4312" s="1013">
        <v>2000</v>
      </c>
      <c r="G4312" s="661">
        <v>2000</v>
      </c>
      <c r="H4312" s="698" t="s">
        <v>2383</v>
      </c>
      <c r="I4312" s="1378">
        <v>0.9405</v>
      </c>
      <c r="J4312" s="1379"/>
      <c r="K4312" s="1012">
        <f>+E4312/G4312*I4312</f>
        <v>34.953682499999999</v>
      </c>
      <c r="L4312" s="365" t="s">
        <v>2340</v>
      </c>
      <c r="M4312" s="54"/>
      <c r="N4312" s="54"/>
      <c r="O4312" s="336"/>
      <c r="P4312" s="334"/>
      <c r="Q4312" s="335"/>
      <c r="R4312" s="336"/>
      <c r="S4312" s="337"/>
    </row>
    <row r="4313" spans="1:26" ht="30" customHeight="1" x14ac:dyDescent="0.25">
      <c r="A4313" s="365"/>
      <c r="B4313" s="1214"/>
      <c r="C4313" s="1215"/>
      <c r="D4313" s="1216"/>
      <c r="E4313" s="247"/>
      <c r="F4313" s="744"/>
      <c r="G4313" s="661"/>
      <c r="H4313" s="698"/>
      <c r="I4313" s="365"/>
      <c r="J4313" s="365" t="s">
        <v>300</v>
      </c>
      <c r="K4313" s="1012">
        <f>AVERAGE(K4310:K4312)</f>
        <v>46.518697500000002</v>
      </c>
      <c r="L4313" s="365" t="s">
        <v>2340</v>
      </c>
      <c r="M4313" s="54"/>
      <c r="O4313" s="336"/>
      <c r="P4313" s="334"/>
      <c r="Q4313" s="335"/>
      <c r="R4313" s="336"/>
      <c r="S4313" s="337"/>
    </row>
    <row r="4314" spans="1:26" ht="30" customHeight="1" thickBot="1" x14ac:dyDescent="0.3">
      <c r="A4314" s="365"/>
      <c r="B4314" s="1214"/>
      <c r="C4314" s="1215"/>
      <c r="D4314" s="1216"/>
      <c r="E4314" s="247"/>
      <c r="F4314" s="744"/>
      <c r="G4314" s="661"/>
      <c r="H4314" s="698"/>
      <c r="I4314" s="365"/>
      <c r="J4314" s="359" t="s">
        <v>72</v>
      </c>
      <c r="K4314" s="1012">
        <f>+K4313</f>
        <v>46.518697500000002</v>
      </c>
      <c r="L4314" s="365" t="s">
        <v>2340</v>
      </c>
      <c r="M4314" s="54"/>
      <c r="N4314" s="54"/>
      <c r="O4314" s="336"/>
      <c r="P4314" s="334"/>
      <c r="Q4314" s="335"/>
      <c r="R4314" s="336"/>
      <c r="S4314" s="337"/>
    </row>
    <row r="4315" spans="1:26" ht="30" customHeight="1" thickBot="1" x14ac:dyDescent="0.3">
      <c r="A4315" s="1180"/>
      <c r="B4315" s="1181"/>
      <c r="C4315" s="1181"/>
      <c r="D4315" s="1181"/>
      <c r="E4315" s="1181"/>
      <c r="F4315" s="1181"/>
      <c r="G4315" s="1181"/>
      <c r="H4315" s="1181"/>
      <c r="I4315" s="1181"/>
      <c r="J4315" s="1181"/>
      <c r="K4315" s="1181"/>
      <c r="L4315" s="1182"/>
      <c r="M4315" s="111"/>
      <c r="N4315" s="54"/>
      <c r="O4315" s="336"/>
      <c r="P4315" s="334"/>
      <c r="Q4315" s="335"/>
      <c r="R4315" s="336"/>
      <c r="S4315" s="337"/>
    </row>
    <row r="4316" spans="1:26" ht="30" customHeight="1" x14ac:dyDescent="0.25">
      <c r="A4316" s="327" t="s">
        <v>5</v>
      </c>
      <c r="B4316" s="328">
        <v>8134</v>
      </c>
      <c r="C4316" s="1251" t="s">
        <v>2386</v>
      </c>
      <c r="D4316" s="1252"/>
      <c r="E4316" s="331" t="s">
        <v>8</v>
      </c>
      <c r="F4316" s="332" t="s">
        <v>76</v>
      </c>
      <c r="G4316" s="342" t="s">
        <v>74</v>
      </c>
      <c r="H4316" s="158">
        <v>8</v>
      </c>
      <c r="I4316" s="331" t="s">
        <v>10</v>
      </c>
      <c r="J4316" s="1220" t="s">
        <v>3388</v>
      </c>
      <c r="K4316" s="1220"/>
      <c r="L4316" s="1221"/>
      <c r="M4316" s="54"/>
      <c r="N4316" s="54"/>
      <c r="O4316" s="336"/>
      <c r="P4316" s="334"/>
      <c r="Q4316" s="335"/>
      <c r="R4316" s="336"/>
      <c r="S4316" s="337"/>
    </row>
    <row r="4317" spans="1:26" ht="30" customHeight="1" x14ac:dyDescent="0.25">
      <c r="A4317" s="359" t="s">
        <v>295</v>
      </c>
      <c r="B4317" s="1222" t="s">
        <v>326</v>
      </c>
      <c r="C4317" s="1235"/>
      <c r="D4317" s="1223"/>
      <c r="E4317" s="577" t="s">
        <v>116</v>
      </c>
      <c r="F4317" s="577" t="s">
        <v>117</v>
      </c>
      <c r="G4317" s="1194" t="s">
        <v>118</v>
      </c>
      <c r="H4317" s="1195"/>
      <c r="I4317" s="356" t="s">
        <v>296</v>
      </c>
      <c r="J4317" s="356"/>
      <c r="K4317" s="581" t="s">
        <v>285</v>
      </c>
      <c r="L4317" s="382"/>
      <c r="M4317" s="54"/>
      <c r="N4317" s="54"/>
      <c r="O4317" s="336"/>
      <c r="P4317" s="334"/>
      <c r="Q4317" s="335"/>
      <c r="R4317" s="336"/>
      <c r="S4317" s="337"/>
    </row>
    <row r="4318" spans="1:26" ht="30" customHeight="1" x14ac:dyDescent="0.25">
      <c r="A4318" s="895" t="s">
        <v>702</v>
      </c>
      <c r="B4318" s="1209" t="s">
        <v>2387</v>
      </c>
      <c r="C4318" s="1210"/>
      <c r="D4318" s="1211"/>
      <c r="E4318" s="7">
        <v>1320</v>
      </c>
      <c r="F4318" s="396" t="s">
        <v>76</v>
      </c>
      <c r="G4318" s="661"/>
      <c r="H4318" s="698"/>
      <c r="I4318" s="706">
        <v>1</v>
      </c>
      <c r="J4318" s="365"/>
      <c r="K4318" s="716">
        <f>+E4318*I4318</f>
        <v>1320</v>
      </c>
      <c r="L4318" s="396" t="s">
        <v>76</v>
      </c>
      <c r="M4318" s="54"/>
      <c r="N4318" s="54"/>
      <c r="O4318" s="336"/>
      <c r="P4318" s="334"/>
      <c r="Q4318" s="335"/>
      <c r="R4318" s="336"/>
      <c r="S4318" s="337"/>
      <c r="U4318" s="345"/>
      <c r="V4318" s="345"/>
      <c r="W4318" s="345"/>
      <c r="X4318" s="345"/>
      <c r="Y4318" s="345"/>
      <c r="Z4318" s="345"/>
    </row>
    <row r="4319" spans="1:26" ht="30" customHeight="1" x14ac:dyDescent="0.25">
      <c r="A4319" s="895" t="s">
        <v>301</v>
      </c>
      <c r="B4319" s="1214" t="s">
        <v>2388</v>
      </c>
      <c r="C4319" s="1215"/>
      <c r="D4319" s="1216"/>
      <c r="E4319" s="247">
        <v>322</v>
      </c>
      <c r="F4319" s="396" t="s">
        <v>76</v>
      </c>
      <c r="G4319" s="661"/>
      <c r="H4319" s="698"/>
      <c r="I4319" s="706">
        <v>1</v>
      </c>
      <c r="J4319" s="365"/>
      <c r="K4319" s="716">
        <f>+E4319*I4319</f>
        <v>322</v>
      </c>
      <c r="L4319" s="365" t="s">
        <v>76</v>
      </c>
      <c r="M4319" s="54"/>
      <c r="N4319" s="54"/>
      <c r="O4319" s="336"/>
      <c r="P4319" s="334"/>
      <c r="Q4319" s="335"/>
      <c r="R4319" s="336"/>
      <c r="S4319" s="337"/>
    </row>
    <row r="4320" spans="1:26" ht="30" customHeight="1" x14ac:dyDescent="0.25">
      <c r="A4320" s="895" t="s">
        <v>301</v>
      </c>
      <c r="B4320" s="1214" t="s">
        <v>2389</v>
      </c>
      <c r="C4320" s="1215"/>
      <c r="D4320" s="1216"/>
      <c r="E4320" s="247">
        <v>159</v>
      </c>
      <c r="F4320" s="396" t="s">
        <v>76</v>
      </c>
      <c r="G4320" s="661"/>
      <c r="H4320" s="698"/>
      <c r="I4320" s="706">
        <v>1</v>
      </c>
      <c r="J4320" s="365"/>
      <c r="K4320" s="716">
        <f>+E4320*I4320</f>
        <v>159</v>
      </c>
      <c r="L4320" s="365" t="s">
        <v>76</v>
      </c>
      <c r="M4320" s="54"/>
      <c r="N4320" s="54"/>
      <c r="O4320" s="336"/>
      <c r="P4320" s="334"/>
      <c r="Q4320" s="335"/>
      <c r="R4320" s="336"/>
      <c r="S4320" s="337"/>
    </row>
    <row r="4321" spans="1:26" s="345" customFormat="1" ht="30" customHeight="1" x14ac:dyDescent="0.25">
      <c r="A4321" s="895" t="s">
        <v>301</v>
      </c>
      <c r="B4321" s="1214" t="s">
        <v>2390</v>
      </c>
      <c r="C4321" s="1215"/>
      <c r="D4321" s="1216"/>
      <c r="E4321" s="247">
        <v>6.52</v>
      </c>
      <c r="F4321" s="396" t="s">
        <v>341</v>
      </c>
      <c r="G4321" s="661">
        <v>80</v>
      </c>
      <c r="H4321" s="698" t="s">
        <v>2391</v>
      </c>
      <c r="I4321" s="706">
        <v>1</v>
      </c>
      <c r="J4321" s="365"/>
      <c r="K4321" s="716">
        <f>+E4321*G4321*I4321</f>
        <v>521.59999999999991</v>
      </c>
      <c r="L4321" s="365" t="s">
        <v>76</v>
      </c>
      <c r="M4321" s="54"/>
      <c r="N4321" s="57"/>
      <c r="O4321" s="469"/>
      <c r="Q4321" s="538"/>
      <c r="R4321" s="469"/>
      <c r="S4321" s="824"/>
      <c r="U4321" s="334"/>
      <c r="V4321" s="334"/>
      <c r="W4321" s="334"/>
      <c r="X4321" s="334"/>
      <c r="Y4321" s="334"/>
      <c r="Z4321" s="334"/>
    </row>
    <row r="4322" spans="1:26" ht="30" customHeight="1" x14ac:dyDescent="0.25">
      <c r="A4322" s="895" t="s">
        <v>2392</v>
      </c>
      <c r="B4322" s="1214" t="s">
        <v>2393</v>
      </c>
      <c r="C4322" s="1215"/>
      <c r="D4322" s="1216"/>
      <c r="E4322" s="247">
        <v>350</v>
      </c>
      <c r="F4322" s="396" t="s">
        <v>76</v>
      </c>
      <c r="G4322" s="661"/>
      <c r="H4322" s="698"/>
      <c r="I4322" s="706">
        <v>1</v>
      </c>
      <c r="J4322" s="365"/>
      <c r="K4322" s="716">
        <f>+E4322*I4322</f>
        <v>350</v>
      </c>
      <c r="L4322" s="365" t="s">
        <v>76</v>
      </c>
      <c r="M4322" s="54"/>
      <c r="N4322" s="54"/>
      <c r="O4322" s="336"/>
      <c r="P4322" s="334"/>
      <c r="Q4322" s="335"/>
      <c r="R4322" s="336"/>
      <c r="S4322" s="337"/>
    </row>
    <row r="4323" spans="1:26" ht="30" customHeight="1" x14ac:dyDescent="0.25">
      <c r="A4323" s="999"/>
      <c r="B4323" s="1014"/>
      <c r="C4323" s="1014"/>
      <c r="D4323" s="1015"/>
      <c r="E4323" s="177"/>
      <c r="F4323" s="961"/>
      <c r="G4323" s="569"/>
      <c r="H4323" s="574"/>
      <c r="I4323" s="962"/>
      <c r="J4323" s="369" t="s">
        <v>343</v>
      </c>
      <c r="K4323" s="976">
        <f>SUM(K4318:K4322)</f>
        <v>2672.6</v>
      </c>
      <c r="L4323" s="369" t="s">
        <v>76</v>
      </c>
      <c r="M4323" s="54"/>
      <c r="N4323" s="54"/>
      <c r="O4323" s="336"/>
      <c r="P4323" s="334"/>
      <c r="Q4323" s="335"/>
      <c r="R4323" s="336"/>
      <c r="S4323" s="337"/>
    </row>
    <row r="4324" spans="1:26" ht="30" customHeight="1" x14ac:dyDescent="0.25">
      <c r="A4324" s="835"/>
      <c r="B4324" s="847"/>
      <c r="C4324" s="847"/>
      <c r="D4324" s="847"/>
      <c r="E4324" s="231"/>
      <c r="F4324" s="1388" t="s">
        <v>303</v>
      </c>
      <c r="G4324" s="1624" t="s">
        <v>304</v>
      </c>
      <c r="H4324" s="1624"/>
      <c r="I4324" s="1624"/>
      <c r="J4324" s="1624"/>
      <c r="K4324" s="237">
        <v>1.07</v>
      </c>
      <c r="L4324" s="835"/>
      <c r="M4324" s="54"/>
      <c r="N4324" s="54"/>
      <c r="O4324" s="336"/>
      <c r="P4324" s="334"/>
      <c r="Q4324" s="335"/>
      <c r="R4324" s="336"/>
      <c r="S4324" s="337"/>
    </row>
    <row r="4325" spans="1:26" ht="30" customHeight="1" x14ac:dyDescent="0.25">
      <c r="A4325" s="835"/>
      <c r="B4325" s="847"/>
      <c r="C4325" s="847"/>
      <c r="D4325" s="847"/>
      <c r="E4325" s="231"/>
      <c r="F4325" s="1388"/>
      <c r="G4325" s="1284" t="s">
        <v>438</v>
      </c>
      <c r="H4325" s="1284"/>
      <c r="I4325" s="1284"/>
      <c r="J4325" s="1284"/>
      <c r="K4325" s="237">
        <v>1.08</v>
      </c>
      <c r="L4325" s="835"/>
      <c r="M4325" s="54"/>
      <c r="N4325" s="54"/>
      <c r="O4325" s="336"/>
      <c r="P4325" s="334"/>
      <c r="Q4325" s="335"/>
      <c r="R4325" s="336"/>
      <c r="S4325" s="337"/>
    </row>
    <row r="4326" spans="1:26" ht="30" customHeight="1" x14ac:dyDescent="0.25">
      <c r="A4326" s="1016"/>
      <c r="B4326" s="847"/>
      <c r="C4326" s="847"/>
      <c r="D4326" s="847"/>
      <c r="E4326" s="231"/>
      <c r="F4326" s="835"/>
      <c r="G4326" s="835"/>
      <c r="H4326" s="835"/>
      <c r="I4326" s="1001"/>
      <c r="J4326" s="835" t="s">
        <v>72</v>
      </c>
      <c r="K4326" s="1002">
        <f>+K4323*K4324/K4325</f>
        <v>2647.8537037037036</v>
      </c>
      <c r="L4326" s="835" t="s">
        <v>76</v>
      </c>
      <c r="M4326" s="54"/>
      <c r="N4326" s="54"/>
      <c r="O4326" s="336"/>
      <c r="P4326" s="334"/>
      <c r="Q4326" s="335"/>
      <c r="R4326" s="336"/>
      <c r="S4326" s="337"/>
    </row>
    <row r="4327" spans="1:26" ht="30" customHeight="1" x14ac:dyDescent="0.25">
      <c r="A4327" s="1159" t="s">
        <v>2394</v>
      </c>
      <c r="B4327" s="1159"/>
      <c r="C4327" s="1159"/>
      <c r="D4327" s="1159"/>
      <c r="E4327" s="840"/>
      <c r="F4327" s="840"/>
      <c r="G4327" s="842" t="s">
        <v>306</v>
      </c>
      <c r="H4327" s="840"/>
      <c r="I4327" s="840"/>
      <c r="J4327" s="986">
        <f>VLOOKUP(B4316,'Mil Cost Premiums for PUCs'!$A$4:$R$277,18,FALSE)</f>
        <v>1.0905505199999999</v>
      </c>
      <c r="K4327" s="232">
        <f>+K4326*J4327</f>
        <v>2887.6182334579994</v>
      </c>
      <c r="L4327" s="835" t="s">
        <v>76</v>
      </c>
      <c r="M4327" s="54"/>
      <c r="N4327" s="54"/>
      <c r="O4327" s="336"/>
      <c r="P4327" s="334"/>
      <c r="Q4327" s="335"/>
      <c r="R4327" s="336"/>
      <c r="S4327" s="337"/>
    </row>
    <row r="4328" spans="1:26" ht="30" customHeight="1" thickBot="1" x14ac:dyDescent="0.3">
      <c r="A4328" s="844"/>
      <c r="B4328" s="844"/>
      <c r="C4328" s="471"/>
      <c r="D4328" s="471"/>
      <c r="E4328" s="471"/>
      <c r="F4328" s="1278" t="s">
        <v>1148</v>
      </c>
      <c r="G4328" s="1278"/>
      <c r="H4328" s="1278"/>
      <c r="I4328" s="1278"/>
      <c r="J4328" s="987">
        <v>1.0833999999999999</v>
      </c>
      <c r="K4328" s="988">
        <f>K4327*J4328</f>
        <v>3128.4455941283964</v>
      </c>
      <c r="L4328" s="844" t="s">
        <v>76</v>
      </c>
      <c r="N4328" s="54"/>
      <c r="O4328" s="336"/>
      <c r="P4328" s="334"/>
      <c r="Q4328" s="335"/>
      <c r="R4328" s="336"/>
      <c r="S4328" s="337"/>
    </row>
    <row r="4329" spans="1:26" ht="30" customHeight="1" thickBot="1" x14ac:dyDescent="0.3">
      <c r="A4329" s="1305"/>
      <c r="B4329" s="1306"/>
      <c r="C4329" s="1306"/>
      <c r="D4329" s="1306"/>
      <c r="E4329" s="1306"/>
      <c r="F4329" s="1306"/>
      <c r="G4329" s="1306"/>
      <c r="H4329" s="1306"/>
      <c r="I4329" s="1306"/>
      <c r="J4329" s="1306"/>
      <c r="K4329" s="1306"/>
      <c r="L4329" s="1307"/>
      <c r="M4329" s="54"/>
      <c r="N4329" s="54"/>
      <c r="O4329" s="336"/>
      <c r="P4329" s="334"/>
      <c r="Q4329" s="335"/>
      <c r="R4329" s="336"/>
      <c r="S4329" s="337"/>
    </row>
    <row r="4330" spans="1:26" ht="30" customHeight="1" x14ac:dyDescent="0.25">
      <c r="A4330" s="349" t="s">
        <v>5</v>
      </c>
      <c r="B4330" s="350">
        <v>8211</v>
      </c>
      <c r="C4330" s="1470" t="s">
        <v>2395</v>
      </c>
      <c r="D4330" s="1471"/>
      <c r="E4330" s="351" t="s">
        <v>8</v>
      </c>
      <c r="F4330" s="352" t="s">
        <v>2396</v>
      </c>
      <c r="G4330" s="353" t="s">
        <v>74</v>
      </c>
      <c r="H4330" s="50">
        <v>19355911</v>
      </c>
      <c r="I4330" s="351" t="s">
        <v>10</v>
      </c>
      <c r="J4330" s="1185" t="s">
        <v>294</v>
      </c>
      <c r="K4330" s="1185"/>
      <c r="L4330" s="1532"/>
      <c r="M4330" s="236"/>
      <c r="N4330" s="54"/>
      <c r="O4330" s="336"/>
      <c r="P4330" s="334"/>
      <c r="Q4330" s="335"/>
      <c r="R4330" s="336"/>
      <c r="S4330" s="337"/>
    </row>
    <row r="4331" spans="1:26" ht="30" customHeight="1" x14ac:dyDescent="0.25">
      <c r="A4331" s="359" t="s">
        <v>295</v>
      </c>
      <c r="B4331" s="1222" t="s">
        <v>2397</v>
      </c>
      <c r="C4331" s="1235"/>
      <c r="D4331" s="1223"/>
      <c r="E4331" s="577" t="s">
        <v>116</v>
      </c>
      <c r="F4331" s="577" t="s">
        <v>117</v>
      </c>
      <c r="G4331" s="1194" t="s">
        <v>118</v>
      </c>
      <c r="H4331" s="1195"/>
      <c r="I4331" s="356" t="s">
        <v>296</v>
      </c>
      <c r="J4331" s="356"/>
      <c r="K4331" s="581" t="s">
        <v>285</v>
      </c>
      <c r="L4331" s="382"/>
      <c r="M4331" s="54"/>
      <c r="N4331" s="54"/>
      <c r="O4331" s="336"/>
      <c r="P4331" s="334"/>
      <c r="Q4331" s="335"/>
      <c r="R4331" s="336"/>
      <c r="S4331" s="337"/>
    </row>
    <row r="4332" spans="1:26" ht="30" customHeight="1" x14ac:dyDescent="0.25">
      <c r="A4332" s="365"/>
      <c r="B4332" s="1214" t="s">
        <v>2398</v>
      </c>
      <c r="C4332" s="1215"/>
      <c r="D4332" s="1216"/>
      <c r="E4332" s="1017">
        <v>33479</v>
      </c>
      <c r="F4332" s="396" t="s">
        <v>2399</v>
      </c>
      <c r="G4332" s="804">
        <f>+H4330/E4332</f>
        <v>578.15081095612175</v>
      </c>
      <c r="H4332" s="1387" t="s">
        <v>2400</v>
      </c>
      <c r="I4332" s="1240"/>
      <c r="J4332" s="366"/>
      <c r="K4332" s="396"/>
      <c r="L4332" s="396"/>
      <c r="M4332" s="54"/>
      <c r="N4332" s="54"/>
      <c r="O4332" s="336"/>
      <c r="P4332" s="334"/>
      <c r="Q4332" s="335"/>
      <c r="R4332" s="336"/>
      <c r="S4332" s="337"/>
    </row>
    <row r="4333" spans="1:26" ht="30" customHeight="1" x14ac:dyDescent="0.25">
      <c r="A4333" s="895" t="s">
        <v>662</v>
      </c>
      <c r="B4333" s="1209" t="s">
        <v>3485</v>
      </c>
      <c r="C4333" s="1210"/>
      <c r="D4333" s="1211"/>
      <c r="E4333" s="7">
        <f>(391+530)/2</f>
        <v>460.5</v>
      </c>
      <c r="F4333" s="396" t="s">
        <v>2401</v>
      </c>
      <c r="G4333" s="804"/>
      <c r="H4333" s="690"/>
      <c r="I4333" s="365"/>
      <c r="J4333" s="365"/>
      <c r="K4333" s="716"/>
      <c r="L4333" s="396"/>
      <c r="M4333" s="54"/>
      <c r="N4333" s="54"/>
      <c r="O4333" s="336"/>
      <c r="P4333" s="334"/>
      <c r="Q4333" s="335"/>
      <c r="R4333" s="336"/>
      <c r="S4333" s="337"/>
    </row>
    <row r="4334" spans="1:26" ht="30" customHeight="1" x14ac:dyDescent="0.25">
      <c r="A4334" s="895"/>
      <c r="B4334" s="1209" t="s">
        <v>2402</v>
      </c>
      <c r="C4334" s="1210"/>
      <c r="D4334" s="1211"/>
      <c r="E4334" s="7"/>
      <c r="F4334" s="396" t="s">
        <v>2403</v>
      </c>
      <c r="G4334" s="1018">
        <f>+E4333/E4332</f>
        <v>1.3754891125780339E-2</v>
      </c>
      <c r="H4334" s="690" t="s">
        <v>2404</v>
      </c>
      <c r="I4334" s="365">
        <v>1.24</v>
      </c>
      <c r="J4334" s="365"/>
      <c r="K4334" s="1019">
        <f>+G4334*I4334</f>
        <v>1.705606499596762E-2</v>
      </c>
      <c r="L4334" s="396" t="s">
        <v>2396</v>
      </c>
      <c r="M4334" s="54"/>
      <c r="N4334" s="54"/>
      <c r="O4334" s="336"/>
      <c r="P4334" s="334"/>
      <c r="Q4334" s="335"/>
      <c r="R4334" s="336"/>
      <c r="S4334" s="337"/>
    </row>
    <row r="4335" spans="1:26" ht="30" customHeight="1" x14ac:dyDescent="0.25">
      <c r="A4335" s="895" t="s">
        <v>2405</v>
      </c>
      <c r="B4335" s="1209" t="s">
        <v>2406</v>
      </c>
      <c r="C4335" s="1210"/>
      <c r="D4335" s="1211"/>
      <c r="E4335" s="7">
        <v>745</v>
      </c>
      <c r="F4335" s="396" t="s">
        <v>40</v>
      </c>
      <c r="G4335" s="881">
        <f>30*E4335/H4330</f>
        <v>1.154686028469546E-3</v>
      </c>
      <c r="H4335" s="690" t="s">
        <v>2404</v>
      </c>
      <c r="I4335" s="365">
        <v>1.24</v>
      </c>
      <c r="J4335" s="365"/>
      <c r="K4335" s="1019">
        <f>+G4335*I4335</f>
        <v>1.431810675302237E-3</v>
      </c>
      <c r="L4335" s="396" t="s">
        <v>2396</v>
      </c>
      <c r="M4335" s="54"/>
      <c r="N4335" s="54"/>
      <c r="O4335" s="336"/>
      <c r="P4335" s="334"/>
      <c r="Q4335" s="335"/>
      <c r="R4335" s="336"/>
      <c r="S4335" s="337"/>
    </row>
    <row r="4336" spans="1:26" ht="30" customHeight="1" x14ac:dyDescent="0.25">
      <c r="A4336" s="365"/>
      <c r="B4336" s="1230"/>
      <c r="C4336" s="1231"/>
      <c r="D4336" s="1232"/>
      <c r="E4336" s="366"/>
      <c r="F4336" s="366"/>
      <c r="G4336" s="366"/>
      <c r="H4336" s="366"/>
      <c r="I4336" s="366"/>
      <c r="J4336" s="365" t="s">
        <v>343</v>
      </c>
      <c r="K4336" s="1019">
        <f>SUM(K4334:K4335)</f>
        <v>1.8487875671269857E-2</v>
      </c>
      <c r="L4336" s="396" t="s">
        <v>2396</v>
      </c>
      <c r="M4336" s="57"/>
      <c r="N4336" s="54"/>
      <c r="O4336" s="336"/>
      <c r="P4336" s="334"/>
      <c r="Q4336" s="335"/>
      <c r="R4336" s="336"/>
      <c r="S4336" s="337"/>
    </row>
    <row r="4337" spans="1:19" ht="30" customHeight="1" x14ac:dyDescent="0.25">
      <c r="A4337" s="365"/>
      <c r="B4337" s="578"/>
      <c r="C4337" s="578"/>
      <c r="D4337" s="578"/>
      <c r="E4337" s="247"/>
      <c r="F4337" s="1272" t="s">
        <v>303</v>
      </c>
      <c r="G4337" s="1283" t="s">
        <v>304</v>
      </c>
      <c r="H4337" s="1283"/>
      <c r="I4337" s="1283"/>
      <c r="J4337" s="1283"/>
      <c r="K4337" s="251">
        <v>1.06</v>
      </c>
      <c r="L4337" s="365"/>
      <c r="M4337" s="54"/>
      <c r="N4337" s="54"/>
      <c r="O4337" s="336"/>
      <c r="P4337" s="334"/>
      <c r="Q4337" s="335"/>
      <c r="R4337" s="336"/>
      <c r="S4337" s="337"/>
    </row>
    <row r="4338" spans="1:19" ht="30" customHeight="1" x14ac:dyDescent="0.25">
      <c r="A4338" s="365"/>
      <c r="B4338" s="578"/>
      <c r="C4338" s="578"/>
      <c r="D4338" s="578"/>
      <c r="E4338" s="247"/>
      <c r="F4338" s="1273"/>
      <c r="G4338" s="1284" t="s">
        <v>305</v>
      </c>
      <c r="H4338" s="1284"/>
      <c r="I4338" s="1284"/>
      <c r="J4338" s="1284"/>
      <c r="K4338" s="251">
        <v>1.06</v>
      </c>
      <c r="L4338" s="365"/>
      <c r="M4338" s="54"/>
      <c r="N4338" s="54"/>
      <c r="O4338" s="336"/>
      <c r="P4338" s="334"/>
      <c r="Q4338" s="335"/>
      <c r="R4338" s="336"/>
      <c r="S4338" s="337"/>
    </row>
    <row r="4339" spans="1:19" ht="30" customHeight="1" x14ac:dyDescent="0.25">
      <c r="A4339" s="365"/>
      <c r="B4339" s="1209" t="s">
        <v>2407</v>
      </c>
      <c r="C4339" s="1210"/>
      <c r="D4339" s="1211"/>
      <c r="E4339" s="366"/>
      <c r="F4339" s="366"/>
      <c r="G4339" s="366"/>
      <c r="H4339" s="366"/>
      <c r="I4339" s="366"/>
      <c r="J4339" s="365" t="s">
        <v>72</v>
      </c>
      <c r="K4339" s="1020">
        <f>+K4336*K4337/K4338</f>
        <v>1.8487875671269857E-2</v>
      </c>
      <c r="L4339" s="396" t="s">
        <v>2396</v>
      </c>
      <c r="M4339" s="54"/>
      <c r="N4339" s="54"/>
      <c r="O4339" s="336"/>
      <c r="P4339" s="334"/>
      <c r="Q4339" s="335"/>
      <c r="R4339" s="336"/>
      <c r="S4339" s="337"/>
    </row>
    <row r="4340" spans="1:19" ht="30" customHeight="1" x14ac:dyDescent="0.25">
      <c r="A4340" s="365" t="s">
        <v>118</v>
      </c>
      <c r="B4340" s="1214" t="s">
        <v>2398</v>
      </c>
      <c r="C4340" s="1215"/>
      <c r="D4340" s="1216"/>
      <c r="E4340" s="1017">
        <v>33475</v>
      </c>
      <c r="F4340" s="396" t="s">
        <v>2399</v>
      </c>
      <c r="G4340" s="184">
        <f>H4330/E4340</f>
        <v>578.21989544436144</v>
      </c>
      <c r="H4340" s="1376" t="s">
        <v>2400</v>
      </c>
      <c r="I4340" s="1377"/>
      <c r="J4340" s="365"/>
      <c r="K4340" s="1021"/>
      <c r="L4340" s="396"/>
      <c r="M4340" s="54"/>
      <c r="N4340" s="54"/>
      <c r="O4340" s="336"/>
      <c r="P4340" s="334"/>
      <c r="Q4340" s="335"/>
      <c r="R4340" s="336"/>
      <c r="S4340" s="337"/>
    </row>
    <row r="4341" spans="1:19" ht="30" customHeight="1" x14ac:dyDescent="0.25">
      <c r="A4341" s="365"/>
      <c r="B4341" s="1230"/>
      <c r="C4341" s="1231"/>
      <c r="D4341" s="1232"/>
      <c r="E4341" s="366"/>
      <c r="F4341" s="366"/>
      <c r="G4341" s="580" t="s">
        <v>306</v>
      </c>
      <c r="H4341" s="366"/>
      <c r="I4341" s="366"/>
      <c r="J4341" s="521">
        <f>VLOOKUP(B4330,'Mil Cost Premiums for PUCs'!$A$4:$R$277,18,FALSE)</f>
        <v>1.0905505199999999</v>
      </c>
      <c r="K4341" s="1022">
        <f>+K4339*J4341</f>
        <v>2.0161962426998688E-2</v>
      </c>
      <c r="L4341" s="365" t="s">
        <v>2396</v>
      </c>
      <c r="M4341" s="54"/>
      <c r="N4341" s="54"/>
      <c r="O4341" s="336"/>
      <c r="P4341" s="334"/>
      <c r="Q4341" s="335"/>
      <c r="R4341" s="336"/>
      <c r="S4341" s="337"/>
    </row>
    <row r="4342" spans="1:19" ht="75" customHeight="1" x14ac:dyDescent="0.25">
      <c r="A4342" s="1230" t="s">
        <v>307</v>
      </c>
      <c r="B4342" s="1231"/>
      <c r="C4342" s="1231"/>
      <c r="D4342" s="1231"/>
      <c r="E4342" s="1231"/>
      <c r="F4342" s="1231"/>
      <c r="G4342" s="1231"/>
      <c r="H4342" s="1231"/>
      <c r="I4342" s="1231"/>
      <c r="J4342" s="1231"/>
      <c r="K4342" s="1231"/>
      <c r="L4342" s="1232"/>
      <c r="M4342" s="134"/>
      <c r="N4342" s="54"/>
      <c r="O4342" s="336"/>
      <c r="P4342" s="334"/>
      <c r="Q4342" s="335"/>
      <c r="R4342" s="336"/>
      <c r="S4342" s="337"/>
    </row>
    <row r="4343" spans="1:19" ht="75" customHeight="1" x14ac:dyDescent="0.25">
      <c r="A4343" s="1268" t="s">
        <v>308</v>
      </c>
      <c r="B4343" s="1167"/>
      <c r="C4343" s="1168"/>
      <c r="D4343" s="1230" t="s">
        <v>3441</v>
      </c>
      <c r="E4343" s="1231"/>
      <c r="F4343" s="1231"/>
      <c r="G4343" s="1231"/>
      <c r="H4343" s="1231"/>
      <c r="I4343" s="1231"/>
      <c r="J4343" s="1231"/>
      <c r="K4343" s="1231"/>
      <c r="L4343" s="1232"/>
      <c r="M4343" s="54"/>
      <c r="N4343" s="54"/>
      <c r="O4343" s="336"/>
      <c r="P4343" s="334"/>
      <c r="Q4343" s="335"/>
      <c r="R4343" s="336"/>
      <c r="S4343" s="337"/>
    </row>
    <row r="4344" spans="1:19" ht="30" customHeight="1" x14ac:dyDescent="0.25">
      <c r="A4344" s="1268" t="s">
        <v>310</v>
      </c>
      <c r="B4344" s="1167"/>
      <c r="C4344" s="1168"/>
      <c r="D4344" s="1230" t="s">
        <v>2408</v>
      </c>
      <c r="E4344" s="1231"/>
      <c r="F4344" s="1231"/>
      <c r="G4344" s="1231"/>
      <c r="H4344" s="1231"/>
      <c r="I4344" s="1231"/>
      <c r="J4344" s="1231"/>
      <c r="K4344" s="1231"/>
      <c r="L4344" s="1232"/>
      <c r="M4344" s="54"/>
      <c r="N4344" s="54"/>
      <c r="O4344" s="336"/>
      <c r="P4344" s="334"/>
      <c r="Q4344" s="335"/>
      <c r="R4344" s="336"/>
      <c r="S4344" s="337"/>
    </row>
    <row r="4345" spans="1:19" ht="30" customHeight="1" x14ac:dyDescent="0.25">
      <c r="A4345" s="1268" t="s">
        <v>312</v>
      </c>
      <c r="B4345" s="1167"/>
      <c r="C4345" s="1168"/>
      <c r="D4345" s="1230" t="s">
        <v>2409</v>
      </c>
      <c r="E4345" s="1231"/>
      <c r="F4345" s="1231"/>
      <c r="G4345" s="1231"/>
      <c r="H4345" s="1231"/>
      <c r="I4345" s="1231"/>
      <c r="J4345" s="1231"/>
      <c r="K4345" s="1231"/>
      <c r="L4345" s="1232"/>
      <c r="M4345" s="111"/>
      <c r="N4345" s="54"/>
      <c r="O4345" s="336"/>
      <c r="P4345" s="334"/>
      <c r="Q4345" s="335"/>
      <c r="R4345" s="336"/>
      <c r="S4345" s="337"/>
    </row>
    <row r="4346" spans="1:19" ht="30" customHeight="1" x14ac:dyDescent="0.25">
      <c r="A4346" s="1268" t="s">
        <v>314</v>
      </c>
      <c r="B4346" s="1167"/>
      <c r="C4346" s="1168"/>
      <c r="D4346" s="1230" t="s">
        <v>2410</v>
      </c>
      <c r="E4346" s="1231"/>
      <c r="F4346" s="1231"/>
      <c r="G4346" s="1231"/>
      <c r="H4346" s="1231"/>
      <c r="I4346" s="1231"/>
      <c r="J4346" s="1231"/>
      <c r="K4346" s="1231"/>
      <c r="L4346" s="1232"/>
      <c r="M4346" s="54"/>
      <c r="N4346" s="54"/>
      <c r="O4346" s="336"/>
      <c r="P4346" s="334"/>
      <c r="Q4346" s="335"/>
      <c r="R4346" s="336"/>
      <c r="S4346" s="337"/>
    </row>
    <row r="4347" spans="1:19" ht="30" customHeight="1" x14ac:dyDescent="0.25">
      <c r="A4347" s="1268" t="s">
        <v>316</v>
      </c>
      <c r="B4347" s="1167"/>
      <c r="C4347" s="1168"/>
      <c r="D4347" s="1230" t="s">
        <v>2411</v>
      </c>
      <c r="E4347" s="1231"/>
      <c r="F4347" s="1231"/>
      <c r="G4347" s="1231"/>
      <c r="H4347" s="1231"/>
      <c r="I4347" s="1231"/>
      <c r="J4347" s="1231"/>
      <c r="K4347" s="1231"/>
      <c r="L4347" s="1232"/>
      <c r="M4347" s="54"/>
      <c r="N4347" s="54"/>
      <c r="O4347" s="336"/>
      <c r="P4347" s="334"/>
      <c r="Q4347" s="335"/>
      <c r="R4347" s="336"/>
      <c r="S4347" s="337"/>
    </row>
    <row r="4348" spans="1:19" ht="30" customHeight="1" x14ac:dyDescent="0.25">
      <c r="A4348" s="1268" t="s">
        <v>318</v>
      </c>
      <c r="B4348" s="1167"/>
      <c r="C4348" s="1168"/>
      <c r="D4348" s="1230" t="s">
        <v>2412</v>
      </c>
      <c r="E4348" s="1231"/>
      <c r="F4348" s="1231"/>
      <c r="G4348" s="1231"/>
      <c r="H4348" s="1231"/>
      <c r="I4348" s="1231"/>
      <c r="J4348" s="1231"/>
      <c r="K4348" s="1231"/>
      <c r="L4348" s="1232"/>
      <c r="M4348" s="54"/>
      <c r="N4348" s="54"/>
      <c r="O4348" s="336"/>
      <c r="P4348" s="334"/>
      <c r="Q4348" s="335"/>
      <c r="R4348" s="336"/>
      <c r="S4348" s="337"/>
    </row>
    <row r="4349" spans="1:19" ht="30" customHeight="1" x14ac:dyDescent="0.25">
      <c r="A4349" s="1268" t="s">
        <v>320</v>
      </c>
      <c r="B4349" s="1167"/>
      <c r="C4349" s="1168"/>
      <c r="D4349" s="1230" t="s">
        <v>2413</v>
      </c>
      <c r="E4349" s="1231"/>
      <c r="F4349" s="1231"/>
      <c r="G4349" s="1231"/>
      <c r="H4349" s="1231"/>
      <c r="I4349" s="1231"/>
      <c r="J4349" s="1231"/>
      <c r="K4349" s="1231"/>
      <c r="L4349" s="1232"/>
      <c r="M4349" s="54"/>
      <c r="N4349" s="54"/>
      <c r="O4349" s="336"/>
      <c r="P4349" s="334"/>
      <c r="Q4349" s="335"/>
      <c r="R4349" s="336"/>
      <c r="S4349" s="337"/>
    </row>
    <row r="4350" spans="1:19" ht="75" customHeight="1" x14ac:dyDescent="0.25">
      <c r="A4350" s="1268" t="s">
        <v>322</v>
      </c>
      <c r="B4350" s="1167"/>
      <c r="C4350" s="1168"/>
      <c r="D4350" s="1230" t="s">
        <v>422</v>
      </c>
      <c r="E4350" s="1231"/>
      <c r="F4350" s="1231"/>
      <c r="G4350" s="1231"/>
      <c r="H4350" s="1231"/>
      <c r="I4350" s="1231"/>
      <c r="J4350" s="1231"/>
      <c r="K4350" s="1231"/>
      <c r="L4350" s="1232"/>
      <c r="M4350" s="54"/>
      <c r="N4350" s="54"/>
      <c r="O4350" s="336"/>
      <c r="P4350" s="334"/>
      <c r="Q4350" s="335"/>
      <c r="R4350" s="336"/>
      <c r="S4350" s="337"/>
    </row>
    <row r="4351" spans="1:19" ht="135" customHeight="1" thickBot="1" x14ac:dyDescent="0.3">
      <c r="A4351" s="1265" t="s">
        <v>350</v>
      </c>
      <c r="B4351" s="1266"/>
      <c r="C4351" s="1267"/>
      <c r="D4351" s="1291" t="s">
        <v>3442</v>
      </c>
      <c r="E4351" s="1292"/>
      <c r="F4351" s="1292"/>
      <c r="G4351" s="1292"/>
      <c r="H4351" s="1292"/>
      <c r="I4351" s="1292"/>
      <c r="J4351" s="1292"/>
      <c r="K4351" s="1292"/>
      <c r="L4351" s="1293"/>
      <c r="M4351" s="54"/>
      <c r="N4351" s="54"/>
      <c r="O4351" s="336"/>
      <c r="P4351" s="334"/>
      <c r="Q4351" s="335"/>
      <c r="R4351" s="336"/>
      <c r="S4351" s="337"/>
    </row>
    <row r="4352" spans="1:19" ht="30" customHeight="1" thickBot="1" x14ac:dyDescent="0.3">
      <c r="A4352" s="1180"/>
      <c r="B4352" s="1181"/>
      <c r="C4352" s="1181"/>
      <c r="D4352" s="1181"/>
      <c r="E4352" s="1181"/>
      <c r="F4352" s="1181"/>
      <c r="G4352" s="1181"/>
      <c r="H4352" s="1181"/>
      <c r="I4352" s="1181"/>
      <c r="J4352" s="1181"/>
      <c r="K4352" s="1181"/>
      <c r="L4352" s="1182"/>
      <c r="M4352" s="54"/>
      <c r="N4352" s="54"/>
      <c r="O4352" s="336"/>
      <c r="P4352" s="334"/>
      <c r="Q4352" s="335"/>
      <c r="R4352" s="336"/>
      <c r="S4352" s="337"/>
    </row>
    <row r="4353" spans="1:21" ht="30" customHeight="1" x14ac:dyDescent="0.25">
      <c r="A4353" s="327" t="s">
        <v>5</v>
      </c>
      <c r="B4353" s="328">
        <v>8221</v>
      </c>
      <c r="C4353" s="1218" t="s">
        <v>2414</v>
      </c>
      <c r="D4353" s="1219"/>
      <c r="E4353" s="331" t="s">
        <v>8</v>
      </c>
      <c r="F4353" s="332" t="s">
        <v>40</v>
      </c>
      <c r="G4353" s="342" t="s">
        <v>74</v>
      </c>
      <c r="H4353" s="160">
        <v>14996</v>
      </c>
      <c r="I4353" s="331" t="s">
        <v>10</v>
      </c>
      <c r="J4353" s="1220" t="s">
        <v>382</v>
      </c>
      <c r="K4353" s="1220"/>
      <c r="L4353" s="1221"/>
      <c r="M4353" s="111"/>
      <c r="N4353" s="54"/>
      <c r="O4353" s="336"/>
      <c r="P4353" s="334"/>
      <c r="Q4353" s="335"/>
      <c r="R4353" s="336"/>
      <c r="S4353" s="337"/>
    </row>
    <row r="4354" spans="1:21" ht="30" customHeight="1" x14ac:dyDescent="0.25">
      <c r="A4354" s="356" t="s">
        <v>282</v>
      </c>
      <c r="B4354" s="1163" t="s">
        <v>13</v>
      </c>
      <c r="C4354" s="1163"/>
      <c r="D4354" s="1163"/>
      <c r="E4354" s="546" t="s">
        <v>2308</v>
      </c>
      <c r="F4354" s="356" t="s">
        <v>283</v>
      </c>
      <c r="G4354" s="1314" t="s">
        <v>118</v>
      </c>
      <c r="H4354" s="1315"/>
      <c r="I4354" s="1276" t="s">
        <v>291</v>
      </c>
      <c r="J4354" s="1277"/>
      <c r="K4354" s="581" t="s">
        <v>285</v>
      </c>
      <c r="L4354" s="382"/>
      <c r="M4354" s="54"/>
      <c r="N4354" s="54"/>
      <c r="O4354" s="336"/>
      <c r="P4354" s="334"/>
      <c r="Q4354" s="335"/>
      <c r="R4354" s="336"/>
      <c r="S4354" s="337"/>
    </row>
    <row r="4355" spans="1:21" ht="30" customHeight="1" x14ac:dyDescent="0.25">
      <c r="A4355" s="365">
        <v>82210</v>
      </c>
      <c r="B4355" s="1209" t="s">
        <v>2415</v>
      </c>
      <c r="C4355" s="1210"/>
      <c r="D4355" s="1210"/>
      <c r="E4355" s="1210"/>
      <c r="F4355" s="1210"/>
      <c r="G4355" s="1210"/>
      <c r="H4355" s="1210"/>
      <c r="I4355" s="1210"/>
      <c r="J4355" s="1210"/>
      <c r="K4355" s="1210"/>
      <c r="L4355" s="1211"/>
      <c r="M4355" s="54"/>
      <c r="N4355" s="54"/>
      <c r="O4355" s="336"/>
      <c r="P4355" s="334"/>
      <c r="Q4355" s="335"/>
      <c r="R4355" s="336"/>
      <c r="S4355" s="337"/>
    </row>
    <row r="4356" spans="1:21" ht="30" customHeight="1" x14ac:dyDescent="0.25">
      <c r="A4356" s="365"/>
      <c r="B4356" s="1209" t="s">
        <v>2416</v>
      </c>
      <c r="C4356" s="1210"/>
      <c r="D4356" s="1211"/>
      <c r="E4356" s="282">
        <v>591</v>
      </c>
      <c r="F4356" s="257" t="s">
        <v>1562</v>
      </c>
      <c r="G4356" s="661"/>
      <c r="H4356" s="698"/>
      <c r="I4356" s="1378">
        <v>0.9405</v>
      </c>
      <c r="J4356" s="1379"/>
      <c r="K4356" s="253">
        <f>+E4356*I4356</f>
        <v>555.83550000000002</v>
      </c>
      <c r="L4356" s="365" t="s">
        <v>40</v>
      </c>
      <c r="M4356" s="54"/>
      <c r="N4356" s="54"/>
      <c r="O4356" s="336"/>
      <c r="P4356" s="334"/>
      <c r="Q4356" s="335"/>
      <c r="R4356" s="336"/>
      <c r="S4356" s="337"/>
    </row>
    <row r="4357" spans="1:21" ht="30" customHeight="1" x14ac:dyDescent="0.25">
      <c r="A4357" s="365"/>
      <c r="B4357" s="1209" t="s">
        <v>2417</v>
      </c>
      <c r="C4357" s="1210"/>
      <c r="D4357" s="1211"/>
      <c r="E4357" s="247">
        <v>586</v>
      </c>
      <c r="F4357" s="257" t="s">
        <v>1562</v>
      </c>
      <c r="G4357" s="661"/>
      <c r="H4357" s="698"/>
      <c r="I4357" s="1378">
        <v>0.9405</v>
      </c>
      <c r="J4357" s="1379"/>
      <c r="K4357" s="253">
        <f>+E4357*I4357</f>
        <v>551.13300000000004</v>
      </c>
      <c r="L4357" s="365" t="s">
        <v>40</v>
      </c>
      <c r="M4357" s="54"/>
      <c r="N4357" s="54"/>
      <c r="O4357" s="336"/>
      <c r="P4357" s="334"/>
      <c r="Q4357" s="335"/>
      <c r="R4357" s="336"/>
      <c r="S4357" s="337"/>
    </row>
    <row r="4358" spans="1:21" ht="30" customHeight="1" x14ac:dyDescent="0.25">
      <c r="A4358" s="365"/>
      <c r="B4358" s="1209" t="s">
        <v>2418</v>
      </c>
      <c r="C4358" s="1210"/>
      <c r="D4358" s="1211"/>
      <c r="E4358" s="247">
        <v>586</v>
      </c>
      <c r="F4358" s="257" t="s">
        <v>1562</v>
      </c>
      <c r="G4358" s="661"/>
      <c r="H4358" s="698"/>
      <c r="I4358" s="1378">
        <v>0.9405</v>
      </c>
      <c r="J4358" s="1379"/>
      <c r="K4358" s="253">
        <f>+E4358*I4358</f>
        <v>551.13300000000004</v>
      </c>
      <c r="L4358" s="365" t="s">
        <v>40</v>
      </c>
      <c r="M4358" s="54"/>
      <c r="N4358" s="54"/>
      <c r="O4358" s="336"/>
      <c r="P4358" s="334"/>
      <c r="Q4358" s="335"/>
      <c r="R4358" s="336"/>
      <c r="S4358" s="337"/>
    </row>
    <row r="4359" spans="1:21" ht="30" customHeight="1" x14ac:dyDescent="0.25">
      <c r="A4359" s="365"/>
      <c r="B4359" s="738"/>
      <c r="C4359" s="591"/>
      <c r="D4359" s="591"/>
      <c r="E4359" s="153"/>
      <c r="F4359" s="172"/>
      <c r="G4359" s="697"/>
      <c r="H4359" s="697"/>
      <c r="I4359" s="1391" t="s">
        <v>2419</v>
      </c>
      <c r="J4359" s="1391"/>
      <c r="K4359" s="253">
        <f>AVERAGE(K4356:K4358)</f>
        <v>552.70050000000003</v>
      </c>
      <c r="L4359" s="365" t="s">
        <v>40</v>
      </c>
      <c r="M4359" s="54"/>
      <c r="N4359" s="54"/>
      <c r="O4359" s="336"/>
      <c r="P4359" s="334"/>
      <c r="Q4359" s="335"/>
      <c r="R4359" s="336"/>
      <c r="S4359" s="337"/>
    </row>
    <row r="4360" spans="1:21" ht="30" customHeight="1" x14ac:dyDescent="0.25">
      <c r="A4360" s="365">
        <v>82210</v>
      </c>
      <c r="B4360" s="1209" t="s">
        <v>2420</v>
      </c>
      <c r="C4360" s="1210"/>
      <c r="D4360" s="1210"/>
      <c r="E4360" s="1210"/>
      <c r="F4360" s="1210"/>
      <c r="G4360" s="1210"/>
      <c r="H4360" s="1210"/>
      <c r="I4360" s="1210"/>
      <c r="J4360" s="1210"/>
      <c r="K4360" s="1210"/>
      <c r="L4360" s="1211"/>
      <c r="M4360" s="54"/>
      <c r="N4360" s="54"/>
      <c r="O4360" s="336"/>
      <c r="P4360" s="334"/>
      <c r="Q4360" s="335"/>
      <c r="R4360" s="336"/>
      <c r="S4360" s="337"/>
    </row>
    <row r="4361" spans="1:21" ht="30" customHeight="1" x14ac:dyDescent="0.25">
      <c r="A4361" s="365"/>
      <c r="B4361" s="1209" t="s">
        <v>2421</v>
      </c>
      <c r="C4361" s="1210"/>
      <c r="D4361" s="1211"/>
      <c r="E4361" s="247">
        <v>364</v>
      </c>
      <c r="F4361" s="257" t="s">
        <v>1562</v>
      </c>
      <c r="G4361" s="661"/>
      <c r="H4361" s="698"/>
      <c r="I4361" s="1378">
        <v>0.9405</v>
      </c>
      <c r="J4361" s="1379"/>
      <c r="K4361" s="253">
        <f>+E4361*I4361</f>
        <v>342.34199999999998</v>
      </c>
      <c r="L4361" s="365" t="s">
        <v>40</v>
      </c>
      <c r="M4361" s="54"/>
      <c r="N4361" s="54"/>
      <c r="O4361" s="336"/>
      <c r="P4361" s="334"/>
      <c r="Q4361" s="335"/>
      <c r="R4361" s="336"/>
      <c r="S4361" s="337"/>
    </row>
    <row r="4362" spans="1:21" ht="30" customHeight="1" x14ac:dyDescent="0.25">
      <c r="A4362" s="365"/>
      <c r="B4362" s="1209" t="s">
        <v>2422</v>
      </c>
      <c r="C4362" s="1210"/>
      <c r="D4362" s="1211"/>
      <c r="E4362" s="247">
        <v>380</v>
      </c>
      <c r="F4362" s="257" t="s">
        <v>1562</v>
      </c>
      <c r="G4362" s="661"/>
      <c r="H4362" s="698"/>
      <c r="I4362" s="1378">
        <v>0.9405</v>
      </c>
      <c r="J4362" s="1379"/>
      <c r="K4362" s="253">
        <f>+E4362*I4362</f>
        <v>357.39</v>
      </c>
      <c r="L4362" s="365" t="s">
        <v>40</v>
      </c>
      <c r="M4362" s="54"/>
      <c r="N4362" s="54"/>
      <c r="O4362" s="336"/>
      <c r="P4362" s="334"/>
      <c r="Q4362" s="335"/>
      <c r="R4362" s="336"/>
      <c r="S4362" s="337"/>
    </row>
    <row r="4363" spans="1:21" ht="30" customHeight="1" x14ac:dyDescent="0.25">
      <c r="A4363" s="365"/>
      <c r="B4363" s="1269" t="s">
        <v>2423</v>
      </c>
      <c r="C4363" s="1269"/>
      <c r="D4363" s="1269"/>
      <c r="E4363" s="247">
        <v>404</v>
      </c>
      <c r="F4363" s="257" t="s">
        <v>1562</v>
      </c>
      <c r="G4363" s="661"/>
      <c r="H4363" s="698"/>
      <c r="I4363" s="1378">
        <v>0.9405</v>
      </c>
      <c r="J4363" s="1379"/>
      <c r="K4363" s="253">
        <f>+E4363*I4363</f>
        <v>379.96199999999999</v>
      </c>
      <c r="L4363" s="365" t="s">
        <v>40</v>
      </c>
      <c r="M4363" s="54"/>
      <c r="N4363" s="54"/>
      <c r="O4363" s="336"/>
      <c r="Q4363" s="335"/>
      <c r="R4363" s="336"/>
      <c r="S4363" s="337"/>
    </row>
    <row r="4364" spans="1:21" ht="30" customHeight="1" x14ac:dyDescent="0.25">
      <c r="A4364" s="365"/>
      <c r="B4364" s="1269" t="s">
        <v>2424</v>
      </c>
      <c r="C4364" s="1269"/>
      <c r="D4364" s="1269"/>
      <c r="E4364" s="247">
        <v>439</v>
      </c>
      <c r="F4364" s="257" t="s">
        <v>1562</v>
      </c>
      <c r="G4364" s="661"/>
      <c r="H4364" s="698"/>
      <c r="I4364" s="1378">
        <v>0.9405</v>
      </c>
      <c r="J4364" s="1379"/>
      <c r="K4364" s="253">
        <f>+E4364*I4364</f>
        <v>412.87950000000001</v>
      </c>
      <c r="L4364" s="365" t="s">
        <v>40</v>
      </c>
      <c r="M4364" s="54"/>
      <c r="N4364" s="54"/>
      <c r="O4364" s="336"/>
      <c r="Q4364" s="335"/>
      <c r="R4364" s="336"/>
      <c r="S4364" s="337"/>
      <c r="U4364" s="10"/>
    </row>
    <row r="4365" spans="1:21" ht="30" customHeight="1" x14ac:dyDescent="0.25">
      <c r="A4365" s="365"/>
      <c r="B4365" s="1269" t="s">
        <v>2425</v>
      </c>
      <c r="C4365" s="1269"/>
      <c r="D4365" s="1269"/>
      <c r="E4365" s="247">
        <v>543</v>
      </c>
      <c r="F4365" s="257" t="s">
        <v>1562</v>
      </c>
      <c r="G4365" s="661"/>
      <c r="H4365" s="698"/>
      <c r="I4365" s="1378">
        <v>0.9405</v>
      </c>
      <c r="J4365" s="1379"/>
      <c r="K4365" s="253">
        <f>+E4365*I4365</f>
        <v>510.69150000000002</v>
      </c>
      <c r="L4365" s="365" t="s">
        <v>40</v>
      </c>
      <c r="M4365" s="54"/>
      <c r="N4365" s="54"/>
      <c r="O4365" s="336"/>
      <c r="Q4365" s="335"/>
      <c r="R4365" s="336"/>
      <c r="S4365" s="337"/>
      <c r="U4365" s="10"/>
    </row>
    <row r="4366" spans="1:21" ht="30" customHeight="1" x14ac:dyDescent="0.25">
      <c r="A4366" s="365"/>
      <c r="B4366" s="1214"/>
      <c r="C4366" s="1215"/>
      <c r="D4366" s="1215"/>
      <c r="E4366" s="153"/>
      <c r="F4366" s="172"/>
      <c r="G4366" s="697"/>
      <c r="H4366" s="697"/>
      <c r="I4366" s="871"/>
      <c r="J4366" s="871" t="s">
        <v>300</v>
      </c>
      <c r="K4366" s="1023">
        <f>AVERAGE(K4361:K4365)</f>
        <v>400.65299999999996</v>
      </c>
      <c r="L4366" s="698" t="s">
        <v>40</v>
      </c>
      <c r="M4366" s="54"/>
      <c r="N4366" s="54"/>
      <c r="O4366" s="336"/>
      <c r="T4366" s="10"/>
      <c r="U4366" s="10"/>
    </row>
    <row r="4367" spans="1:21" ht="30" customHeight="1" x14ac:dyDescent="0.25">
      <c r="A4367" s="365">
        <v>82210</v>
      </c>
      <c r="B4367" s="1281" t="s">
        <v>2426</v>
      </c>
      <c r="C4367" s="1281"/>
      <c r="D4367" s="1281"/>
      <c r="E4367" s="247">
        <v>168</v>
      </c>
      <c r="F4367" s="257" t="s">
        <v>1562</v>
      </c>
      <c r="G4367" s="661"/>
      <c r="H4367" s="698"/>
      <c r="I4367" s="1378">
        <v>0.9405</v>
      </c>
      <c r="J4367" s="1379"/>
      <c r="K4367" s="253">
        <f>+E4367*I4367</f>
        <v>158.00399999999999</v>
      </c>
      <c r="L4367" s="698" t="s">
        <v>40</v>
      </c>
      <c r="M4367" s="54"/>
      <c r="N4367" s="54"/>
      <c r="O4367" s="336"/>
      <c r="T4367" s="10"/>
    </row>
    <row r="4368" spans="1:21" ht="30" customHeight="1" x14ac:dyDescent="0.25">
      <c r="A4368" s="365"/>
      <c r="B4368" s="738"/>
      <c r="C4368" s="591"/>
      <c r="D4368" s="591"/>
      <c r="E4368" s="153"/>
      <c r="F4368" s="172"/>
      <c r="G4368" s="697"/>
      <c r="H4368" s="697"/>
      <c r="I4368" s="1392" t="s">
        <v>2427</v>
      </c>
      <c r="J4368" s="1392"/>
      <c r="K4368" s="1023">
        <f>+(K4367+K4366)</f>
        <v>558.65699999999993</v>
      </c>
      <c r="L4368" s="698" t="s">
        <v>40</v>
      </c>
      <c r="M4368" s="54"/>
      <c r="N4368" s="54"/>
      <c r="O4368" s="336"/>
      <c r="T4368" s="10"/>
    </row>
    <row r="4369" spans="1:21" ht="30" customHeight="1" x14ac:dyDescent="0.25">
      <c r="A4369" s="365">
        <v>82220</v>
      </c>
      <c r="B4369" s="1209" t="s">
        <v>2428</v>
      </c>
      <c r="C4369" s="1210"/>
      <c r="D4369" s="1210"/>
      <c r="E4369" s="1210"/>
      <c r="F4369" s="1210"/>
      <c r="G4369" s="1210"/>
      <c r="H4369" s="1210"/>
      <c r="I4369" s="1210"/>
      <c r="J4369" s="1210"/>
      <c r="K4369" s="1210"/>
      <c r="L4369" s="1211"/>
      <c r="M4369" s="54"/>
      <c r="N4369" s="54"/>
      <c r="O4369" s="336"/>
    </row>
    <row r="4370" spans="1:21" ht="30" customHeight="1" x14ac:dyDescent="0.25">
      <c r="A4370" s="365"/>
      <c r="B4370" s="1380" t="s">
        <v>2429</v>
      </c>
      <c r="C4370" s="1215"/>
      <c r="D4370" s="1216"/>
      <c r="E4370" s="247">
        <v>433</v>
      </c>
      <c r="F4370" s="257" t="s">
        <v>1562</v>
      </c>
      <c r="G4370" s="661"/>
      <c r="H4370" s="698"/>
      <c r="I4370" s="1378">
        <v>0.9405</v>
      </c>
      <c r="J4370" s="1379"/>
      <c r="K4370" s="253">
        <f>+E4370*I4370</f>
        <v>407.23649999999998</v>
      </c>
      <c r="L4370" s="365" t="s">
        <v>40</v>
      </c>
      <c r="M4370" s="54"/>
      <c r="N4370" s="54"/>
      <c r="O4370" s="336"/>
      <c r="U4370" s="10"/>
    </row>
    <row r="4371" spans="1:21" ht="30" customHeight="1" x14ac:dyDescent="0.25">
      <c r="A4371" s="365"/>
      <c r="B4371" s="1380" t="s">
        <v>2430</v>
      </c>
      <c r="C4371" s="1215"/>
      <c r="D4371" s="1216"/>
      <c r="E4371" s="282">
        <v>433</v>
      </c>
      <c r="F4371" s="257" t="s">
        <v>1562</v>
      </c>
      <c r="G4371" s="661"/>
      <c r="H4371" s="698"/>
      <c r="I4371" s="1378">
        <v>0.9405</v>
      </c>
      <c r="J4371" s="1379"/>
      <c r="K4371" s="253">
        <f>+E4371*I4371</f>
        <v>407.23649999999998</v>
      </c>
      <c r="L4371" s="365" t="s">
        <v>40</v>
      </c>
      <c r="M4371" s="54"/>
      <c r="N4371" s="54"/>
      <c r="O4371" s="336"/>
      <c r="P4371" s="334"/>
      <c r="U4371" s="10"/>
    </row>
    <row r="4372" spans="1:21" ht="30" customHeight="1" x14ac:dyDescent="0.25">
      <c r="A4372" s="365"/>
      <c r="B4372" s="1380" t="s">
        <v>2431</v>
      </c>
      <c r="C4372" s="1215"/>
      <c r="D4372" s="1216"/>
      <c r="E4372" s="247">
        <v>439</v>
      </c>
      <c r="F4372" s="257" t="s">
        <v>1562</v>
      </c>
      <c r="G4372" s="661"/>
      <c r="H4372" s="698"/>
      <c r="I4372" s="1378">
        <v>0.9405</v>
      </c>
      <c r="J4372" s="1379"/>
      <c r="K4372" s="253">
        <f>+E4372*I4372</f>
        <v>412.87950000000001</v>
      </c>
      <c r="L4372" s="365" t="s">
        <v>40</v>
      </c>
      <c r="M4372" s="54"/>
      <c r="N4372" s="54"/>
      <c r="O4372" s="336"/>
      <c r="P4372" s="334"/>
      <c r="T4372" s="10"/>
    </row>
    <row r="4373" spans="1:21" ht="30" customHeight="1" x14ac:dyDescent="0.25">
      <c r="A4373" s="365"/>
      <c r="B4373" s="1214" t="s">
        <v>2432</v>
      </c>
      <c r="C4373" s="1215"/>
      <c r="D4373" s="1216"/>
      <c r="E4373" s="247">
        <v>498</v>
      </c>
      <c r="F4373" s="257" t="s">
        <v>1562</v>
      </c>
      <c r="G4373" s="661"/>
      <c r="H4373" s="698"/>
      <c r="I4373" s="1378">
        <v>0.9405</v>
      </c>
      <c r="J4373" s="1379"/>
      <c r="K4373" s="253">
        <f>+E4373*I4373</f>
        <v>468.36900000000003</v>
      </c>
      <c r="L4373" s="365" t="s">
        <v>40</v>
      </c>
      <c r="M4373" s="54"/>
      <c r="N4373" s="54"/>
      <c r="O4373" s="336"/>
      <c r="P4373" s="334"/>
      <c r="T4373" s="10"/>
    </row>
    <row r="4374" spans="1:21" ht="30" customHeight="1" x14ac:dyDescent="0.25">
      <c r="A4374" s="365"/>
      <c r="B4374" s="1214" t="s">
        <v>2433</v>
      </c>
      <c r="C4374" s="1215"/>
      <c r="D4374" s="1216"/>
      <c r="E4374" s="247">
        <v>655</v>
      </c>
      <c r="F4374" s="257" t="s">
        <v>1562</v>
      </c>
      <c r="G4374" s="661"/>
      <c r="H4374" s="698"/>
      <c r="I4374" s="1378">
        <v>0.9405</v>
      </c>
      <c r="J4374" s="1379"/>
      <c r="K4374" s="253">
        <f>+E4374*I4374</f>
        <v>616.02750000000003</v>
      </c>
      <c r="L4374" s="365" t="s">
        <v>40</v>
      </c>
      <c r="M4374" s="54"/>
      <c r="N4374" s="54"/>
      <c r="P4374" s="334"/>
      <c r="Q4374" s="335"/>
      <c r="R4374" s="336"/>
      <c r="S4374" s="337"/>
    </row>
    <row r="4375" spans="1:21" ht="30" customHeight="1" x14ac:dyDescent="0.25">
      <c r="A4375" s="365"/>
      <c r="B4375" s="561"/>
      <c r="C4375" s="562"/>
      <c r="D4375" s="563"/>
      <c r="E4375" s="153"/>
      <c r="F4375" s="172"/>
      <c r="G4375" s="697"/>
      <c r="H4375" s="698"/>
      <c r="I4375" s="1375" t="s">
        <v>2434</v>
      </c>
      <c r="J4375" s="1377"/>
      <c r="K4375" s="253">
        <f>AVERAGE(K4370:K4374)</f>
        <v>462.34980000000007</v>
      </c>
      <c r="L4375" s="365" t="s">
        <v>40</v>
      </c>
      <c r="M4375" s="54"/>
      <c r="N4375" s="54"/>
      <c r="P4375" s="334"/>
      <c r="Q4375" s="335"/>
      <c r="R4375" s="336"/>
      <c r="S4375" s="337"/>
    </row>
    <row r="4376" spans="1:21" ht="30" customHeight="1" x14ac:dyDescent="0.25">
      <c r="A4376" s="365"/>
      <c r="B4376" s="561"/>
      <c r="C4376" s="562"/>
      <c r="D4376" s="563"/>
      <c r="E4376" s="153"/>
      <c r="F4376" s="172"/>
      <c r="G4376" s="697"/>
      <c r="H4376" s="698"/>
      <c r="I4376" s="730"/>
      <c r="J4376" s="721"/>
      <c r="K4376" s="253"/>
      <c r="L4376" s="365"/>
      <c r="M4376" s="54"/>
      <c r="O4376" s="336"/>
      <c r="P4376" s="334"/>
      <c r="Q4376" s="335"/>
      <c r="R4376" s="336"/>
      <c r="S4376" s="337"/>
    </row>
    <row r="4377" spans="1:21" ht="30" customHeight="1" thickBot="1" x14ac:dyDescent="0.3">
      <c r="A4377" s="365"/>
      <c r="B4377" s="1214"/>
      <c r="C4377" s="1215"/>
      <c r="D4377" s="1216"/>
      <c r="E4377" s="333"/>
      <c r="F4377" s="744"/>
      <c r="G4377" s="333"/>
      <c r="H4377" s="729"/>
      <c r="I4377" s="366"/>
      <c r="J4377" s="359" t="s">
        <v>2435</v>
      </c>
      <c r="K4377" s="253">
        <f>(K4359+K4368+K4375)/3</f>
        <v>524.56910000000005</v>
      </c>
      <c r="L4377" s="365" t="s">
        <v>40</v>
      </c>
      <c r="M4377" s="54"/>
      <c r="N4377" s="54"/>
      <c r="P4377" s="334"/>
      <c r="Q4377" s="335"/>
      <c r="R4377" s="336"/>
      <c r="S4377" s="337"/>
    </row>
    <row r="4378" spans="1:21" ht="30" customHeight="1" thickBot="1" x14ac:dyDescent="0.3">
      <c r="A4378" s="1180"/>
      <c r="B4378" s="1181"/>
      <c r="C4378" s="1181"/>
      <c r="D4378" s="1181"/>
      <c r="E4378" s="1181"/>
      <c r="F4378" s="1181"/>
      <c r="G4378" s="1181"/>
      <c r="H4378" s="1181"/>
      <c r="I4378" s="1181"/>
      <c r="J4378" s="1181"/>
      <c r="K4378" s="1181"/>
      <c r="L4378" s="1182"/>
      <c r="M4378" s="54"/>
      <c r="N4378" s="54"/>
      <c r="P4378" s="334"/>
      <c r="Q4378" s="335"/>
      <c r="R4378" s="336"/>
      <c r="S4378" s="337"/>
    </row>
    <row r="4379" spans="1:21" ht="30" customHeight="1" x14ac:dyDescent="0.25">
      <c r="A4379" s="327" t="s">
        <v>5</v>
      </c>
      <c r="B4379" s="328">
        <v>8231</v>
      </c>
      <c r="C4379" s="1251" t="s">
        <v>2436</v>
      </c>
      <c r="D4379" s="1252"/>
      <c r="E4379" s="331" t="s">
        <v>8</v>
      </c>
      <c r="F4379" s="332" t="s">
        <v>2396</v>
      </c>
      <c r="G4379" s="342" t="s">
        <v>74</v>
      </c>
      <c r="H4379" s="156">
        <v>54000000</v>
      </c>
      <c r="I4379" s="331" t="s">
        <v>10</v>
      </c>
      <c r="J4379" s="1220" t="s">
        <v>3388</v>
      </c>
      <c r="K4379" s="1220"/>
      <c r="L4379" s="1221"/>
      <c r="M4379" s="236"/>
      <c r="N4379" s="54"/>
      <c r="P4379" s="334"/>
      <c r="Q4379" s="335"/>
      <c r="R4379" s="336"/>
      <c r="S4379" s="337"/>
    </row>
    <row r="4380" spans="1:21" ht="30" customHeight="1" x14ac:dyDescent="0.25">
      <c r="A4380" s="359" t="s">
        <v>295</v>
      </c>
      <c r="B4380" s="1222" t="s">
        <v>326</v>
      </c>
      <c r="C4380" s="1235"/>
      <c r="D4380" s="1223"/>
      <c r="E4380" s="577" t="s">
        <v>116</v>
      </c>
      <c r="F4380" s="577" t="s">
        <v>117</v>
      </c>
      <c r="G4380" s="1194" t="s">
        <v>118</v>
      </c>
      <c r="H4380" s="1195"/>
      <c r="I4380" s="356" t="s">
        <v>296</v>
      </c>
      <c r="J4380" s="356"/>
      <c r="K4380" s="581" t="s">
        <v>285</v>
      </c>
      <c r="L4380" s="382"/>
      <c r="M4380" s="54"/>
      <c r="N4380" s="54"/>
      <c r="P4380" s="334"/>
      <c r="Q4380" s="335"/>
      <c r="R4380" s="336"/>
      <c r="S4380" s="337"/>
    </row>
    <row r="4381" spans="1:21" ht="30" customHeight="1" x14ac:dyDescent="0.25">
      <c r="A4381" s="365"/>
      <c r="C4381" s="562"/>
      <c r="D4381" s="563"/>
      <c r="E4381" s="396"/>
      <c r="F4381" s="396"/>
      <c r="G4381" s="689"/>
      <c r="H4381" s="690"/>
      <c r="I4381" s="698"/>
      <c r="J4381" s="365"/>
      <c r="K4381" s="247"/>
      <c r="L4381" s="365"/>
      <c r="M4381" s="54"/>
      <c r="N4381" s="54"/>
      <c r="P4381" s="334"/>
      <c r="Q4381" s="335"/>
      <c r="R4381" s="336"/>
      <c r="S4381" s="337"/>
    </row>
    <row r="4382" spans="1:21" ht="30" customHeight="1" x14ac:dyDescent="0.25">
      <c r="A4382" s="895" t="s">
        <v>1764</v>
      </c>
      <c r="B4382" s="1214" t="s">
        <v>2437</v>
      </c>
      <c r="C4382" s="1215"/>
      <c r="D4382" s="1216"/>
      <c r="E4382" s="7">
        <f>+(10000+11900)/2</f>
        <v>10950</v>
      </c>
      <c r="F4382" s="396" t="s">
        <v>76</v>
      </c>
      <c r="G4382" s="776">
        <v>54000000</v>
      </c>
      <c r="H4382" s="690" t="s">
        <v>2438</v>
      </c>
      <c r="I4382" s="365">
        <v>1.06</v>
      </c>
      <c r="J4382" s="365"/>
      <c r="K4382" s="933">
        <f>+E4382/G4382*I4382</f>
        <v>2.1494444444444444E-4</v>
      </c>
      <c r="L4382" s="396" t="s">
        <v>2396</v>
      </c>
      <c r="M4382" s="54"/>
      <c r="N4382" s="54"/>
      <c r="P4382" s="334"/>
      <c r="Q4382" s="335"/>
      <c r="R4382" s="336"/>
      <c r="S4382" s="337"/>
    </row>
    <row r="4383" spans="1:21" ht="30" customHeight="1" x14ac:dyDescent="0.25">
      <c r="A4383" s="895" t="s">
        <v>398</v>
      </c>
      <c r="B4383" s="1214" t="s">
        <v>2439</v>
      </c>
      <c r="C4383" s="1215"/>
      <c r="D4383" s="1216"/>
      <c r="E4383" s="7">
        <v>313000</v>
      </c>
      <c r="F4383" s="396" t="s">
        <v>76</v>
      </c>
      <c r="G4383" s="776">
        <f>+H4379</f>
        <v>54000000</v>
      </c>
      <c r="H4383" s="690" t="s">
        <v>2438</v>
      </c>
      <c r="I4383" s="706">
        <v>1</v>
      </c>
      <c r="J4383" s="365"/>
      <c r="K4383" s="933">
        <f>+E4383/G4383*I4383</f>
        <v>5.7962962962962959E-3</v>
      </c>
      <c r="L4383" s="396" t="s">
        <v>2396</v>
      </c>
      <c r="M4383" s="54"/>
      <c r="N4383" s="54"/>
      <c r="O4383" s="336"/>
      <c r="P4383" s="334"/>
      <c r="Q4383" s="335"/>
      <c r="R4383" s="336"/>
      <c r="S4383" s="337"/>
    </row>
    <row r="4384" spans="1:21" ht="30" customHeight="1" x14ac:dyDescent="0.25">
      <c r="A4384" s="895" t="s">
        <v>2440</v>
      </c>
      <c r="B4384" s="1214" t="s">
        <v>2441</v>
      </c>
      <c r="C4384" s="1215"/>
      <c r="D4384" s="1216"/>
      <c r="E4384" s="7">
        <f>(40.25+44)/2</f>
        <v>42.125</v>
      </c>
      <c r="F4384" s="396" t="s">
        <v>341</v>
      </c>
      <c r="G4384" s="776">
        <f>+H4379</f>
        <v>54000000</v>
      </c>
      <c r="H4384" s="690" t="s">
        <v>2442</v>
      </c>
      <c r="I4384" s="365">
        <v>1.06</v>
      </c>
      <c r="J4384" s="365"/>
      <c r="K4384" s="933">
        <f>+E4384*520/G4384*I4384</f>
        <v>4.2998703703703707E-4</v>
      </c>
      <c r="L4384" s="396" t="s">
        <v>2396</v>
      </c>
      <c r="M4384" s="54"/>
      <c r="N4384" s="54"/>
      <c r="O4384" s="336"/>
      <c r="P4384" s="334"/>
      <c r="Q4384" s="335"/>
      <c r="R4384" s="336"/>
      <c r="S4384" s="337"/>
    </row>
    <row r="4385" spans="1:19" ht="30" customHeight="1" x14ac:dyDescent="0.25">
      <c r="A4385" s="895" t="s">
        <v>664</v>
      </c>
      <c r="B4385" s="1214" t="s">
        <v>2443</v>
      </c>
      <c r="C4385" s="1215"/>
      <c r="D4385" s="1216"/>
      <c r="E4385" s="7">
        <f>(7550+8700)/2</f>
        <v>8125</v>
      </c>
      <c r="F4385" s="396" t="s">
        <v>76</v>
      </c>
      <c r="G4385" s="776">
        <f>+H4379</f>
        <v>54000000</v>
      </c>
      <c r="H4385" s="690" t="s">
        <v>2442</v>
      </c>
      <c r="I4385" s="365">
        <v>1.06</v>
      </c>
      <c r="J4385" s="365"/>
      <c r="K4385" s="933">
        <f>+((E4385*4)/G4385)*I4385</f>
        <v>6.3796296296296301E-4</v>
      </c>
      <c r="L4385" s="396" t="s">
        <v>2396</v>
      </c>
      <c r="M4385" s="54"/>
      <c r="O4385" s="336"/>
      <c r="P4385" s="334"/>
      <c r="Q4385" s="335"/>
      <c r="R4385" s="336"/>
      <c r="S4385" s="337"/>
    </row>
    <row r="4386" spans="1:19" ht="30" customHeight="1" x14ac:dyDescent="0.25">
      <c r="A4386" s="755"/>
      <c r="B4386" s="1269"/>
      <c r="C4386" s="1269"/>
      <c r="D4386" s="1269"/>
      <c r="E4386" s="247"/>
      <c r="F4386" s="365"/>
      <c r="G4386" s="365"/>
      <c r="H4386" s="365"/>
      <c r="I4386" s="365"/>
      <c r="J4386" s="365" t="s">
        <v>343</v>
      </c>
      <c r="K4386" s="286">
        <f>SUM(K4382:K4383)</f>
        <v>6.0112407407407406E-3</v>
      </c>
      <c r="L4386" s="396" t="s">
        <v>2396</v>
      </c>
      <c r="M4386" s="54"/>
      <c r="N4386" s="54"/>
      <c r="O4386" s="336"/>
      <c r="P4386" s="334"/>
      <c r="Q4386" s="335"/>
      <c r="R4386" s="336"/>
      <c r="S4386" s="337"/>
    </row>
    <row r="4387" spans="1:19" ht="30" customHeight="1" x14ac:dyDescent="0.25">
      <c r="A4387" s="365"/>
      <c r="B4387" s="578"/>
      <c r="C4387" s="578"/>
      <c r="D4387" s="578"/>
      <c r="E4387" s="247"/>
      <c r="F4387" s="1272" t="s">
        <v>303</v>
      </c>
      <c r="G4387" s="1283" t="s">
        <v>304</v>
      </c>
      <c r="H4387" s="1283"/>
      <c r="I4387" s="1283"/>
      <c r="J4387" s="1283"/>
      <c r="K4387" s="250">
        <v>1.07</v>
      </c>
      <c r="L4387" s="365"/>
      <c r="M4387" s="54"/>
      <c r="N4387" s="54"/>
      <c r="O4387" s="336"/>
      <c r="P4387" s="334"/>
      <c r="Q4387" s="335"/>
      <c r="R4387" s="336"/>
      <c r="S4387" s="337"/>
    </row>
    <row r="4388" spans="1:19" ht="30" customHeight="1" x14ac:dyDescent="0.25">
      <c r="A4388" s="365"/>
      <c r="B4388" s="578"/>
      <c r="C4388" s="578"/>
      <c r="D4388" s="578"/>
      <c r="E4388" s="247"/>
      <c r="F4388" s="1273"/>
      <c r="G4388" s="1284" t="s">
        <v>438</v>
      </c>
      <c r="H4388" s="1284"/>
      <c r="I4388" s="1284"/>
      <c r="J4388" s="1284"/>
      <c r="K4388" s="250">
        <v>1.01</v>
      </c>
      <c r="L4388" s="365"/>
      <c r="M4388" s="54"/>
      <c r="N4388" s="54"/>
      <c r="O4388" s="336"/>
      <c r="P4388" s="334"/>
      <c r="Q4388" s="335"/>
      <c r="R4388" s="336"/>
      <c r="S4388" s="337"/>
    </row>
    <row r="4389" spans="1:19" ht="30" customHeight="1" x14ac:dyDescent="0.25">
      <c r="A4389" s="365"/>
      <c r="B4389" s="567"/>
      <c r="C4389" s="567"/>
      <c r="D4389" s="567"/>
      <c r="E4389" s="365"/>
      <c r="F4389" s="365" t="s">
        <v>205</v>
      </c>
      <c r="G4389" s="366"/>
      <c r="H4389" s="366"/>
      <c r="I4389" s="366"/>
      <c r="J4389" s="366" t="s">
        <v>72</v>
      </c>
      <c r="K4389" s="287">
        <f>+K4386*K4387/K4388</f>
        <v>6.3683441510817753E-3</v>
      </c>
      <c r="L4389" s="396" t="s">
        <v>2396</v>
      </c>
      <c r="M4389" s="54"/>
      <c r="N4389" s="54"/>
      <c r="O4389" s="336"/>
      <c r="P4389" s="334"/>
      <c r="Q4389" s="335"/>
      <c r="R4389" s="336"/>
      <c r="S4389" s="337"/>
    </row>
    <row r="4390" spans="1:19" ht="30" customHeight="1" x14ac:dyDescent="0.25">
      <c r="A4390" s="365"/>
      <c r="B4390" s="366"/>
      <c r="C4390" s="578"/>
      <c r="D4390" s="579"/>
      <c r="E4390" s="1024"/>
      <c r="F4390" s="366"/>
      <c r="G4390" s="580" t="s">
        <v>306</v>
      </c>
      <c r="H4390" s="366"/>
      <c r="I4390" s="366"/>
      <c r="J4390" s="521">
        <f>VLOOKUP(B4379,'Mil Cost Premiums for PUCs'!$A$4:$R$277,18,FALSE)</f>
        <v>1.0905505199999999</v>
      </c>
      <c r="K4390" s="287">
        <f>+K4389*J4390</f>
        <v>6.9450010255011881E-3</v>
      </c>
      <c r="L4390" s="396" t="s">
        <v>2396</v>
      </c>
      <c r="M4390" s="54"/>
      <c r="N4390" s="54"/>
      <c r="O4390" s="336"/>
      <c r="P4390" s="334"/>
      <c r="Q4390" s="335"/>
      <c r="R4390" s="336"/>
      <c r="S4390" s="337"/>
    </row>
    <row r="4391" spans="1:19" ht="30" customHeight="1" thickBot="1" x14ac:dyDescent="0.3">
      <c r="A4391" s="844"/>
      <c r="B4391" s="844"/>
      <c r="C4391" s="471"/>
      <c r="D4391" s="471"/>
      <c r="E4391" s="471"/>
      <c r="F4391" s="1278" t="s">
        <v>1148</v>
      </c>
      <c r="G4391" s="1278"/>
      <c r="H4391" s="1278"/>
      <c r="I4391" s="1278"/>
      <c r="J4391" s="987">
        <v>1.0833999999999999</v>
      </c>
      <c r="K4391" s="1025">
        <f>K4390*J4391</f>
        <v>7.5242141110279867E-3</v>
      </c>
      <c r="L4391" s="396" t="s">
        <v>2396</v>
      </c>
      <c r="N4391" s="54"/>
      <c r="O4391" s="336"/>
      <c r="P4391" s="334"/>
      <c r="Q4391" s="335"/>
      <c r="R4391" s="336"/>
      <c r="S4391" s="337"/>
    </row>
    <row r="4392" spans="1:19" ht="30" customHeight="1" thickBot="1" x14ac:dyDescent="0.3">
      <c r="A4392" s="1180"/>
      <c r="B4392" s="1181"/>
      <c r="C4392" s="1181"/>
      <c r="D4392" s="1181"/>
      <c r="E4392" s="1181"/>
      <c r="F4392" s="1181"/>
      <c r="G4392" s="1181"/>
      <c r="H4392" s="1181"/>
      <c r="I4392" s="1181"/>
      <c r="J4392" s="1181"/>
      <c r="K4392" s="1181"/>
      <c r="L4392" s="1182"/>
      <c r="M4392" s="54"/>
      <c r="N4392" s="54"/>
      <c r="O4392" s="336"/>
      <c r="P4392" s="334"/>
      <c r="Q4392" s="335"/>
      <c r="R4392" s="336"/>
      <c r="S4392" s="337"/>
    </row>
    <row r="4393" spans="1:19" ht="30" customHeight="1" x14ac:dyDescent="0.25">
      <c r="A4393" s="327" t="s">
        <v>5</v>
      </c>
      <c r="B4393" s="328">
        <v>8232</v>
      </c>
      <c r="C4393" s="1251" t="s">
        <v>2444</v>
      </c>
      <c r="D4393" s="1252"/>
      <c r="E4393" s="331" t="s">
        <v>8</v>
      </c>
      <c r="F4393" s="332" t="s">
        <v>76</v>
      </c>
      <c r="G4393" s="333" t="s">
        <v>7</v>
      </c>
      <c r="H4393" s="156">
        <v>1</v>
      </c>
      <c r="I4393" s="331" t="s">
        <v>10</v>
      </c>
      <c r="J4393" s="1220" t="s">
        <v>3388</v>
      </c>
      <c r="K4393" s="1220"/>
      <c r="L4393" s="1221"/>
      <c r="M4393" s="54"/>
      <c r="N4393" s="54"/>
      <c r="O4393" s="336"/>
      <c r="P4393" s="469"/>
      <c r="Q4393" s="335"/>
      <c r="R4393" s="336"/>
      <c r="S4393" s="337"/>
    </row>
    <row r="4394" spans="1:19" ht="30" customHeight="1" x14ac:dyDescent="0.25">
      <c r="A4394" s="359" t="s">
        <v>295</v>
      </c>
      <c r="B4394" s="1222" t="s">
        <v>326</v>
      </c>
      <c r="C4394" s="1235"/>
      <c r="D4394" s="1223"/>
      <c r="E4394" s="577" t="s">
        <v>116</v>
      </c>
      <c r="F4394" s="577" t="s">
        <v>117</v>
      </c>
      <c r="G4394" s="1194" t="s">
        <v>118</v>
      </c>
      <c r="H4394" s="1195"/>
      <c r="I4394" s="356" t="s">
        <v>296</v>
      </c>
      <c r="J4394" s="356"/>
      <c r="K4394" s="581" t="s">
        <v>285</v>
      </c>
      <c r="L4394" s="382"/>
      <c r="M4394" s="54"/>
      <c r="N4394" s="54"/>
      <c r="O4394" s="336"/>
      <c r="P4394" s="334"/>
      <c r="Q4394" s="335"/>
      <c r="R4394" s="336"/>
      <c r="S4394" s="337"/>
    </row>
    <row r="4395" spans="1:19" ht="30" customHeight="1" x14ac:dyDescent="0.25">
      <c r="A4395" s="365" t="s">
        <v>398</v>
      </c>
      <c r="B4395" s="1281" t="s">
        <v>2445</v>
      </c>
      <c r="C4395" s="1281"/>
      <c r="D4395" s="1281"/>
      <c r="E4395" s="247">
        <v>102000</v>
      </c>
      <c r="F4395" s="661" t="s">
        <v>76</v>
      </c>
      <c r="G4395" s="1026"/>
      <c r="H4395" s="698"/>
      <c r="I4395" s="742">
        <v>1</v>
      </c>
      <c r="J4395" s="365"/>
      <c r="K4395" s="247">
        <f>+E4395*I4395</f>
        <v>102000</v>
      </c>
      <c r="L4395" s="365" t="s">
        <v>76</v>
      </c>
      <c r="M4395" s="54"/>
      <c r="N4395" s="54"/>
      <c r="O4395" s="336"/>
      <c r="P4395" s="334"/>
      <c r="Q4395" s="335"/>
      <c r="R4395" s="336"/>
      <c r="S4395" s="337"/>
    </row>
    <row r="4396" spans="1:19" ht="30" customHeight="1" x14ac:dyDescent="0.25">
      <c r="A4396" s="365"/>
      <c r="B4396" s="578"/>
      <c r="C4396" s="578"/>
      <c r="D4396" s="578"/>
      <c r="E4396" s="247"/>
      <c r="F4396" s="1272" t="s">
        <v>303</v>
      </c>
      <c r="G4396" s="1283" t="s">
        <v>304</v>
      </c>
      <c r="H4396" s="1283"/>
      <c r="I4396" s="1283"/>
      <c r="J4396" s="1283"/>
      <c r="K4396" s="250">
        <v>1.07</v>
      </c>
      <c r="L4396" s="365"/>
      <c r="M4396" s="54"/>
      <c r="O4396" s="336"/>
      <c r="P4396" s="334"/>
      <c r="Q4396" s="335"/>
      <c r="R4396" s="336"/>
      <c r="S4396" s="337"/>
    </row>
    <row r="4397" spans="1:19" ht="30" customHeight="1" x14ac:dyDescent="0.25">
      <c r="A4397" s="365"/>
      <c r="B4397" s="578"/>
      <c r="C4397" s="578"/>
      <c r="D4397" s="578"/>
      <c r="E4397" s="247"/>
      <c r="F4397" s="1273"/>
      <c r="G4397" s="1284" t="s">
        <v>438</v>
      </c>
      <c r="H4397" s="1284"/>
      <c r="I4397" s="1284"/>
      <c r="J4397" s="1284"/>
      <c r="K4397" s="250">
        <v>1.08</v>
      </c>
      <c r="L4397" s="365"/>
      <c r="M4397" s="54"/>
      <c r="N4397" s="54"/>
      <c r="O4397" s="336"/>
      <c r="P4397" s="334"/>
      <c r="Q4397" s="335"/>
      <c r="R4397" s="336"/>
      <c r="S4397" s="337"/>
    </row>
    <row r="4398" spans="1:19" ht="30" customHeight="1" x14ac:dyDescent="0.25">
      <c r="A4398" s="365"/>
      <c r="B4398" s="365"/>
      <c r="C4398" s="366"/>
      <c r="D4398" s="366"/>
      <c r="E4398" s="366"/>
      <c r="F4398" s="366"/>
      <c r="G4398" s="366"/>
      <c r="H4398" s="366"/>
      <c r="I4398" s="366"/>
      <c r="J4398" s="365" t="s">
        <v>72</v>
      </c>
      <c r="K4398" s="246">
        <f>+K4395*K4396/K4397</f>
        <v>101055.55555555555</v>
      </c>
      <c r="L4398" s="365" t="s">
        <v>76</v>
      </c>
      <c r="M4398" s="54"/>
      <c r="N4398" s="111"/>
      <c r="O4398" s="336"/>
      <c r="P4398" s="334"/>
      <c r="Q4398" s="335"/>
      <c r="R4398" s="336"/>
      <c r="S4398" s="337"/>
    </row>
    <row r="4399" spans="1:19" ht="30" customHeight="1" x14ac:dyDescent="0.25">
      <c r="A4399" s="365"/>
      <c r="B4399" s="365"/>
      <c r="C4399" s="366"/>
      <c r="D4399" s="366"/>
      <c r="E4399" s="366"/>
      <c r="F4399" s="366"/>
      <c r="G4399" s="580" t="s">
        <v>306</v>
      </c>
      <c r="H4399" s="366"/>
      <c r="I4399" s="366"/>
      <c r="J4399" s="521">
        <f>VLOOKUP(B4393,'Mil Cost Premiums for PUCs'!$A$4:$R$277,18,FALSE)</f>
        <v>1.0905505199999999</v>
      </c>
      <c r="K4399" s="246">
        <f>+K4398*J4399</f>
        <v>110206.18865999997</v>
      </c>
      <c r="L4399" s="365" t="s">
        <v>76</v>
      </c>
      <c r="M4399" s="54"/>
      <c r="N4399" s="54"/>
      <c r="P4399" s="334"/>
      <c r="Q4399" s="335"/>
      <c r="R4399" s="336"/>
      <c r="S4399" s="337"/>
    </row>
    <row r="4400" spans="1:19" ht="30" customHeight="1" thickBot="1" x14ac:dyDescent="0.3">
      <c r="A4400" s="844"/>
      <c r="B4400" s="844"/>
      <c r="C4400" s="471"/>
      <c r="D4400" s="471"/>
      <c r="E4400" s="471"/>
      <c r="F4400" s="1278" t="s">
        <v>1148</v>
      </c>
      <c r="G4400" s="1278"/>
      <c r="H4400" s="1278"/>
      <c r="I4400" s="1278"/>
      <c r="J4400" s="987">
        <v>1.0833999999999999</v>
      </c>
      <c r="K4400" s="1025">
        <f>K4399*J4400</f>
        <v>119397.38479424396</v>
      </c>
      <c r="L4400" s="365" t="s">
        <v>76</v>
      </c>
      <c r="N4400" s="54"/>
      <c r="O4400" s="336"/>
      <c r="P4400" s="334"/>
      <c r="Q4400" s="335"/>
      <c r="R4400" s="336"/>
      <c r="S4400" s="337"/>
    </row>
    <row r="4401" spans="1:19" ht="30" customHeight="1" thickBot="1" x14ac:dyDescent="0.3">
      <c r="A4401" s="1180"/>
      <c r="B4401" s="1181"/>
      <c r="C4401" s="1181"/>
      <c r="D4401" s="1181"/>
      <c r="E4401" s="1181"/>
      <c r="F4401" s="1181"/>
      <c r="G4401" s="1181"/>
      <c r="H4401" s="1181"/>
      <c r="I4401" s="1181"/>
      <c r="J4401" s="1181"/>
      <c r="K4401" s="1181"/>
      <c r="L4401" s="1182"/>
      <c r="M4401" s="54"/>
      <c r="N4401" s="54"/>
      <c r="O4401" s="384"/>
      <c r="P4401" s="334"/>
      <c r="Q4401" s="335"/>
      <c r="R4401" s="336"/>
      <c r="S4401" s="337"/>
    </row>
    <row r="4402" spans="1:19" ht="30" customHeight="1" x14ac:dyDescent="0.25">
      <c r="A4402" s="327" t="s">
        <v>5</v>
      </c>
      <c r="B4402" s="328">
        <v>8241</v>
      </c>
      <c r="C4402" s="1251" t="s">
        <v>2446</v>
      </c>
      <c r="D4402" s="1252"/>
      <c r="E4402" s="331" t="s">
        <v>8</v>
      </c>
      <c r="F4402" s="332" t="s">
        <v>40</v>
      </c>
      <c r="G4402" s="342" t="s">
        <v>74</v>
      </c>
      <c r="H4402" s="156">
        <v>8472</v>
      </c>
      <c r="I4402" s="331" t="s">
        <v>10</v>
      </c>
      <c r="J4402" s="1220" t="s">
        <v>3388</v>
      </c>
      <c r="K4402" s="1220"/>
      <c r="L4402" s="1221"/>
      <c r="M4402" s="54"/>
      <c r="N4402" s="54"/>
      <c r="O4402" s="336"/>
      <c r="P4402" s="334"/>
      <c r="Q4402" s="335"/>
      <c r="R4402" s="336"/>
      <c r="S4402" s="337"/>
    </row>
    <row r="4403" spans="1:19" ht="30" customHeight="1" x14ac:dyDescent="0.25">
      <c r="A4403" s="359" t="s">
        <v>295</v>
      </c>
      <c r="B4403" s="1222" t="s">
        <v>326</v>
      </c>
      <c r="C4403" s="1235"/>
      <c r="D4403" s="1223"/>
      <c r="E4403" s="577" t="s">
        <v>116</v>
      </c>
      <c r="F4403" s="577" t="s">
        <v>117</v>
      </c>
      <c r="G4403" s="1194" t="s">
        <v>118</v>
      </c>
      <c r="H4403" s="1195"/>
      <c r="I4403" s="356" t="s">
        <v>296</v>
      </c>
      <c r="J4403" s="356"/>
      <c r="K4403" s="581" t="s">
        <v>285</v>
      </c>
      <c r="L4403" s="382"/>
      <c r="M4403" s="54"/>
      <c r="N4403" s="54"/>
      <c r="O4403" s="336"/>
      <c r="P4403" s="334"/>
      <c r="Q4403" s="335"/>
      <c r="R4403" s="336"/>
      <c r="S4403" s="337"/>
    </row>
    <row r="4404" spans="1:19" ht="30" customHeight="1" x14ac:dyDescent="0.25">
      <c r="A4404" s="365" t="s">
        <v>339</v>
      </c>
      <c r="B4404" s="1214" t="s">
        <v>2447</v>
      </c>
      <c r="C4404" s="1215"/>
      <c r="D4404" s="1216"/>
      <c r="E4404" s="7">
        <v>18.95</v>
      </c>
      <c r="F4404" s="396" t="s">
        <v>40</v>
      </c>
      <c r="G4404" s="689"/>
      <c r="H4404" s="690"/>
      <c r="I4404" s="365">
        <v>1.05</v>
      </c>
      <c r="J4404" s="365"/>
      <c r="K4404" s="7">
        <f>+E4404*I4404</f>
        <v>19.897500000000001</v>
      </c>
      <c r="L4404" s="396" t="s">
        <v>40</v>
      </c>
      <c r="M4404" s="54"/>
      <c r="N4404" s="54"/>
      <c r="O4404" s="336"/>
      <c r="P4404" s="334"/>
      <c r="Q4404" s="335"/>
      <c r="R4404" s="336"/>
      <c r="S4404" s="337"/>
    </row>
    <row r="4405" spans="1:19" ht="30" customHeight="1" x14ac:dyDescent="0.25">
      <c r="A4405" s="365" t="s">
        <v>339</v>
      </c>
      <c r="B4405" s="1214" t="s">
        <v>2448</v>
      </c>
      <c r="C4405" s="1215"/>
      <c r="D4405" s="1216"/>
      <c r="E4405" s="7">
        <v>18.75</v>
      </c>
      <c r="F4405" s="396" t="s">
        <v>40</v>
      </c>
      <c r="G4405" s="1027"/>
      <c r="H4405" s="690"/>
      <c r="I4405" s="365">
        <v>1.05</v>
      </c>
      <c r="J4405" s="365"/>
      <c r="K4405" s="7">
        <f>+E4405*I4405</f>
        <v>19.6875</v>
      </c>
      <c r="L4405" s="396" t="s">
        <v>40</v>
      </c>
      <c r="M4405" s="54"/>
      <c r="N4405" s="54"/>
      <c r="P4405" s="334"/>
      <c r="Q4405" s="335"/>
      <c r="R4405" s="336"/>
      <c r="S4405" s="337"/>
    </row>
    <row r="4406" spans="1:19" ht="30" customHeight="1" x14ac:dyDescent="0.25">
      <c r="A4406" s="755"/>
      <c r="B4406" s="1269"/>
      <c r="C4406" s="1269"/>
      <c r="D4406" s="1269"/>
      <c r="E4406" s="247"/>
      <c r="F4406" s="365"/>
      <c r="G4406" s="365"/>
      <c r="H4406" s="365"/>
      <c r="I4406" s="365"/>
      <c r="J4406" s="365" t="s">
        <v>300</v>
      </c>
      <c r="K4406" s="247">
        <f>AVERAGE(K4404:K4405)</f>
        <v>19.7925</v>
      </c>
      <c r="L4406" s="365" t="s">
        <v>40</v>
      </c>
      <c r="M4406" s="54"/>
      <c r="N4406" s="54"/>
      <c r="O4406" s="336"/>
      <c r="P4406" s="334"/>
      <c r="Q4406" s="335"/>
      <c r="R4406" s="336"/>
      <c r="S4406" s="337"/>
    </row>
    <row r="4407" spans="1:19" ht="30" customHeight="1" x14ac:dyDescent="0.25">
      <c r="A4407" s="365"/>
      <c r="B4407" s="578"/>
      <c r="C4407" s="578"/>
      <c r="D4407" s="578"/>
      <c r="E4407" s="247"/>
      <c r="F4407" s="1272" t="s">
        <v>303</v>
      </c>
      <c r="G4407" s="1283" t="s">
        <v>304</v>
      </c>
      <c r="H4407" s="1283"/>
      <c r="I4407" s="1283"/>
      <c r="J4407" s="1283"/>
      <c r="K4407" s="250">
        <v>1.07</v>
      </c>
      <c r="L4407" s="365"/>
      <c r="M4407" s="54"/>
      <c r="O4407" s="336"/>
      <c r="P4407" s="334"/>
      <c r="Q4407" s="335"/>
      <c r="R4407" s="336"/>
      <c r="S4407" s="337"/>
    </row>
    <row r="4408" spans="1:19" ht="30" customHeight="1" x14ac:dyDescent="0.25">
      <c r="A4408" s="365"/>
      <c r="B4408" s="578"/>
      <c r="C4408" s="578"/>
      <c r="D4408" s="578"/>
      <c r="E4408" s="247"/>
      <c r="F4408" s="1273"/>
      <c r="G4408" s="1284" t="s">
        <v>438</v>
      </c>
      <c r="H4408" s="1284"/>
      <c r="I4408" s="1284"/>
      <c r="J4408" s="1284"/>
      <c r="K4408" s="250">
        <v>1.08</v>
      </c>
      <c r="L4408" s="365"/>
      <c r="M4408" s="54"/>
      <c r="N4408" s="54"/>
      <c r="O4408" s="384"/>
      <c r="P4408" s="334"/>
      <c r="Q4408" s="335"/>
      <c r="R4408" s="336"/>
      <c r="S4408" s="337"/>
    </row>
    <row r="4409" spans="1:19" ht="30" customHeight="1" x14ac:dyDescent="0.25">
      <c r="A4409" s="365"/>
      <c r="B4409" s="365"/>
      <c r="C4409" s="366"/>
      <c r="D4409" s="366"/>
      <c r="E4409" s="366"/>
      <c r="F4409" s="366"/>
      <c r="G4409" s="366"/>
      <c r="H4409" s="366"/>
      <c r="I4409" s="366"/>
      <c r="J4409" s="365" t="s">
        <v>72</v>
      </c>
      <c r="K4409" s="246">
        <f>+K4406*K4407/K4408</f>
        <v>19.609236111111109</v>
      </c>
      <c r="L4409" s="365" t="s">
        <v>40</v>
      </c>
      <c r="M4409" s="54"/>
      <c r="N4409" s="54"/>
      <c r="O4409" s="340"/>
      <c r="P4409" s="334"/>
      <c r="Q4409" s="335"/>
      <c r="R4409" s="336"/>
      <c r="S4409" s="337"/>
    </row>
    <row r="4410" spans="1:19" ht="30" customHeight="1" x14ac:dyDescent="0.25">
      <c r="A4410" s="365"/>
      <c r="B4410" s="365"/>
      <c r="C4410" s="366"/>
      <c r="D4410" s="366"/>
      <c r="E4410" s="366"/>
      <c r="F4410" s="366"/>
      <c r="G4410" s="580" t="s">
        <v>306</v>
      </c>
      <c r="H4410" s="366"/>
      <c r="I4410" s="366"/>
      <c r="J4410" s="521">
        <f>VLOOKUP(B4402,'Mil Cost Premiums for PUCs'!$A$4:$R$277,18,FALSE)</f>
        <v>1.0905505199999999</v>
      </c>
      <c r="K4410" s="246">
        <f>+K4409*J4410</f>
        <v>21.384862637774994</v>
      </c>
      <c r="L4410" s="365" t="s">
        <v>40</v>
      </c>
      <c r="M4410" s="54"/>
      <c r="N4410" s="54"/>
      <c r="O4410" s="839"/>
      <c r="P4410" s="334"/>
      <c r="Q4410" s="335"/>
      <c r="R4410" s="336"/>
      <c r="S4410" s="337"/>
    </row>
    <row r="4411" spans="1:19" ht="30" customHeight="1" thickBot="1" x14ac:dyDescent="0.3">
      <c r="A4411" s="844"/>
      <c r="B4411" s="844"/>
      <c r="C4411" s="471"/>
      <c r="D4411" s="471"/>
      <c r="E4411" s="471"/>
      <c r="F4411" s="1278" t="s">
        <v>1148</v>
      </c>
      <c r="G4411" s="1278"/>
      <c r="H4411" s="1278"/>
      <c r="I4411" s="1278"/>
      <c r="J4411" s="987">
        <v>1.0833999999999999</v>
      </c>
      <c r="K4411" s="988">
        <f>K4410*J4411</f>
        <v>23.168360181765426</v>
      </c>
      <c r="L4411" s="365" t="s">
        <v>40</v>
      </c>
      <c r="N4411" s="54"/>
      <c r="O4411" s="336"/>
      <c r="P4411" s="334"/>
      <c r="Q4411" s="335"/>
      <c r="R4411" s="336"/>
      <c r="S4411" s="337"/>
    </row>
    <row r="4412" spans="1:19" ht="30" customHeight="1" thickBot="1" x14ac:dyDescent="0.3">
      <c r="A4412" s="1180"/>
      <c r="B4412" s="1181"/>
      <c r="C4412" s="1181"/>
      <c r="D4412" s="1181"/>
      <c r="E4412" s="1181"/>
      <c r="F4412" s="1181"/>
      <c r="G4412" s="1181"/>
      <c r="H4412" s="1181"/>
      <c r="I4412" s="1181"/>
      <c r="J4412" s="1181"/>
      <c r="K4412" s="1181"/>
      <c r="L4412" s="1182"/>
      <c r="M4412" s="54"/>
      <c r="N4412" s="54"/>
      <c r="O4412" s="336"/>
      <c r="P4412" s="334"/>
      <c r="Q4412" s="335"/>
      <c r="R4412" s="336"/>
      <c r="S4412" s="337"/>
    </row>
    <row r="4413" spans="1:19" ht="30" customHeight="1" x14ac:dyDescent="0.25">
      <c r="A4413" s="327" t="s">
        <v>5</v>
      </c>
      <c r="B4413" s="328">
        <v>8261</v>
      </c>
      <c r="C4413" s="1294" t="s">
        <v>2449</v>
      </c>
      <c r="D4413" s="1295"/>
      <c r="E4413" s="331" t="s">
        <v>8</v>
      </c>
      <c r="F4413" s="332" t="s">
        <v>2450</v>
      </c>
      <c r="G4413" s="342" t="s">
        <v>74</v>
      </c>
      <c r="H4413" s="156">
        <v>483</v>
      </c>
      <c r="I4413" s="331" t="s">
        <v>10</v>
      </c>
      <c r="J4413" s="1220" t="s">
        <v>3388</v>
      </c>
      <c r="K4413" s="1220"/>
      <c r="L4413" s="1221"/>
      <c r="M4413" s="54"/>
      <c r="N4413" s="54"/>
      <c r="O4413" s="336"/>
      <c r="P4413" s="334"/>
      <c r="Q4413" s="335"/>
      <c r="R4413" s="336"/>
      <c r="S4413" s="337"/>
    </row>
    <row r="4414" spans="1:19" ht="30" customHeight="1" x14ac:dyDescent="0.25">
      <c r="A4414" s="359" t="s">
        <v>295</v>
      </c>
      <c r="B4414" s="1222" t="s">
        <v>326</v>
      </c>
      <c r="C4414" s="1235"/>
      <c r="D4414" s="1223"/>
      <c r="E4414" s="577" t="s">
        <v>116</v>
      </c>
      <c r="F4414" s="577" t="s">
        <v>117</v>
      </c>
      <c r="G4414" s="1194" t="s">
        <v>118</v>
      </c>
      <c r="H4414" s="1195"/>
      <c r="I4414" s="356" t="s">
        <v>296</v>
      </c>
      <c r="J4414" s="356"/>
      <c r="K4414" s="581" t="s">
        <v>285</v>
      </c>
      <c r="L4414" s="382"/>
      <c r="M4414" s="54"/>
      <c r="N4414" s="54"/>
      <c r="O4414" s="336"/>
      <c r="P4414" s="334"/>
      <c r="Q4414" s="335"/>
      <c r="R4414" s="336"/>
      <c r="S4414" s="337"/>
    </row>
    <row r="4415" spans="1:19" ht="30" customHeight="1" x14ac:dyDescent="0.25">
      <c r="A4415" s="365" t="s">
        <v>2451</v>
      </c>
      <c r="B4415" s="1229" t="s">
        <v>2452</v>
      </c>
      <c r="C4415" s="1288"/>
      <c r="D4415" s="1289"/>
      <c r="E4415" s="7">
        <v>4875</v>
      </c>
      <c r="F4415" s="396" t="s">
        <v>2450</v>
      </c>
      <c r="G4415" s="689"/>
      <c r="H4415" s="690"/>
      <c r="I4415" s="365">
        <v>1.01</v>
      </c>
      <c r="J4415" s="365"/>
      <c r="K4415" s="7">
        <f>+E4415*I4415</f>
        <v>4923.75</v>
      </c>
      <c r="L4415" s="396" t="s">
        <v>2450</v>
      </c>
      <c r="M4415" s="54"/>
      <c r="N4415" s="54"/>
      <c r="O4415" s="336"/>
      <c r="P4415" s="334"/>
      <c r="Q4415" s="335"/>
      <c r="R4415" s="336"/>
      <c r="S4415" s="337"/>
    </row>
    <row r="4416" spans="1:19" ht="30" customHeight="1" x14ac:dyDescent="0.25">
      <c r="A4416" s="365" t="s">
        <v>2451</v>
      </c>
      <c r="B4416" s="1229" t="s">
        <v>2453</v>
      </c>
      <c r="C4416" s="1288"/>
      <c r="D4416" s="1289"/>
      <c r="E4416" s="7">
        <v>4700</v>
      </c>
      <c r="F4416" s="396" t="s">
        <v>2450</v>
      </c>
      <c r="G4416" s="1027"/>
      <c r="H4416" s="690"/>
      <c r="I4416" s="365">
        <v>1.01</v>
      </c>
      <c r="J4416" s="365"/>
      <c r="K4416" s="7">
        <f>+E4416*I4416</f>
        <v>4747</v>
      </c>
      <c r="L4416" s="396" t="s">
        <v>2450</v>
      </c>
      <c r="M4416" s="54"/>
      <c r="N4416" s="54"/>
      <c r="O4416" s="336"/>
      <c r="P4416" s="334"/>
      <c r="Q4416" s="335"/>
      <c r="R4416" s="336"/>
      <c r="S4416" s="337"/>
    </row>
    <row r="4417" spans="1:19" ht="30" customHeight="1" x14ac:dyDescent="0.25">
      <c r="A4417" s="755"/>
      <c r="B4417" s="1269"/>
      <c r="C4417" s="1269"/>
      <c r="D4417" s="1269"/>
      <c r="E4417" s="247"/>
      <c r="F4417" s="365"/>
      <c r="G4417" s="365"/>
      <c r="H4417" s="365"/>
      <c r="I4417" s="365"/>
      <c r="J4417" s="365" t="s">
        <v>300</v>
      </c>
      <c r="K4417" s="247">
        <f>AVERAGE(K4415:K4416)</f>
        <v>4835.375</v>
      </c>
      <c r="L4417" s="365" t="s">
        <v>2450</v>
      </c>
      <c r="M4417" s="54"/>
      <c r="N4417" s="54"/>
      <c r="O4417" s="336"/>
      <c r="P4417" s="334"/>
      <c r="Q4417" s="335"/>
      <c r="R4417" s="336"/>
      <c r="S4417" s="337"/>
    </row>
    <row r="4418" spans="1:19" ht="30" customHeight="1" x14ac:dyDescent="0.25">
      <c r="A4418" s="365"/>
      <c r="B4418" s="578"/>
      <c r="C4418" s="578"/>
      <c r="D4418" s="578"/>
      <c r="E4418" s="247"/>
      <c r="F4418" s="1272" t="s">
        <v>303</v>
      </c>
      <c r="G4418" s="1283" t="s">
        <v>304</v>
      </c>
      <c r="H4418" s="1283"/>
      <c r="I4418" s="1283"/>
      <c r="J4418" s="1283"/>
      <c r="K4418" s="250">
        <v>1.07</v>
      </c>
      <c r="L4418" s="365"/>
      <c r="M4418" s="54"/>
      <c r="N4418" s="54"/>
      <c r="O4418" s="336"/>
      <c r="P4418" s="334"/>
      <c r="Q4418" s="335"/>
      <c r="R4418" s="336"/>
      <c r="S4418" s="337"/>
    </row>
    <row r="4419" spans="1:19" ht="30" customHeight="1" x14ac:dyDescent="0.25">
      <c r="A4419" s="365"/>
      <c r="B4419" s="578"/>
      <c r="C4419" s="578"/>
      <c r="D4419" s="578"/>
      <c r="E4419" s="247"/>
      <c r="F4419" s="1273"/>
      <c r="G4419" s="1284" t="s">
        <v>438</v>
      </c>
      <c r="H4419" s="1284"/>
      <c r="I4419" s="1284"/>
      <c r="J4419" s="1284"/>
      <c r="K4419" s="250">
        <v>1.08</v>
      </c>
      <c r="L4419" s="365"/>
      <c r="M4419" s="54"/>
      <c r="N4419" s="54"/>
      <c r="O4419" s="336"/>
      <c r="P4419" s="334"/>
      <c r="Q4419" s="335"/>
      <c r="R4419" s="336"/>
      <c r="S4419" s="337"/>
    </row>
    <row r="4420" spans="1:19" ht="30" customHeight="1" x14ac:dyDescent="0.25">
      <c r="A4420" s="365"/>
      <c r="B4420" s="365"/>
      <c r="C4420" s="366"/>
      <c r="D4420" s="366"/>
      <c r="E4420" s="366"/>
      <c r="F4420" s="366"/>
      <c r="G4420" s="366"/>
      <c r="H4420" s="366"/>
      <c r="I4420" s="366"/>
      <c r="J4420" s="365" t="s">
        <v>72</v>
      </c>
      <c r="K4420" s="246">
        <f>+K4417*K4418/K4419</f>
        <v>4790.6030092592591</v>
      </c>
      <c r="L4420" s="365" t="s">
        <v>2450</v>
      </c>
      <c r="M4420" s="54"/>
      <c r="N4420" s="54"/>
      <c r="O4420" s="336"/>
      <c r="P4420" s="334"/>
      <c r="Q4420" s="335"/>
      <c r="R4420" s="336"/>
      <c r="S4420" s="337"/>
    </row>
    <row r="4421" spans="1:19" ht="30" customHeight="1" x14ac:dyDescent="0.25">
      <c r="A4421" s="365"/>
      <c r="B4421" s="365"/>
      <c r="C4421" s="366"/>
      <c r="D4421" s="366"/>
      <c r="E4421" s="366"/>
      <c r="F4421" s="366"/>
      <c r="G4421" s="398" t="s">
        <v>414</v>
      </c>
      <c r="H4421" s="366"/>
      <c r="I4421" s="366"/>
      <c r="J4421" s="521">
        <f>VLOOKUP(B4413,'Mil Cost Premiums for PUCs'!$A$4:$R$277,18,FALSE)</f>
        <v>1.0905505199999999</v>
      </c>
      <c r="K4421" s="246">
        <f>+K4420*J4421</f>
        <v>5224.394602861249</v>
      </c>
      <c r="L4421" s="365" t="s">
        <v>2450</v>
      </c>
      <c r="M4421" s="54"/>
      <c r="N4421" s="54"/>
      <c r="P4421" s="334"/>
      <c r="Q4421" s="335"/>
      <c r="R4421" s="336"/>
      <c r="S4421" s="337"/>
    </row>
    <row r="4422" spans="1:19" ht="30" customHeight="1" x14ac:dyDescent="0.25">
      <c r="A4422" s="844"/>
      <c r="B4422" s="844"/>
      <c r="C4422" s="471"/>
      <c r="D4422" s="471"/>
      <c r="E4422" s="471"/>
      <c r="F4422" s="1278" t="s">
        <v>1148</v>
      </c>
      <c r="G4422" s="1278"/>
      <c r="H4422" s="1278"/>
      <c r="I4422" s="1278"/>
      <c r="J4422" s="987">
        <v>1.0833999999999999</v>
      </c>
      <c r="K4422" s="988">
        <f>K4421*J4422</f>
        <v>5660.1091127398768</v>
      </c>
      <c r="L4422" s="365" t="s">
        <v>2450</v>
      </c>
      <c r="N4422" s="54"/>
      <c r="P4422" s="334"/>
      <c r="Q4422" s="335"/>
      <c r="R4422" s="336"/>
      <c r="S4422" s="337"/>
    </row>
    <row r="4423" spans="1:19" ht="75" customHeight="1" x14ac:dyDescent="0.25">
      <c r="A4423" s="1230" t="s">
        <v>2454</v>
      </c>
      <c r="B4423" s="1231"/>
      <c r="C4423" s="1231"/>
      <c r="D4423" s="1231"/>
      <c r="E4423" s="1231"/>
      <c r="F4423" s="1231"/>
      <c r="G4423" s="1231"/>
      <c r="H4423" s="1231"/>
      <c r="I4423" s="1231"/>
      <c r="J4423" s="1231"/>
      <c r="K4423" s="1231"/>
      <c r="L4423" s="1232"/>
      <c r="M4423" s="54"/>
      <c r="N4423" s="54"/>
      <c r="P4423" s="334"/>
      <c r="Q4423" s="335"/>
      <c r="R4423" s="336"/>
      <c r="S4423" s="337"/>
    </row>
    <row r="4424" spans="1:19" ht="60" customHeight="1" x14ac:dyDescent="0.25">
      <c r="A4424" s="1268" t="s">
        <v>308</v>
      </c>
      <c r="B4424" s="1167"/>
      <c r="C4424" s="1168"/>
      <c r="D4424" s="1230" t="s">
        <v>2455</v>
      </c>
      <c r="E4424" s="1231"/>
      <c r="F4424" s="1231"/>
      <c r="G4424" s="1231"/>
      <c r="H4424" s="1231"/>
      <c r="I4424" s="1231"/>
      <c r="J4424" s="1231"/>
      <c r="K4424" s="1231"/>
      <c r="L4424" s="1232"/>
      <c r="M4424" s="54"/>
      <c r="N4424" s="54"/>
      <c r="O4424" s="336"/>
      <c r="P4424" s="334"/>
      <c r="Q4424" s="335"/>
      <c r="R4424" s="336"/>
      <c r="S4424" s="337"/>
    </row>
    <row r="4425" spans="1:19" ht="30" customHeight="1" x14ac:dyDescent="0.25">
      <c r="A4425" s="1268" t="s">
        <v>310</v>
      </c>
      <c r="B4425" s="1167"/>
      <c r="C4425" s="1168"/>
      <c r="D4425" s="1230" t="s">
        <v>2456</v>
      </c>
      <c r="E4425" s="1231"/>
      <c r="F4425" s="1231"/>
      <c r="G4425" s="1231"/>
      <c r="H4425" s="1231"/>
      <c r="I4425" s="1231"/>
      <c r="J4425" s="1231"/>
      <c r="K4425" s="1231"/>
      <c r="L4425" s="1232"/>
      <c r="M4425" s="54"/>
      <c r="N4425" s="54"/>
      <c r="O4425" s="336"/>
      <c r="P4425" s="334"/>
    </row>
    <row r="4426" spans="1:19" ht="30" customHeight="1" x14ac:dyDescent="0.25">
      <c r="A4426" s="1268" t="s">
        <v>312</v>
      </c>
      <c r="B4426" s="1167"/>
      <c r="C4426" s="1168"/>
      <c r="D4426" s="1230" t="s">
        <v>2457</v>
      </c>
      <c r="E4426" s="1231"/>
      <c r="F4426" s="1231"/>
      <c r="G4426" s="1231"/>
      <c r="H4426" s="1231"/>
      <c r="I4426" s="1231"/>
      <c r="J4426" s="1231"/>
      <c r="K4426" s="1231"/>
      <c r="L4426" s="1232"/>
      <c r="M4426" s="54"/>
      <c r="N4426" s="54"/>
      <c r="O4426" s="336"/>
      <c r="P4426" s="334"/>
    </row>
    <row r="4427" spans="1:19" ht="45" customHeight="1" x14ac:dyDescent="0.25">
      <c r="A4427" s="1268" t="s">
        <v>314</v>
      </c>
      <c r="B4427" s="1167"/>
      <c r="C4427" s="1168"/>
      <c r="D4427" s="1230" t="s">
        <v>2458</v>
      </c>
      <c r="E4427" s="1231"/>
      <c r="F4427" s="1231"/>
      <c r="G4427" s="1231"/>
      <c r="H4427" s="1231"/>
      <c r="I4427" s="1231"/>
      <c r="J4427" s="1231"/>
      <c r="K4427" s="1231"/>
      <c r="L4427" s="1232"/>
      <c r="M4427" s="54"/>
      <c r="N4427" s="54"/>
      <c r="P4427" s="334"/>
    </row>
    <row r="4428" spans="1:19" ht="30" customHeight="1" x14ac:dyDescent="0.25">
      <c r="A4428" s="1268" t="s">
        <v>316</v>
      </c>
      <c r="B4428" s="1167"/>
      <c r="C4428" s="1168"/>
      <c r="D4428" s="1230" t="s">
        <v>2411</v>
      </c>
      <c r="E4428" s="1231"/>
      <c r="F4428" s="1231"/>
      <c r="G4428" s="1231"/>
      <c r="H4428" s="1231"/>
      <c r="I4428" s="1231"/>
      <c r="J4428" s="1231"/>
      <c r="K4428" s="1231"/>
      <c r="L4428" s="1232"/>
      <c r="M4428" s="54"/>
      <c r="N4428" s="54"/>
      <c r="O4428" s="336"/>
      <c r="P4428" s="334"/>
    </row>
    <row r="4429" spans="1:19" ht="30" customHeight="1" x14ac:dyDescent="0.25">
      <c r="A4429" s="1268" t="s">
        <v>318</v>
      </c>
      <c r="B4429" s="1167"/>
      <c r="C4429" s="1168"/>
      <c r="D4429" s="1230" t="s">
        <v>2250</v>
      </c>
      <c r="E4429" s="1231"/>
      <c r="F4429" s="1231"/>
      <c r="G4429" s="1231"/>
      <c r="H4429" s="1231"/>
      <c r="I4429" s="1231"/>
      <c r="J4429" s="1231"/>
      <c r="K4429" s="1231"/>
      <c r="L4429" s="1232"/>
      <c r="M4429" s="54"/>
      <c r="O4429" s="336"/>
      <c r="P4429" s="334"/>
      <c r="Q4429" s="335"/>
      <c r="R4429" s="336"/>
      <c r="S4429" s="337"/>
    </row>
    <row r="4430" spans="1:19" ht="30" customHeight="1" x14ac:dyDescent="0.25">
      <c r="A4430" s="1268" t="s">
        <v>320</v>
      </c>
      <c r="B4430" s="1167"/>
      <c r="C4430" s="1168"/>
      <c r="D4430" s="1230" t="s">
        <v>2251</v>
      </c>
      <c r="E4430" s="1231"/>
      <c r="F4430" s="1231"/>
      <c r="G4430" s="1231"/>
      <c r="H4430" s="1231"/>
      <c r="I4430" s="1231"/>
      <c r="J4430" s="1231"/>
      <c r="K4430" s="1231"/>
      <c r="L4430" s="1232"/>
      <c r="M4430" s="54"/>
      <c r="N4430" s="54"/>
      <c r="O4430" s="336"/>
      <c r="P4430" s="334"/>
    </row>
    <row r="4431" spans="1:19" ht="45" customHeight="1" x14ac:dyDescent="0.25">
      <c r="A4431" s="1268" t="s">
        <v>322</v>
      </c>
      <c r="B4431" s="1167"/>
      <c r="C4431" s="1168"/>
      <c r="D4431" s="1230" t="s">
        <v>2459</v>
      </c>
      <c r="E4431" s="1231"/>
      <c r="F4431" s="1231"/>
      <c r="G4431" s="1231"/>
      <c r="H4431" s="1231"/>
      <c r="I4431" s="1231"/>
      <c r="J4431" s="1231"/>
      <c r="K4431" s="1231"/>
      <c r="L4431" s="1232"/>
      <c r="M4431" s="54"/>
      <c r="N4431" s="54"/>
      <c r="O4431" s="336"/>
      <c r="P4431" s="334"/>
    </row>
    <row r="4432" spans="1:19" ht="120" customHeight="1" thickBot="1" x14ac:dyDescent="0.3">
      <c r="A4432" s="1265" t="s">
        <v>350</v>
      </c>
      <c r="B4432" s="1266"/>
      <c r="C4432" s="1267"/>
      <c r="D4432" s="1291" t="s">
        <v>3443</v>
      </c>
      <c r="E4432" s="1292"/>
      <c r="F4432" s="1292"/>
      <c r="G4432" s="1292"/>
      <c r="H4432" s="1292"/>
      <c r="I4432" s="1292"/>
      <c r="J4432" s="1292"/>
      <c r="K4432" s="1292"/>
      <c r="L4432" s="1293"/>
      <c r="M4432" s="54"/>
      <c r="N4432" s="54"/>
      <c r="O4432" s="336"/>
      <c r="P4432" s="334"/>
    </row>
    <row r="4433" spans="1:19" ht="30" customHeight="1" thickBot="1" x14ac:dyDescent="0.3">
      <c r="A4433" s="1180"/>
      <c r="B4433" s="1181"/>
      <c r="C4433" s="1181"/>
      <c r="D4433" s="1181"/>
      <c r="E4433" s="1181"/>
      <c r="F4433" s="1181"/>
      <c r="G4433" s="1181"/>
      <c r="H4433" s="1181"/>
      <c r="I4433" s="1181"/>
      <c r="J4433" s="1181"/>
      <c r="K4433" s="1181"/>
      <c r="L4433" s="1182"/>
      <c r="M4433" s="54"/>
      <c r="N4433" s="54"/>
      <c r="P4433" s="334"/>
    </row>
    <row r="4434" spans="1:19" ht="30" customHeight="1" x14ac:dyDescent="0.25">
      <c r="A4434" s="327" t="s">
        <v>5</v>
      </c>
      <c r="B4434" s="328">
        <v>8271</v>
      </c>
      <c r="C4434" s="1218" t="s">
        <v>2460</v>
      </c>
      <c r="D4434" s="1219"/>
      <c r="E4434" s="331" t="s">
        <v>8</v>
      </c>
      <c r="F4434" s="332" t="s">
        <v>40</v>
      </c>
      <c r="G4434" s="342" t="s">
        <v>74</v>
      </c>
      <c r="H4434" s="176">
        <v>8018</v>
      </c>
      <c r="I4434" s="331" t="s">
        <v>10</v>
      </c>
      <c r="J4434" s="1220" t="s">
        <v>3388</v>
      </c>
      <c r="K4434" s="1220"/>
      <c r="L4434" s="1221"/>
      <c r="M4434" s="54"/>
      <c r="N4434" s="54"/>
      <c r="O4434" s="384"/>
      <c r="P4434" s="334"/>
    </row>
    <row r="4435" spans="1:19" ht="30" customHeight="1" x14ac:dyDescent="0.25">
      <c r="A4435" s="359" t="s">
        <v>295</v>
      </c>
      <c r="B4435" s="1222" t="s">
        <v>326</v>
      </c>
      <c r="C4435" s="1235"/>
      <c r="D4435" s="1223"/>
      <c r="E4435" s="577" t="s">
        <v>116</v>
      </c>
      <c r="F4435" s="577" t="s">
        <v>117</v>
      </c>
      <c r="G4435" s="1194" t="s">
        <v>118</v>
      </c>
      <c r="H4435" s="1195"/>
      <c r="I4435" s="356" t="s">
        <v>296</v>
      </c>
      <c r="J4435" s="356"/>
      <c r="K4435" s="581" t="s">
        <v>285</v>
      </c>
      <c r="L4435" s="382"/>
      <c r="M4435" s="54"/>
      <c r="N4435" s="54"/>
      <c r="O4435" s="384"/>
      <c r="P4435" s="334"/>
    </row>
    <row r="4436" spans="1:19" ht="30" customHeight="1" x14ac:dyDescent="0.25">
      <c r="A4436" s="365" t="s">
        <v>2440</v>
      </c>
      <c r="B4436" s="1209" t="s">
        <v>3486</v>
      </c>
      <c r="C4436" s="1210"/>
      <c r="D4436" s="1211"/>
      <c r="E4436" s="7">
        <f>+(48.75+55.5)/2</f>
        <v>52.125</v>
      </c>
      <c r="F4436" s="396" t="s">
        <v>40</v>
      </c>
      <c r="G4436" s="689"/>
      <c r="H4436" s="690"/>
      <c r="I4436" s="365">
        <v>1.06</v>
      </c>
      <c r="J4436" s="396"/>
      <c r="K4436" s="246">
        <f>+E4436*I4436</f>
        <v>55.252500000000005</v>
      </c>
      <c r="L4436" s="396" t="s">
        <v>40</v>
      </c>
      <c r="M4436" s="54"/>
      <c r="N4436" s="54"/>
      <c r="P4436" s="334"/>
    </row>
    <row r="4437" spans="1:19" ht="30" customHeight="1" x14ac:dyDescent="0.25">
      <c r="A4437" s="365" t="s">
        <v>2440</v>
      </c>
      <c r="B4437" s="1214" t="s">
        <v>2461</v>
      </c>
      <c r="C4437" s="1215"/>
      <c r="D4437" s="1216"/>
      <c r="E4437" s="7">
        <f>+(48.75+55.5)/2</f>
        <v>52.125</v>
      </c>
      <c r="F4437" s="396" t="s">
        <v>40</v>
      </c>
      <c r="G4437" s="1028"/>
      <c r="H4437" s="957"/>
      <c r="I4437" s="365">
        <v>1.06</v>
      </c>
      <c r="J4437" s="365"/>
      <c r="K4437" s="7">
        <f>+K4436</f>
        <v>55.252500000000005</v>
      </c>
      <c r="L4437" s="396" t="s">
        <v>40</v>
      </c>
      <c r="M4437" s="54"/>
      <c r="N4437" s="54"/>
      <c r="P4437" s="334"/>
    </row>
    <row r="4438" spans="1:19" ht="30" customHeight="1" x14ac:dyDescent="0.25">
      <c r="A4438" s="365" t="s">
        <v>664</v>
      </c>
      <c r="B4438" s="1214" t="s">
        <v>2462</v>
      </c>
      <c r="C4438" s="1215"/>
      <c r="D4438" s="1216"/>
      <c r="E4438" s="247">
        <f>+(2800+4700)/2</f>
        <v>3750</v>
      </c>
      <c r="F4438" s="661" t="s">
        <v>76</v>
      </c>
      <c r="G4438" s="794">
        <v>316</v>
      </c>
      <c r="H4438" s="695" t="s">
        <v>2463</v>
      </c>
      <c r="I4438" s="365">
        <v>1.06</v>
      </c>
      <c r="J4438" s="396"/>
      <c r="K4438" s="651">
        <f>+E4438/G4438*I4438</f>
        <v>12.579113924050633</v>
      </c>
      <c r="L4438" s="365" t="s">
        <v>40</v>
      </c>
      <c r="M4438" s="54"/>
      <c r="N4438" s="54"/>
      <c r="P4438" s="334"/>
    </row>
    <row r="4439" spans="1:19" ht="30" customHeight="1" x14ac:dyDescent="0.25">
      <c r="A4439" s="755"/>
      <c r="B4439" s="1269"/>
      <c r="C4439" s="1269"/>
      <c r="D4439" s="1269"/>
      <c r="E4439" s="247"/>
      <c r="F4439" s="365"/>
      <c r="G4439" s="396"/>
      <c r="H4439" s="396"/>
      <c r="I4439" s="365"/>
      <c r="J4439" s="365" t="s">
        <v>343</v>
      </c>
      <c r="K4439" s="247">
        <f>+K4436+K4437+K4438</f>
        <v>123.08411392405064</v>
      </c>
      <c r="L4439" s="365" t="s">
        <v>40</v>
      </c>
      <c r="M4439" s="54"/>
      <c r="N4439" s="54"/>
      <c r="P4439" s="334"/>
    </row>
    <row r="4440" spans="1:19" ht="30" customHeight="1" x14ac:dyDescent="0.25">
      <c r="A4440" s="365"/>
      <c r="B4440" s="578"/>
      <c r="C4440" s="578"/>
      <c r="D4440" s="578"/>
      <c r="E4440" s="247"/>
      <c r="F4440" s="1272" t="s">
        <v>303</v>
      </c>
      <c r="G4440" s="1283" t="s">
        <v>304</v>
      </c>
      <c r="H4440" s="1283"/>
      <c r="I4440" s="1283"/>
      <c r="J4440" s="1283"/>
      <c r="K4440" s="250">
        <v>1.07</v>
      </c>
      <c r="L4440" s="365"/>
      <c r="M4440" s="54"/>
      <c r="N4440" s="54"/>
      <c r="P4440" s="334"/>
      <c r="Q4440" s="335"/>
      <c r="R4440" s="336"/>
      <c r="S4440" s="337"/>
    </row>
    <row r="4441" spans="1:19" ht="30" customHeight="1" x14ac:dyDescent="0.25">
      <c r="A4441" s="365"/>
      <c r="B4441" s="578"/>
      <c r="C4441" s="578"/>
      <c r="D4441" s="578"/>
      <c r="E4441" s="247"/>
      <c r="F4441" s="1273"/>
      <c r="G4441" s="1284" t="s">
        <v>438</v>
      </c>
      <c r="H4441" s="1284"/>
      <c r="I4441" s="1284"/>
      <c r="J4441" s="1284"/>
      <c r="K4441" s="250">
        <v>1.08</v>
      </c>
      <c r="L4441" s="250"/>
      <c r="M4441" s="54"/>
      <c r="N4441" s="54"/>
      <c r="P4441" s="334"/>
      <c r="Q4441" s="335"/>
      <c r="R4441" s="336"/>
      <c r="S4441" s="337"/>
    </row>
    <row r="4442" spans="1:19" ht="30" customHeight="1" x14ac:dyDescent="0.25">
      <c r="A4442" s="365"/>
      <c r="B4442" s="365"/>
      <c r="C4442" s="366"/>
      <c r="D4442" s="366"/>
      <c r="E4442" s="366"/>
      <c r="F4442" s="366"/>
      <c r="G4442" s="366"/>
      <c r="H4442" s="366"/>
      <c r="I4442" s="366"/>
      <c r="J4442" s="365" t="s">
        <v>72</v>
      </c>
      <c r="K4442" s="246">
        <f>+K4439*K4440/K4441</f>
        <v>121.94444620253167</v>
      </c>
      <c r="L4442" s="365" t="s">
        <v>40</v>
      </c>
      <c r="M4442" s="54"/>
      <c r="N4442" s="54"/>
      <c r="O4442" s="340"/>
      <c r="P4442" s="334"/>
      <c r="Q4442" s="335"/>
      <c r="R4442" s="336"/>
      <c r="S4442" s="337"/>
    </row>
    <row r="4443" spans="1:19" ht="30" customHeight="1" x14ac:dyDescent="0.25">
      <c r="A4443" s="365"/>
      <c r="B4443" s="365"/>
      <c r="C4443" s="366"/>
      <c r="D4443" s="366"/>
      <c r="E4443" s="366"/>
      <c r="F4443" s="366"/>
      <c r="G4443" s="580" t="s">
        <v>306</v>
      </c>
      <c r="H4443" s="366"/>
      <c r="I4443" s="366"/>
      <c r="J4443" s="521">
        <f>VLOOKUP(B4434,'Mil Cost Premiums for PUCs'!$A$4:$R$277,18,FALSE)</f>
        <v>1.0905505199999999</v>
      </c>
      <c r="K4443" s="246">
        <f>+K4442*J4443</f>
        <v>132.98657921728292</v>
      </c>
      <c r="L4443" s="365" t="s">
        <v>40</v>
      </c>
      <c r="M4443" s="54"/>
      <c r="N4443" s="54"/>
      <c r="O4443" s="336"/>
      <c r="P4443" s="334"/>
      <c r="Q4443" s="335"/>
      <c r="R4443" s="336"/>
      <c r="S4443" s="337"/>
    </row>
    <row r="4444" spans="1:19" ht="30" customHeight="1" thickBot="1" x14ac:dyDescent="0.3">
      <c r="A4444" s="844"/>
      <c r="B4444" s="844"/>
      <c r="C4444" s="471"/>
      <c r="D4444" s="471"/>
      <c r="E4444" s="471"/>
      <c r="F4444" s="1278" t="s">
        <v>1148</v>
      </c>
      <c r="G4444" s="1278"/>
      <c r="H4444" s="1278"/>
      <c r="I4444" s="1278"/>
      <c r="J4444" s="987">
        <v>1.0833999999999999</v>
      </c>
      <c r="K4444" s="988">
        <f>K4443*J4444</f>
        <v>144.07765992400431</v>
      </c>
      <c r="L4444" s="365" t="s">
        <v>40</v>
      </c>
      <c r="N4444" s="54"/>
      <c r="O4444" s="340"/>
      <c r="P4444" s="334"/>
      <c r="Q4444" s="335"/>
      <c r="R4444" s="336"/>
      <c r="S4444" s="337"/>
    </row>
    <row r="4445" spans="1:19" ht="30" customHeight="1" thickBot="1" x14ac:dyDescent="0.3">
      <c r="A4445" s="1180"/>
      <c r="B4445" s="1181"/>
      <c r="C4445" s="1181"/>
      <c r="D4445" s="1181"/>
      <c r="E4445" s="1181"/>
      <c r="F4445" s="1181"/>
      <c r="G4445" s="1181"/>
      <c r="H4445" s="1181"/>
      <c r="I4445" s="1181"/>
      <c r="J4445" s="1181"/>
      <c r="K4445" s="1181"/>
      <c r="L4445" s="1182"/>
      <c r="M4445" s="54"/>
      <c r="N4445" s="54"/>
      <c r="P4445" s="334"/>
      <c r="Q4445" s="335"/>
      <c r="R4445" s="336"/>
      <c r="S4445" s="337"/>
    </row>
    <row r="4446" spans="1:19" ht="30" customHeight="1" x14ac:dyDescent="0.25">
      <c r="A4446" s="327" t="s">
        <v>5</v>
      </c>
      <c r="B4446" s="328">
        <v>8311</v>
      </c>
      <c r="C4446" s="1251" t="s">
        <v>2464</v>
      </c>
      <c r="D4446" s="1252"/>
      <c r="E4446" s="331" t="s">
        <v>8</v>
      </c>
      <c r="F4446" s="332" t="s">
        <v>2465</v>
      </c>
      <c r="G4446" s="342" t="s">
        <v>74</v>
      </c>
      <c r="H4446" s="156">
        <v>1341</v>
      </c>
      <c r="I4446" s="331" t="s">
        <v>10</v>
      </c>
      <c r="J4446" s="1220" t="s">
        <v>3388</v>
      </c>
      <c r="K4446" s="1220"/>
      <c r="L4446" s="1221"/>
      <c r="M4446" s="54"/>
      <c r="N4446" s="54"/>
      <c r="P4446" s="334"/>
      <c r="Q4446" s="335"/>
      <c r="R4446" s="336"/>
      <c r="S4446" s="337"/>
    </row>
    <row r="4447" spans="1:19" ht="30" customHeight="1" x14ac:dyDescent="0.25">
      <c r="A4447" s="359" t="s">
        <v>295</v>
      </c>
      <c r="B4447" s="1222" t="s">
        <v>326</v>
      </c>
      <c r="C4447" s="1235"/>
      <c r="D4447" s="1223"/>
      <c r="E4447" s="577" t="s">
        <v>116</v>
      </c>
      <c r="F4447" s="577" t="s">
        <v>117</v>
      </c>
      <c r="G4447" s="1194" t="s">
        <v>118</v>
      </c>
      <c r="H4447" s="1195"/>
      <c r="I4447" s="356" t="s">
        <v>296</v>
      </c>
      <c r="J4447" s="356" t="s">
        <v>284</v>
      </c>
      <c r="K4447" s="581" t="s">
        <v>285</v>
      </c>
      <c r="L4447" s="382"/>
      <c r="M4447" s="54"/>
      <c r="N4447" s="54"/>
      <c r="P4447" s="334"/>
      <c r="Q4447" s="335"/>
      <c r="R4447" s="336"/>
      <c r="S4447" s="337"/>
    </row>
    <row r="4448" spans="1:19" ht="30" customHeight="1" x14ac:dyDescent="0.25">
      <c r="A4448" s="365" t="s">
        <v>1386</v>
      </c>
      <c r="B4448" s="1209" t="s">
        <v>2466</v>
      </c>
      <c r="C4448" s="1210"/>
      <c r="D4448" s="1211"/>
      <c r="E4448" s="7">
        <f>+(4.11+8.55)/2</f>
        <v>6.33</v>
      </c>
      <c r="F4448" s="396" t="s">
        <v>214</v>
      </c>
      <c r="G4448" s="689">
        <v>1000</v>
      </c>
      <c r="H4448" s="690" t="s">
        <v>2467</v>
      </c>
      <c r="I4448" s="365">
        <v>1.05</v>
      </c>
      <c r="J4448" s="933">
        <v>1.2075</v>
      </c>
      <c r="K4448" s="246">
        <f>+E4448*G4448*I4448*J4448</f>
        <v>8025.6487500000003</v>
      </c>
      <c r="L4448" s="396" t="s">
        <v>2465</v>
      </c>
      <c r="M4448" s="54"/>
      <c r="N4448" s="54"/>
      <c r="O4448" s="336"/>
      <c r="P4448" s="334"/>
      <c r="Q4448" s="335"/>
      <c r="R4448" s="336"/>
      <c r="S4448" s="337"/>
    </row>
    <row r="4449" spans="1:19" ht="30" customHeight="1" x14ac:dyDescent="0.25">
      <c r="A4449" s="365"/>
      <c r="B4449" s="578"/>
      <c r="C4449" s="578"/>
      <c r="D4449" s="578"/>
      <c r="E4449" s="247"/>
      <c r="F4449" s="1272" t="s">
        <v>303</v>
      </c>
      <c r="G4449" s="1283" t="s">
        <v>304</v>
      </c>
      <c r="H4449" s="1283"/>
      <c r="I4449" s="1283"/>
      <c r="J4449" s="1283"/>
      <c r="K4449" s="250">
        <v>1.07</v>
      </c>
      <c r="L4449" s="365"/>
      <c r="M4449" s="54"/>
      <c r="N4449" s="54"/>
      <c r="O4449" s="336"/>
      <c r="P4449" s="334"/>
      <c r="Q4449" s="335"/>
      <c r="R4449" s="336"/>
      <c r="S4449" s="337"/>
    </row>
    <row r="4450" spans="1:19" ht="30" customHeight="1" x14ac:dyDescent="0.25">
      <c r="A4450" s="365"/>
      <c r="B4450" s="578"/>
      <c r="C4450" s="578"/>
      <c r="D4450" s="578"/>
      <c r="E4450" s="247"/>
      <c r="F4450" s="1273"/>
      <c r="G4450" s="1284" t="s">
        <v>438</v>
      </c>
      <c r="H4450" s="1284"/>
      <c r="I4450" s="1284"/>
      <c r="J4450" s="1284"/>
      <c r="K4450" s="250">
        <v>1.08</v>
      </c>
      <c r="L4450" s="365"/>
      <c r="M4450" s="54"/>
      <c r="N4450" s="54"/>
      <c r="O4450" s="336"/>
      <c r="P4450" s="334"/>
      <c r="Q4450" s="335"/>
      <c r="R4450" s="336"/>
      <c r="S4450" s="337"/>
    </row>
    <row r="4451" spans="1:19" ht="30" customHeight="1" x14ac:dyDescent="0.25">
      <c r="A4451" s="365"/>
      <c r="B4451" s="561"/>
      <c r="C4451" s="562"/>
      <c r="D4451" s="563"/>
      <c r="E4451" s="7"/>
      <c r="F4451" s="396"/>
      <c r="G4451" s="1027"/>
      <c r="H4451" s="690"/>
      <c r="I4451" s="365"/>
      <c r="J4451" s="365" t="s">
        <v>72</v>
      </c>
      <c r="K4451" s="246">
        <f>+K4448*K4449/K4450</f>
        <v>7951.3371874999993</v>
      </c>
      <c r="L4451" s="365" t="s">
        <v>2465</v>
      </c>
      <c r="M4451" s="54"/>
      <c r="N4451" s="54"/>
      <c r="O4451" s="336"/>
      <c r="P4451" s="334"/>
      <c r="Q4451" s="335"/>
      <c r="R4451" s="336"/>
      <c r="S4451" s="337"/>
    </row>
    <row r="4452" spans="1:19" ht="30" customHeight="1" x14ac:dyDescent="0.25">
      <c r="A4452" s="569"/>
      <c r="B4452" s="1014"/>
      <c r="C4452" s="1014"/>
      <c r="D4452" s="1014"/>
      <c r="E4452" s="14"/>
      <c r="G4452" s="1029"/>
      <c r="I4452" s="877" t="s">
        <v>306</v>
      </c>
      <c r="J4452" s="521">
        <f>VLOOKUP(B4446,'Mil Cost Premiums for PUCs'!$A$4:$R$277,18,FALSE)</f>
        <v>1.1199953840399997</v>
      </c>
      <c r="K4452" s="246">
        <f>+K4451*J4452</f>
        <v>8905.4609469455918</v>
      </c>
      <c r="L4452" s="365" t="s">
        <v>2465</v>
      </c>
      <c r="M4452" s="54"/>
      <c r="N4452" s="54"/>
      <c r="O4452" s="336"/>
      <c r="P4452" s="334"/>
      <c r="Q4452" s="335"/>
      <c r="R4452" s="336"/>
      <c r="S4452" s="337"/>
    </row>
    <row r="4453" spans="1:19" ht="75" customHeight="1" x14ac:dyDescent="0.25">
      <c r="A4453" s="1230" t="s">
        <v>307</v>
      </c>
      <c r="B4453" s="1231"/>
      <c r="C4453" s="1231"/>
      <c r="D4453" s="1231"/>
      <c r="E4453" s="1231"/>
      <c r="F4453" s="1231"/>
      <c r="G4453" s="1231"/>
      <c r="H4453" s="1231"/>
      <c r="I4453" s="1231"/>
      <c r="J4453" s="1231"/>
      <c r="K4453" s="1231"/>
      <c r="L4453" s="1232"/>
      <c r="M4453" s="54"/>
      <c r="N4453" s="54"/>
      <c r="O4453" s="336"/>
      <c r="P4453" s="334"/>
      <c r="Q4453" s="335"/>
      <c r="R4453" s="336"/>
      <c r="S4453" s="337"/>
    </row>
    <row r="4454" spans="1:19" ht="30" customHeight="1" x14ac:dyDescent="0.25">
      <c r="A4454" s="1268" t="s">
        <v>308</v>
      </c>
      <c r="B4454" s="1167"/>
      <c r="C4454" s="1168"/>
      <c r="D4454" s="1230" t="s">
        <v>2468</v>
      </c>
      <c r="E4454" s="1231"/>
      <c r="F4454" s="1231"/>
      <c r="G4454" s="1231"/>
      <c r="H4454" s="1231"/>
      <c r="I4454" s="1231"/>
      <c r="J4454" s="1231"/>
      <c r="K4454" s="1231"/>
      <c r="L4454" s="1232"/>
      <c r="M4454" s="54"/>
      <c r="N4454" s="111"/>
      <c r="O4454" s="336"/>
      <c r="P4454" s="334"/>
      <c r="Q4454" s="335"/>
      <c r="R4454" s="336"/>
      <c r="S4454" s="337"/>
    </row>
    <row r="4455" spans="1:19" ht="30" customHeight="1" x14ac:dyDescent="0.25">
      <c r="A4455" s="1268" t="s">
        <v>310</v>
      </c>
      <c r="B4455" s="1167"/>
      <c r="C4455" s="1168"/>
      <c r="D4455" s="1230" t="s">
        <v>3446</v>
      </c>
      <c r="E4455" s="1231"/>
      <c r="F4455" s="1231"/>
      <c r="G4455" s="1231"/>
      <c r="H4455" s="1231"/>
      <c r="I4455" s="1231"/>
      <c r="J4455" s="1231"/>
      <c r="K4455" s="1231"/>
      <c r="L4455" s="1232"/>
      <c r="M4455" s="54"/>
      <c r="N4455" s="54"/>
      <c r="O4455" s="336"/>
      <c r="P4455" s="334"/>
      <c r="Q4455" s="335"/>
      <c r="R4455" s="336"/>
      <c r="S4455" s="337"/>
    </row>
    <row r="4456" spans="1:19" ht="30" customHeight="1" x14ac:dyDescent="0.25">
      <c r="A4456" s="1268" t="s">
        <v>312</v>
      </c>
      <c r="B4456" s="1167"/>
      <c r="C4456" s="1168"/>
      <c r="D4456" s="1230" t="s">
        <v>3444</v>
      </c>
      <c r="E4456" s="1231"/>
      <c r="F4456" s="1231"/>
      <c r="G4456" s="1231"/>
      <c r="H4456" s="1231"/>
      <c r="I4456" s="1231"/>
      <c r="J4456" s="1231"/>
      <c r="K4456" s="1231"/>
      <c r="L4456" s="1232"/>
      <c r="M4456" s="54"/>
      <c r="N4456" s="54"/>
      <c r="O4456" s="336"/>
      <c r="P4456" s="334"/>
      <c r="Q4456" s="335"/>
      <c r="R4456" s="336"/>
      <c r="S4456" s="337"/>
    </row>
    <row r="4457" spans="1:19" ht="30" customHeight="1" x14ac:dyDescent="0.25">
      <c r="A4457" s="1268" t="s">
        <v>314</v>
      </c>
      <c r="B4457" s="1167"/>
      <c r="C4457" s="1168"/>
      <c r="D4457" s="1230" t="s">
        <v>2469</v>
      </c>
      <c r="E4457" s="1231"/>
      <c r="F4457" s="1231"/>
      <c r="G4457" s="1231"/>
      <c r="H4457" s="1231"/>
      <c r="I4457" s="1231"/>
      <c r="J4457" s="1231"/>
      <c r="K4457" s="1231"/>
      <c r="L4457" s="1232"/>
      <c r="M4457" s="54"/>
      <c r="N4457" s="54"/>
      <c r="O4457" s="336"/>
      <c r="P4457" s="334"/>
      <c r="Q4457" s="335"/>
      <c r="R4457" s="336"/>
      <c r="S4457" s="337"/>
    </row>
    <row r="4458" spans="1:19" ht="30" customHeight="1" x14ac:dyDescent="0.25">
      <c r="A4458" s="1268" t="s">
        <v>316</v>
      </c>
      <c r="B4458" s="1167"/>
      <c r="C4458" s="1168"/>
      <c r="D4458" s="1230" t="s">
        <v>2411</v>
      </c>
      <c r="E4458" s="1231"/>
      <c r="F4458" s="1231"/>
      <c r="G4458" s="1231"/>
      <c r="H4458" s="1231"/>
      <c r="I4458" s="1231"/>
      <c r="J4458" s="1231"/>
      <c r="K4458" s="1231"/>
      <c r="L4458" s="1232"/>
      <c r="M4458" s="54"/>
      <c r="N4458" s="54"/>
      <c r="O4458" s="336"/>
      <c r="P4458" s="334"/>
      <c r="Q4458" s="335"/>
      <c r="R4458" s="336"/>
      <c r="S4458" s="337"/>
    </row>
    <row r="4459" spans="1:19" ht="30" customHeight="1" x14ac:dyDescent="0.25">
      <c r="A4459" s="1268" t="s">
        <v>318</v>
      </c>
      <c r="B4459" s="1167"/>
      <c r="C4459" s="1168"/>
      <c r="D4459" s="1230" t="s">
        <v>716</v>
      </c>
      <c r="E4459" s="1231"/>
      <c r="F4459" s="1231"/>
      <c r="G4459" s="1231"/>
      <c r="H4459" s="1231"/>
      <c r="I4459" s="1231"/>
      <c r="J4459" s="1231"/>
      <c r="K4459" s="1231"/>
      <c r="L4459" s="1232"/>
      <c r="M4459" s="54"/>
      <c r="N4459" s="54"/>
      <c r="O4459" s="336"/>
      <c r="P4459" s="334"/>
      <c r="Q4459" s="335"/>
      <c r="R4459" s="336"/>
      <c r="S4459" s="337"/>
    </row>
    <row r="4460" spans="1:19" ht="30" customHeight="1" x14ac:dyDescent="0.25">
      <c r="A4460" s="1268" t="s">
        <v>320</v>
      </c>
      <c r="B4460" s="1167"/>
      <c r="C4460" s="1168"/>
      <c r="D4460" s="1230" t="s">
        <v>2250</v>
      </c>
      <c r="E4460" s="1231"/>
      <c r="F4460" s="1231"/>
      <c r="G4460" s="1231"/>
      <c r="H4460" s="1231"/>
      <c r="I4460" s="1231"/>
      <c r="J4460" s="1231"/>
      <c r="K4460" s="1231"/>
      <c r="L4460" s="1232"/>
      <c r="M4460" s="54"/>
      <c r="N4460" s="111"/>
      <c r="O4460" s="336"/>
      <c r="P4460" s="334"/>
      <c r="Q4460" s="335"/>
      <c r="R4460" s="336"/>
      <c r="S4460" s="337"/>
    </row>
    <row r="4461" spans="1:19" ht="60" customHeight="1" x14ac:dyDescent="0.25">
      <c r="A4461" s="1268" t="s">
        <v>322</v>
      </c>
      <c r="B4461" s="1167"/>
      <c r="C4461" s="1168"/>
      <c r="D4461" s="1230" t="s">
        <v>2470</v>
      </c>
      <c r="E4461" s="1231"/>
      <c r="F4461" s="1231"/>
      <c r="G4461" s="1231"/>
      <c r="H4461" s="1231"/>
      <c r="I4461" s="1231"/>
      <c r="J4461" s="1231"/>
      <c r="K4461" s="1231"/>
      <c r="L4461" s="1232"/>
      <c r="M4461" s="54"/>
      <c r="N4461" s="54"/>
      <c r="O4461" s="336"/>
      <c r="P4461" s="334"/>
      <c r="Q4461" s="335"/>
      <c r="R4461" s="336"/>
      <c r="S4461" s="337"/>
    </row>
    <row r="4462" spans="1:19" ht="105" customHeight="1" thickBot="1" x14ac:dyDescent="0.3">
      <c r="A4462" s="1265" t="s">
        <v>350</v>
      </c>
      <c r="B4462" s="1266"/>
      <c r="C4462" s="1267"/>
      <c r="D4462" s="1291" t="s">
        <v>3445</v>
      </c>
      <c r="E4462" s="1292"/>
      <c r="F4462" s="1292"/>
      <c r="G4462" s="1292"/>
      <c r="H4462" s="1292"/>
      <c r="I4462" s="1292"/>
      <c r="J4462" s="1292"/>
      <c r="K4462" s="1292"/>
      <c r="L4462" s="1293"/>
      <c r="M4462" s="54"/>
      <c r="N4462" s="54"/>
      <c r="O4462" s="336"/>
      <c r="P4462" s="334"/>
      <c r="Q4462" s="335"/>
      <c r="R4462" s="336"/>
      <c r="S4462" s="337"/>
    </row>
    <row r="4463" spans="1:19" ht="30" customHeight="1" thickBot="1" x14ac:dyDescent="0.3">
      <c r="A4463" s="1180"/>
      <c r="B4463" s="1181"/>
      <c r="C4463" s="1181"/>
      <c r="D4463" s="1181"/>
      <c r="E4463" s="1181"/>
      <c r="F4463" s="1181"/>
      <c r="G4463" s="1181"/>
      <c r="H4463" s="1181"/>
      <c r="I4463" s="1181"/>
      <c r="J4463" s="1181"/>
      <c r="K4463" s="1181"/>
      <c r="L4463" s="1182"/>
      <c r="M4463" s="54"/>
      <c r="N4463" s="54"/>
      <c r="O4463" s="336"/>
      <c r="P4463" s="334"/>
      <c r="Q4463" s="335"/>
      <c r="R4463" s="336"/>
      <c r="S4463" s="337"/>
    </row>
    <row r="4464" spans="1:19" ht="30" customHeight="1" x14ac:dyDescent="0.25">
      <c r="A4464" s="327" t="s">
        <v>5</v>
      </c>
      <c r="B4464" s="328">
        <v>8312</v>
      </c>
      <c r="C4464" s="1251" t="s">
        <v>2471</v>
      </c>
      <c r="D4464" s="1252"/>
      <c r="E4464" s="331" t="s">
        <v>8</v>
      </c>
      <c r="F4464" s="332" t="s">
        <v>2465</v>
      </c>
      <c r="G4464" s="342" t="s">
        <v>74</v>
      </c>
      <c r="H4464" s="156">
        <v>494</v>
      </c>
      <c r="I4464" s="331" t="s">
        <v>10</v>
      </c>
      <c r="J4464" s="1220" t="s">
        <v>1384</v>
      </c>
      <c r="K4464" s="1220"/>
      <c r="L4464" s="1221"/>
      <c r="M4464" s="54"/>
      <c r="O4464" s="336"/>
      <c r="P4464" s="334"/>
      <c r="Q4464" s="335"/>
      <c r="R4464" s="336"/>
      <c r="S4464" s="337"/>
    </row>
    <row r="4465" spans="1:19" ht="30" customHeight="1" x14ac:dyDescent="0.25">
      <c r="A4465" s="359" t="s">
        <v>295</v>
      </c>
      <c r="B4465" s="1222" t="s">
        <v>326</v>
      </c>
      <c r="C4465" s="1235"/>
      <c r="D4465" s="1223"/>
      <c r="E4465" s="577" t="s">
        <v>116</v>
      </c>
      <c r="F4465" s="577" t="s">
        <v>117</v>
      </c>
      <c r="G4465" s="1194" t="s">
        <v>118</v>
      </c>
      <c r="H4465" s="1195"/>
      <c r="I4465" s="356" t="s">
        <v>296</v>
      </c>
      <c r="J4465" s="356" t="s">
        <v>284</v>
      </c>
      <c r="K4465" s="581" t="s">
        <v>285</v>
      </c>
      <c r="L4465" s="382"/>
      <c r="M4465" s="54"/>
      <c r="N4465" s="54"/>
      <c r="O4465" s="384"/>
      <c r="P4465" s="334"/>
      <c r="Q4465" s="335"/>
      <c r="R4465" s="336"/>
      <c r="S4465" s="337"/>
    </row>
    <row r="4466" spans="1:19" ht="30" customHeight="1" x14ac:dyDescent="0.25">
      <c r="A4466" s="365" t="s">
        <v>1386</v>
      </c>
      <c r="B4466" s="1209" t="s">
        <v>2472</v>
      </c>
      <c r="C4466" s="1210"/>
      <c r="D4466" s="1211"/>
      <c r="E4466" s="7">
        <f>+(4.11+8.55)/2</f>
        <v>6.33</v>
      </c>
      <c r="F4466" s="396" t="s">
        <v>214</v>
      </c>
      <c r="G4466" s="689">
        <v>1000</v>
      </c>
      <c r="H4466" s="690" t="s">
        <v>2467</v>
      </c>
      <c r="I4466" s="365">
        <v>1.05</v>
      </c>
      <c r="J4466" s="933">
        <v>1.2075</v>
      </c>
      <c r="K4466" s="246">
        <f>+E4466*G4466*I4466*J4466</f>
        <v>8025.6487500000003</v>
      </c>
      <c r="L4466" s="396" t="s">
        <v>2465</v>
      </c>
      <c r="M4466" s="54"/>
      <c r="N4466" s="54"/>
      <c r="O4466" s="384"/>
      <c r="P4466" s="334"/>
      <c r="Q4466" s="335"/>
      <c r="R4466" s="336"/>
      <c r="S4466" s="337"/>
    </row>
    <row r="4467" spans="1:19" ht="30" customHeight="1" x14ac:dyDescent="0.25">
      <c r="A4467" s="365"/>
      <c r="B4467" s="578"/>
      <c r="C4467" s="578"/>
      <c r="D4467" s="578"/>
      <c r="E4467" s="247"/>
      <c r="F4467" s="1272" t="s">
        <v>303</v>
      </c>
      <c r="G4467" s="1283" t="s">
        <v>304</v>
      </c>
      <c r="H4467" s="1283"/>
      <c r="I4467" s="1283"/>
      <c r="J4467" s="1283"/>
      <c r="K4467" s="250">
        <v>1.07</v>
      </c>
      <c r="L4467" s="365"/>
      <c r="M4467" s="54"/>
      <c r="N4467" s="54"/>
      <c r="O4467" s="336"/>
      <c r="P4467" s="334"/>
      <c r="Q4467" s="335"/>
      <c r="R4467" s="336"/>
      <c r="S4467" s="337"/>
    </row>
    <row r="4468" spans="1:19" ht="30" customHeight="1" x14ac:dyDescent="0.25">
      <c r="A4468" s="365"/>
      <c r="B4468" s="578"/>
      <c r="C4468" s="578"/>
      <c r="D4468" s="578"/>
      <c r="E4468" s="247"/>
      <c r="F4468" s="1273"/>
      <c r="G4468" s="1284" t="s">
        <v>438</v>
      </c>
      <c r="H4468" s="1284"/>
      <c r="I4468" s="1284"/>
      <c r="J4468" s="1284"/>
      <c r="K4468" s="250">
        <v>1.08</v>
      </c>
      <c r="L4468" s="365"/>
      <c r="M4468" s="54"/>
      <c r="N4468" s="54"/>
      <c r="O4468" s="336"/>
      <c r="P4468" s="334"/>
      <c r="Q4468" s="335"/>
      <c r="R4468" s="336"/>
      <c r="S4468" s="337"/>
    </row>
    <row r="4469" spans="1:19" ht="30" customHeight="1" x14ac:dyDescent="0.25">
      <c r="A4469" s="365"/>
      <c r="B4469" s="1113"/>
      <c r="C4469" s="1113"/>
      <c r="D4469" s="1113"/>
      <c r="E4469" s="7"/>
      <c r="F4469" s="396"/>
      <c r="G4469" s="1027"/>
      <c r="H4469" s="690"/>
      <c r="I4469" s="365"/>
      <c r="J4469" s="365" t="s">
        <v>72</v>
      </c>
      <c r="K4469" s="246">
        <f>+K4466*K4467/K4468</f>
        <v>7951.3371874999993</v>
      </c>
      <c r="L4469" s="365" t="s">
        <v>2465</v>
      </c>
      <c r="M4469" s="111"/>
      <c r="N4469" s="54"/>
      <c r="O4469" s="336"/>
      <c r="P4469" s="334"/>
      <c r="Q4469" s="335"/>
      <c r="R4469" s="336"/>
      <c r="S4469" s="337"/>
    </row>
    <row r="4470" spans="1:19" ht="30" customHeight="1" thickBot="1" x14ac:dyDescent="0.3">
      <c r="A4470" s="365"/>
      <c r="B4470" s="365"/>
      <c r="C4470" s="366"/>
      <c r="D4470" s="366"/>
      <c r="E4470" s="366"/>
      <c r="F4470" s="366"/>
      <c r="G4470" s="580" t="s">
        <v>306</v>
      </c>
      <c r="H4470" s="366"/>
      <c r="I4470" s="366"/>
      <c r="J4470" s="521">
        <f>VLOOKUP(B4464,'Mil Cost Premiums for PUCs'!$A$4:$R$277,18,FALSE)</f>
        <v>1.1199953840399997</v>
      </c>
      <c r="K4470" s="246">
        <f>+K4469*J4470</f>
        <v>8905.4609469455918</v>
      </c>
      <c r="L4470" s="365" t="s">
        <v>2465</v>
      </c>
      <c r="M4470" s="54"/>
      <c r="N4470" s="54"/>
      <c r="O4470" s="336"/>
      <c r="P4470" s="334"/>
      <c r="Q4470" s="335"/>
      <c r="R4470" s="336"/>
      <c r="S4470" s="337"/>
    </row>
    <row r="4471" spans="1:19" ht="30" customHeight="1" thickBot="1" x14ac:dyDescent="0.3">
      <c r="A4471" s="1180"/>
      <c r="B4471" s="1181"/>
      <c r="C4471" s="1181"/>
      <c r="D4471" s="1181"/>
      <c r="E4471" s="1181"/>
      <c r="F4471" s="1181"/>
      <c r="G4471" s="1181"/>
      <c r="H4471" s="1181"/>
      <c r="I4471" s="1181"/>
      <c r="J4471" s="1181"/>
      <c r="K4471" s="1181"/>
      <c r="L4471" s="1182"/>
      <c r="M4471" s="54"/>
      <c r="N4471" s="54"/>
      <c r="O4471" s="336"/>
      <c r="P4471" s="334"/>
      <c r="Q4471" s="335"/>
      <c r="R4471" s="336"/>
      <c r="S4471" s="337"/>
    </row>
    <row r="4472" spans="1:19" ht="30" customHeight="1" x14ac:dyDescent="0.25">
      <c r="A4472" s="327" t="s">
        <v>5</v>
      </c>
      <c r="B4472" s="328">
        <v>8313</v>
      </c>
      <c r="C4472" s="1251" t="s">
        <v>2473</v>
      </c>
      <c r="D4472" s="1252"/>
      <c r="E4472" s="331" t="s">
        <v>8</v>
      </c>
      <c r="F4472" s="332" t="s">
        <v>2465</v>
      </c>
      <c r="G4472" s="342" t="s">
        <v>74</v>
      </c>
      <c r="H4472" s="156">
        <v>406</v>
      </c>
      <c r="I4472" s="331" t="s">
        <v>10</v>
      </c>
      <c r="J4472" s="1220" t="s">
        <v>3388</v>
      </c>
      <c r="K4472" s="1220"/>
      <c r="L4472" s="1221"/>
      <c r="M4472" s="54"/>
      <c r="N4472" s="54"/>
      <c r="O4472" s="336"/>
      <c r="P4472" s="334"/>
      <c r="Q4472" s="335"/>
      <c r="R4472" s="336"/>
      <c r="S4472" s="337"/>
    </row>
    <row r="4473" spans="1:19" ht="30" customHeight="1" x14ac:dyDescent="0.25">
      <c r="A4473" s="359" t="s">
        <v>295</v>
      </c>
      <c r="B4473" s="1222" t="s">
        <v>326</v>
      </c>
      <c r="C4473" s="1235"/>
      <c r="D4473" s="1223"/>
      <c r="E4473" s="577" t="s">
        <v>116</v>
      </c>
      <c r="F4473" s="577" t="s">
        <v>117</v>
      </c>
      <c r="G4473" s="1194" t="s">
        <v>118</v>
      </c>
      <c r="H4473" s="1195"/>
      <c r="I4473" s="356" t="s">
        <v>296</v>
      </c>
      <c r="J4473" s="356"/>
      <c r="K4473" s="581" t="s">
        <v>285</v>
      </c>
      <c r="L4473" s="382"/>
      <c r="M4473" s="54"/>
      <c r="N4473" s="54"/>
      <c r="O4473" s="336"/>
      <c r="P4473" s="334"/>
      <c r="Q4473" s="335"/>
      <c r="R4473" s="336"/>
      <c r="S4473" s="337"/>
    </row>
    <row r="4474" spans="1:19" ht="30" customHeight="1" x14ac:dyDescent="0.25">
      <c r="A4474" s="365" t="s">
        <v>2474</v>
      </c>
      <c r="B4474" s="1209" t="s">
        <v>2475</v>
      </c>
      <c r="C4474" s="1210"/>
      <c r="D4474" s="1211"/>
      <c r="E4474" s="7">
        <v>15500</v>
      </c>
      <c r="F4474" s="396" t="s">
        <v>76</v>
      </c>
      <c r="G4474" s="1030">
        <f>+H4472</f>
        <v>406</v>
      </c>
      <c r="H4474" s="690" t="s">
        <v>2476</v>
      </c>
      <c r="I4474" s="706">
        <v>1.03</v>
      </c>
      <c r="J4474" s="396"/>
      <c r="K4474" s="246">
        <f>+E4474/G4474*I4474</f>
        <v>39.322660098522164</v>
      </c>
      <c r="L4474" s="396" t="s">
        <v>2465</v>
      </c>
      <c r="M4474" s="54"/>
      <c r="N4474" s="54"/>
      <c r="O4474" s="336"/>
      <c r="P4474" s="334"/>
      <c r="Q4474" s="335"/>
      <c r="R4474" s="336"/>
      <c r="S4474" s="337"/>
    </row>
    <row r="4475" spans="1:19" ht="30" customHeight="1" x14ac:dyDescent="0.25">
      <c r="A4475" s="365"/>
      <c r="B4475" s="578"/>
      <c r="C4475" s="578"/>
      <c r="D4475" s="578"/>
      <c r="E4475" s="247"/>
      <c r="F4475" s="1272" t="s">
        <v>303</v>
      </c>
      <c r="G4475" s="1283" t="s">
        <v>304</v>
      </c>
      <c r="H4475" s="1283"/>
      <c r="I4475" s="1283"/>
      <c r="J4475" s="1283"/>
      <c r="K4475" s="250">
        <v>1.07</v>
      </c>
      <c r="L4475" s="365"/>
      <c r="M4475" s="111"/>
      <c r="N4475" s="54"/>
      <c r="O4475" s="336"/>
      <c r="P4475" s="334"/>
      <c r="Q4475" s="335"/>
      <c r="R4475" s="336"/>
      <c r="S4475" s="337"/>
    </row>
    <row r="4476" spans="1:19" ht="30" customHeight="1" x14ac:dyDescent="0.25">
      <c r="A4476" s="365"/>
      <c r="B4476" s="578"/>
      <c r="C4476" s="578"/>
      <c r="D4476" s="578"/>
      <c r="E4476" s="247"/>
      <c r="F4476" s="1273"/>
      <c r="G4476" s="1284" t="s">
        <v>438</v>
      </c>
      <c r="H4476" s="1284"/>
      <c r="I4476" s="1284"/>
      <c r="J4476" s="1284"/>
      <c r="K4476" s="250">
        <v>1.08</v>
      </c>
      <c r="L4476" s="365"/>
      <c r="M4476" s="54"/>
      <c r="O4476" s="336"/>
      <c r="P4476" s="334"/>
      <c r="Q4476" s="335"/>
      <c r="R4476" s="336"/>
      <c r="S4476" s="337"/>
    </row>
    <row r="4477" spans="1:19" ht="30" customHeight="1" x14ac:dyDescent="0.25">
      <c r="A4477" s="365"/>
      <c r="B4477" s="561"/>
      <c r="C4477" s="562"/>
      <c r="D4477" s="563"/>
      <c r="E4477" s="7"/>
      <c r="F4477" s="396"/>
      <c r="G4477" s="1027"/>
      <c r="H4477" s="690"/>
      <c r="I4477" s="365"/>
      <c r="J4477" s="365" t="s">
        <v>72</v>
      </c>
      <c r="K4477" s="246">
        <f>+K4474*K4475/K4476</f>
        <v>38.958561393906216</v>
      </c>
      <c r="L4477" s="365" t="s">
        <v>2465</v>
      </c>
      <c r="M4477" s="54"/>
      <c r="N4477" s="54"/>
      <c r="O4477" s="336"/>
      <c r="P4477" s="334"/>
      <c r="Q4477" s="335"/>
      <c r="R4477" s="336"/>
      <c r="S4477" s="337"/>
    </row>
    <row r="4478" spans="1:19" ht="30" customHeight="1" x14ac:dyDescent="0.25">
      <c r="A4478" s="365"/>
      <c r="B4478" s="365"/>
      <c r="C4478" s="366"/>
      <c r="D4478" s="366"/>
      <c r="E4478" s="366"/>
      <c r="F4478" s="366"/>
      <c r="G4478" s="580" t="s">
        <v>306</v>
      </c>
      <c r="H4478" s="366"/>
      <c r="I4478" s="366"/>
      <c r="J4478" s="521">
        <f>VLOOKUP(B4472,'Mil Cost Premiums for PUCs'!$A$4:$R$277,18,FALSE)</f>
        <v>1.1199953840399997</v>
      </c>
      <c r="K4478" s="246">
        <f>+K4477*J4478</f>
        <v>43.633408930013893</v>
      </c>
      <c r="L4478" s="365" t="s">
        <v>2465</v>
      </c>
      <c r="M4478" s="54"/>
      <c r="N4478" s="54"/>
      <c r="O4478" s="336"/>
      <c r="P4478" s="334"/>
      <c r="Q4478" s="335"/>
      <c r="R4478" s="336"/>
      <c r="S4478" s="337"/>
    </row>
    <row r="4479" spans="1:19" ht="30" customHeight="1" thickBot="1" x14ac:dyDescent="0.3">
      <c r="A4479" s="844"/>
      <c r="B4479" s="844"/>
      <c r="C4479" s="471"/>
      <c r="D4479" s="471"/>
      <c r="E4479" s="471"/>
      <c r="F4479" s="1278" t="s">
        <v>1148</v>
      </c>
      <c r="G4479" s="1278"/>
      <c r="H4479" s="1278"/>
      <c r="I4479" s="1278"/>
      <c r="J4479" s="987">
        <v>1.0833999999999999</v>
      </c>
      <c r="K4479" s="988">
        <f>K4478*J4479</f>
        <v>47.272435234777049</v>
      </c>
      <c r="L4479" s="365" t="s">
        <v>2465</v>
      </c>
      <c r="N4479" s="54"/>
      <c r="O4479" s="336"/>
      <c r="P4479" s="334"/>
      <c r="Q4479" s="335"/>
      <c r="R4479" s="336"/>
      <c r="S4479" s="337"/>
    </row>
    <row r="4480" spans="1:19" ht="30" customHeight="1" thickBot="1" x14ac:dyDescent="0.3">
      <c r="A4480" s="1180"/>
      <c r="B4480" s="1181"/>
      <c r="C4480" s="1181"/>
      <c r="D4480" s="1181"/>
      <c r="E4480" s="1181"/>
      <c r="F4480" s="1181"/>
      <c r="G4480" s="1181"/>
      <c r="H4480" s="1181"/>
      <c r="I4480" s="1181"/>
      <c r="J4480" s="1181"/>
      <c r="K4480" s="1181"/>
      <c r="L4480" s="1182"/>
      <c r="M4480" s="54"/>
      <c r="N4480" s="54"/>
      <c r="O4480" s="336"/>
      <c r="P4480" s="334"/>
      <c r="Q4480" s="335"/>
      <c r="R4480" s="336"/>
      <c r="S4480" s="337"/>
    </row>
    <row r="4481" spans="1:19" ht="30" customHeight="1" x14ac:dyDescent="0.25">
      <c r="A4481" s="327" t="s">
        <v>5</v>
      </c>
      <c r="B4481" s="328">
        <v>8314</v>
      </c>
      <c r="C4481" s="1251" t="s">
        <v>2477</v>
      </c>
      <c r="D4481" s="1252"/>
      <c r="E4481" s="331" t="s">
        <v>8</v>
      </c>
      <c r="F4481" s="332" t="s">
        <v>214</v>
      </c>
      <c r="G4481" s="342" t="s">
        <v>74</v>
      </c>
      <c r="H4481" s="156">
        <v>11392</v>
      </c>
      <c r="I4481" s="331" t="s">
        <v>10</v>
      </c>
      <c r="J4481" s="1220" t="s">
        <v>3388</v>
      </c>
      <c r="K4481" s="1220"/>
      <c r="L4481" s="1221"/>
      <c r="M4481" s="54"/>
      <c r="N4481" s="54"/>
      <c r="O4481" s="336"/>
      <c r="P4481" s="334"/>
      <c r="Q4481" s="335"/>
      <c r="R4481" s="336"/>
      <c r="S4481" s="337"/>
    </row>
    <row r="4482" spans="1:19" ht="30" customHeight="1" x14ac:dyDescent="0.25">
      <c r="A4482" s="359" t="s">
        <v>295</v>
      </c>
      <c r="B4482" s="1222" t="s">
        <v>326</v>
      </c>
      <c r="C4482" s="1235"/>
      <c r="D4482" s="1223"/>
      <c r="E4482" s="577" t="s">
        <v>116</v>
      </c>
      <c r="F4482" s="577" t="s">
        <v>117</v>
      </c>
      <c r="G4482" s="1194" t="s">
        <v>118</v>
      </c>
      <c r="H4482" s="1195"/>
      <c r="I4482" s="356" t="s">
        <v>296</v>
      </c>
      <c r="J4482" s="356"/>
      <c r="K4482" s="581" t="s">
        <v>285</v>
      </c>
      <c r="L4482" s="382"/>
      <c r="M4482" s="54"/>
      <c r="N4482" s="54"/>
      <c r="O4482" s="336"/>
      <c r="P4482" s="334"/>
      <c r="Q4482" s="335"/>
      <c r="R4482" s="336"/>
      <c r="S4482" s="337"/>
    </row>
    <row r="4483" spans="1:19" ht="30" customHeight="1" x14ac:dyDescent="0.25">
      <c r="A4483" s="365" t="s">
        <v>1593</v>
      </c>
      <c r="B4483" s="561" t="s">
        <v>2478</v>
      </c>
      <c r="C4483" s="562"/>
      <c r="D4483" s="563"/>
      <c r="E4483" s="7">
        <f>+(16300+20300)/2</f>
        <v>18300</v>
      </c>
      <c r="F4483" s="396" t="s">
        <v>76</v>
      </c>
      <c r="G4483" s="18">
        <v>10000</v>
      </c>
      <c r="H4483" s="690" t="s">
        <v>1589</v>
      </c>
      <c r="I4483" s="365">
        <v>1.01</v>
      </c>
      <c r="J4483" s="396"/>
      <c r="K4483" s="246">
        <f>+E4483/G4483*I4483</f>
        <v>1.8483000000000001</v>
      </c>
      <c r="L4483" s="396" t="s">
        <v>214</v>
      </c>
      <c r="M4483" s="54"/>
      <c r="N4483" s="54"/>
      <c r="O4483" s="336"/>
      <c r="P4483" s="334"/>
      <c r="Q4483" s="335"/>
      <c r="R4483" s="336"/>
      <c r="S4483" s="337"/>
    </row>
    <row r="4484" spans="1:19" ht="30" customHeight="1" x14ac:dyDescent="0.25">
      <c r="A4484" s="365" t="s">
        <v>1593</v>
      </c>
      <c r="B4484" s="561" t="s">
        <v>2479</v>
      </c>
      <c r="C4484" s="562"/>
      <c r="D4484" s="563"/>
      <c r="E4484" s="7">
        <f>+E4483*1.25</f>
        <v>22875</v>
      </c>
      <c r="F4484" s="396" t="s">
        <v>76</v>
      </c>
      <c r="G4484" s="18">
        <v>10000</v>
      </c>
      <c r="H4484" s="690" t="s">
        <v>1589</v>
      </c>
      <c r="I4484" s="365">
        <v>1.01</v>
      </c>
      <c r="J4484" s="396"/>
      <c r="K4484" s="246">
        <f>+E4484/G4484*I4484</f>
        <v>2.3103750000000001</v>
      </c>
      <c r="L4484" s="396" t="s">
        <v>214</v>
      </c>
      <c r="M4484" s="54"/>
      <c r="N4484" s="54"/>
      <c r="O4484" s="336"/>
      <c r="P4484" s="334"/>
      <c r="Q4484" s="335"/>
      <c r="R4484" s="336"/>
      <c r="S4484" s="337"/>
    </row>
    <row r="4485" spans="1:19" ht="30" customHeight="1" x14ac:dyDescent="0.25">
      <c r="A4485" s="365" t="s">
        <v>1593</v>
      </c>
      <c r="B4485" s="1214" t="s">
        <v>2480</v>
      </c>
      <c r="C4485" s="1215"/>
      <c r="D4485" s="1216"/>
      <c r="E4485" s="7">
        <f>+(5850+13400)/2</f>
        <v>9625</v>
      </c>
      <c r="F4485" s="396" t="s">
        <v>76</v>
      </c>
      <c r="G4485" s="18">
        <v>10000</v>
      </c>
      <c r="H4485" s="690" t="s">
        <v>1589</v>
      </c>
      <c r="I4485" s="365">
        <v>1.01</v>
      </c>
      <c r="J4485" s="396"/>
      <c r="K4485" s="246">
        <f>+E4485/G4485*I4485</f>
        <v>0.97212500000000002</v>
      </c>
      <c r="L4485" s="396" t="s">
        <v>214</v>
      </c>
      <c r="M4485" s="54"/>
      <c r="N4485" s="54"/>
      <c r="O4485" s="336"/>
      <c r="P4485" s="334"/>
      <c r="Q4485" s="335"/>
      <c r="R4485" s="336"/>
      <c r="S4485" s="337"/>
    </row>
    <row r="4486" spans="1:19" ht="30" customHeight="1" x14ac:dyDescent="0.25">
      <c r="A4486" s="755"/>
      <c r="B4486" s="1269"/>
      <c r="C4486" s="1269"/>
      <c r="D4486" s="1269"/>
      <c r="E4486" s="247"/>
      <c r="F4486" s="365"/>
      <c r="G4486" s="365"/>
      <c r="H4486" s="365"/>
      <c r="I4486" s="365"/>
      <c r="J4486" s="365" t="s">
        <v>343</v>
      </c>
      <c r="K4486" s="247">
        <f>SUM(K4483:K4485)</f>
        <v>5.1308000000000007</v>
      </c>
      <c r="L4486" s="365" t="s">
        <v>214</v>
      </c>
      <c r="M4486" s="54"/>
      <c r="N4486" s="54"/>
      <c r="O4486" s="336"/>
      <c r="P4486" s="334"/>
      <c r="Q4486" s="335"/>
      <c r="R4486" s="336"/>
      <c r="S4486" s="337"/>
    </row>
    <row r="4487" spans="1:19" ht="30" customHeight="1" x14ac:dyDescent="0.25">
      <c r="A4487" s="365"/>
      <c r="B4487" s="578"/>
      <c r="C4487" s="578"/>
      <c r="D4487" s="578"/>
      <c r="E4487" s="247"/>
      <c r="F4487" s="1272" t="s">
        <v>303</v>
      </c>
      <c r="G4487" s="1283" t="s">
        <v>304</v>
      </c>
      <c r="H4487" s="1283"/>
      <c r="I4487" s="1283"/>
      <c r="J4487" s="1283"/>
      <c r="K4487" s="250">
        <v>1.07</v>
      </c>
      <c r="L4487" s="365"/>
      <c r="M4487" s="54"/>
      <c r="O4487" s="336"/>
      <c r="P4487" s="334"/>
      <c r="Q4487" s="335"/>
      <c r="R4487" s="336"/>
      <c r="S4487" s="337"/>
    </row>
    <row r="4488" spans="1:19" ht="30" customHeight="1" x14ac:dyDescent="0.25">
      <c r="A4488" s="365"/>
      <c r="B4488" s="578"/>
      <c r="C4488" s="578"/>
      <c r="D4488" s="578"/>
      <c r="E4488" s="247"/>
      <c r="F4488" s="1273"/>
      <c r="G4488" s="1284" t="s">
        <v>438</v>
      </c>
      <c r="H4488" s="1284"/>
      <c r="I4488" s="1284"/>
      <c r="J4488" s="1284"/>
      <c r="K4488" s="250">
        <v>1.08</v>
      </c>
      <c r="L4488" s="365"/>
      <c r="M4488" s="54"/>
      <c r="N4488" s="54"/>
      <c r="O4488" s="336"/>
      <c r="P4488" s="334"/>
      <c r="Q4488" s="335"/>
      <c r="R4488" s="336"/>
      <c r="S4488" s="337"/>
    </row>
    <row r="4489" spans="1:19" ht="30" customHeight="1" x14ac:dyDescent="0.25">
      <c r="A4489" s="365"/>
      <c r="B4489" s="365"/>
      <c r="C4489" s="366"/>
      <c r="D4489" s="366"/>
      <c r="E4489" s="366"/>
      <c r="F4489" s="366"/>
      <c r="G4489" s="366"/>
      <c r="H4489" s="366"/>
      <c r="I4489" s="366"/>
      <c r="J4489" s="365" t="s">
        <v>72</v>
      </c>
      <c r="K4489" s="246">
        <f>+K4486*K4487/K4488</f>
        <v>5.0832925925925929</v>
      </c>
      <c r="L4489" s="365" t="s">
        <v>214</v>
      </c>
      <c r="M4489" s="54"/>
      <c r="N4489" s="54"/>
      <c r="O4489" s="336"/>
      <c r="P4489" s="334"/>
      <c r="Q4489" s="335"/>
      <c r="R4489" s="336"/>
      <c r="S4489" s="337"/>
    </row>
    <row r="4490" spans="1:19" ht="30" customHeight="1" x14ac:dyDescent="0.25">
      <c r="A4490" s="365"/>
      <c r="B4490" s="365"/>
      <c r="C4490" s="366"/>
      <c r="D4490" s="366"/>
      <c r="E4490" s="366"/>
      <c r="F4490" s="366"/>
      <c r="G4490" s="580" t="s">
        <v>306</v>
      </c>
      <c r="H4490" s="366"/>
      <c r="I4490" s="366"/>
      <c r="J4490" s="521">
        <f>VLOOKUP(B4481,'Mil Cost Premiums for PUCs'!$A$4:$R$277,18,FALSE)</f>
        <v>1.0905505199999999</v>
      </c>
      <c r="K4490" s="246">
        <f>+K4489*J4490</f>
        <v>5.5435873801639994</v>
      </c>
      <c r="L4490" s="365" t="s">
        <v>214</v>
      </c>
      <c r="M4490" s="54"/>
      <c r="N4490" s="54"/>
      <c r="O4490" s="336"/>
      <c r="P4490" s="334"/>
      <c r="Q4490" s="335"/>
      <c r="R4490" s="336"/>
      <c r="S4490" s="337"/>
    </row>
    <row r="4491" spans="1:19" ht="30" customHeight="1" thickBot="1" x14ac:dyDescent="0.3">
      <c r="A4491" s="844"/>
      <c r="B4491" s="844"/>
      <c r="C4491" s="471"/>
      <c r="D4491" s="471"/>
      <c r="E4491" s="471"/>
      <c r="F4491" s="1278" t="s">
        <v>1148</v>
      </c>
      <c r="G4491" s="1278"/>
      <c r="H4491" s="1278"/>
      <c r="I4491" s="1278"/>
      <c r="J4491" s="987">
        <v>1.0833999999999999</v>
      </c>
      <c r="K4491" s="988">
        <f>K4490*J4491</f>
        <v>6.0059225676696766</v>
      </c>
      <c r="L4491" s="365" t="s">
        <v>214</v>
      </c>
      <c r="N4491" s="54"/>
      <c r="O4491" s="336"/>
      <c r="P4491" s="334"/>
      <c r="Q4491" s="335"/>
      <c r="R4491" s="336"/>
      <c r="S4491" s="337"/>
    </row>
    <row r="4492" spans="1:19" ht="30" customHeight="1" thickBot="1" x14ac:dyDescent="0.3">
      <c r="A4492" s="1180"/>
      <c r="B4492" s="1181"/>
      <c r="C4492" s="1181"/>
      <c r="D4492" s="1181"/>
      <c r="E4492" s="1181"/>
      <c r="F4492" s="1181"/>
      <c r="G4492" s="1181"/>
      <c r="H4492" s="1181"/>
      <c r="I4492" s="1181"/>
      <c r="J4492" s="1181"/>
      <c r="K4492" s="1181"/>
      <c r="L4492" s="1182"/>
      <c r="M4492" s="54"/>
      <c r="N4492" s="54"/>
      <c r="O4492" s="336"/>
      <c r="P4492" s="334"/>
      <c r="Q4492" s="335"/>
      <c r="R4492" s="336"/>
      <c r="S4492" s="337"/>
    </row>
    <row r="4493" spans="1:19" ht="30" customHeight="1" x14ac:dyDescent="0.25">
      <c r="A4493" s="327" t="s">
        <v>5</v>
      </c>
      <c r="B4493" s="328">
        <v>8315</v>
      </c>
      <c r="C4493" s="1251" t="s">
        <v>2481</v>
      </c>
      <c r="D4493" s="1252"/>
      <c r="E4493" s="331" t="s">
        <v>8</v>
      </c>
      <c r="F4493" s="332" t="s">
        <v>214</v>
      </c>
      <c r="G4493" s="342" t="s">
        <v>74</v>
      </c>
      <c r="H4493" s="156">
        <v>1126814</v>
      </c>
      <c r="I4493" s="331" t="s">
        <v>10</v>
      </c>
      <c r="J4493" s="1220" t="s">
        <v>3388</v>
      </c>
      <c r="K4493" s="1220"/>
      <c r="L4493" s="1221"/>
      <c r="M4493" s="54"/>
      <c r="N4493" s="54"/>
      <c r="O4493" s="336"/>
      <c r="P4493" s="334"/>
      <c r="Q4493" s="335"/>
      <c r="R4493" s="336"/>
      <c r="S4493" s="337"/>
    </row>
    <row r="4494" spans="1:19" ht="30" customHeight="1" x14ac:dyDescent="0.25">
      <c r="A4494" s="359" t="s">
        <v>295</v>
      </c>
      <c r="B4494" s="1222" t="s">
        <v>326</v>
      </c>
      <c r="C4494" s="1235"/>
      <c r="D4494" s="1223"/>
      <c r="E4494" s="577" t="s">
        <v>116</v>
      </c>
      <c r="F4494" s="577" t="s">
        <v>117</v>
      </c>
      <c r="G4494" s="1194" t="s">
        <v>118</v>
      </c>
      <c r="H4494" s="1195"/>
      <c r="I4494" s="356" t="s">
        <v>296</v>
      </c>
      <c r="J4494" s="356"/>
      <c r="K4494" s="581" t="s">
        <v>285</v>
      </c>
      <c r="L4494" s="382"/>
      <c r="M4494" s="54"/>
      <c r="N4494" s="54"/>
      <c r="O4494" s="336"/>
      <c r="P4494" s="334"/>
      <c r="Q4494" s="335"/>
      <c r="R4494" s="336"/>
      <c r="S4494" s="337"/>
    </row>
    <row r="4495" spans="1:19" ht="30" customHeight="1" x14ac:dyDescent="0.25">
      <c r="A4495" s="365" t="s">
        <v>2482</v>
      </c>
      <c r="B4495" s="561" t="s">
        <v>2483</v>
      </c>
      <c r="C4495" s="562"/>
      <c r="D4495" s="563"/>
      <c r="E4495" s="7">
        <f>+(1.74+2.37)/2</f>
        <v>2.0550000000000002</v>
      </c>
      <c r="F4495" s="396" t="s">
        <v>537</v>
      </c>
      <c r="G4495" s="19">
        <v>7.48</v>
      </c>
      <c r="H4495" s="690" t="s">
        <v>2484</v>
      </c>
      <c r="I4495" s="706">
        <v>1.03</v>
      </c>
      <c r="J4495" s="396"/>
      <c r="K4495" s="246">
        <f>+E4495/G4495*I4495</f>
        <v>0.28297459893048127</v>
      </c>
      <c r="L4495" s="396" t="s">
        <v>214</v>
      </c>
      <c r="M4495" s="111"/>
      <c r="N4495" s="54"/>
      <c r="P4495" s="334"/>
      <c r="Q4495" s="335"/>
      <c r="R4495" s="336"/>
      <c r="S4495" s="337"/>
    </row>
    <row r="4496" spans="1:19" ht="30" customHeight="1" x14ac:dyDescent="0.25">
      <c r="A4496" s="365" t="s">
        <v>2482</v>
      </c>
      <c r="B4496" s="1214" t="s">
        <v>2485</v>
      </c>
      <c r="C4496" s="1215"/>
      <c r="D4496" s="1216"/>
      <c r="E4496" s="7">
        <f>+(10500+28700)/2</f>
        <v>19600</v>
      </c>
      <c r="F4496" s="396" t="s">
        <v>76</v>
      </c>
      <c r="G4496" s="18">
        <f>+H4493</f>
        <v>1126814</v>
      </c>
      <c r="H4496" s="690" t="s">
        <v>1589</v>
      </c>
      <c r="I4496" s="706">
        <v>1.03</v>
      </c>
      <c r="J4496" s="396"/>
      <c r="K4496" s="246">
        <f>+E4496/G4496*I4496</f>
        <v>1.7916000333684175E-2</v>
      </c>
      <c r="L4496" s="396" t="s">
        <v>214</v>
      </c>
      <c r="M4496" s="54"/>
      <c r="N4496" s="54"/>
      <c r="Q4496" s="335"/>
      <c r="R4496" s="336"/>
      <c r="S4496" s="337"/>
    </row>
    <row r="4497" spans="1:21" ht="30" customHeight="1" x14ac:dyDescent="0.25">
      <c r="A4497" s="755"/>
      <c r="B4497" s="1269"/>
      <c r="C4497" s="1269"/>
      <c r="D4497" s="1269"/>
      <c r="E4497" s="247"/>
      <c r="F4497" s="365"/>
      <c r="G4497" s="365"/>
      <c r="H4497" s="365"/>
      <c r="I4497" s="365"/>
      <c r="J4497" s="365" t="s">
        <v>343</v>
      </c>
      <c r="K4497" s="247">
        <f>SUM(K4495:K4496)</f>
        <v>0.30089059926416545</v>
      </c>
      <c r="L4497" s="365" t="s">
        <v>214</v>
      </c>
      <c r="M4497" s="54"/>
      <c r="N4497" s="54"/>
      <c r="Q4497" s="335"/>
      <c r="R4497" s="336"/>
      <c r="S4497" s="337"/>
      <c r="U4497" s="10"/>
    </row>
    <row r="4498" spans="1:21" ht="30" customHeight="1" x14ac:dyDescent="0.25">
      <c r="A4498" s="365"/>
      <c r="B4498" s="578"/>
      <c r="C4498" s="578"/>
      <c r="D4498" s="578"/>
      <c r="E4498" s="247"/>
      <c r="F4498" s="1272" t="s">
        <v>303</v>
      </c>
      <c r="G4498" s="1283" t="s">
        <v>304</v>
      </c>
      <c r="H4498" s="1283"/>
      <c r="I4498" s="1283"/>
      <c r="J4498" s="1283"/>
      <c r="K4498" s="250">
        <v>1.07</v>
      </c>
      <c r="L4498" s="365"/>
      <c r="M4498" s="54"/>
      <c r="N4498" s="54"/>
      <c r="O4498" s="336"/>
      <c r="Q4498" s="335"/>
      <c r="R4498" s="336"/>
      <c r="S4498" s="337"/>
      <c r="U4498" s="10"/>
    </row>
    <row r="4499" spans="1:21" ht="30" customHeight="1" x14ac:dyDescent="0.25">
      <c r="A4499" s="365"/>
      <c r="B4499" s="578"/>
      <c r="C4499" s="578"/>
      <c r="D4499" s="578"/>
      <c r="E4499" s="247"/>
      <c r="F4499" s="1273"/>
      <c r="G4499" s="1284" t="s">
        <v>438</v>
      </c>
      <c r="H4499" s="1284"/>
      <c r="I4499" s="1284"/>
      <c r="J4499" s="1284"/>
      <c r="K4499" s="250">
        <v>1.08</v>
      </c>
      <c r="L4499" s="365"/>
      <c r="M4499" s="54"/>
      <c r="N4499" s="54"/>
      <c r="O4499" s="384"/>
      <c r="T4499" s="10"/>
      <c r="U4499" s="10"/>
    </row>
    <row r="4500" spans="1:21" ht="30" customHeight="1" x14ac:dyDescent="0.25">
      <c r="A4500" s="365"/>
      <c r="B4500" s="365"/>
      <c r="C4500" s="366"/>
      <c r="D4500" s="366"/>
      <c r="E4500" s="366"/>
      <c r="F4500" s="366"/>
      <c r="G4500" s="366"/>
      <c r="H4500" s="366"/>
      <c r="I4500" s="366"/>
      <c r="J4500" s="365" t="s">
        <v>72</v>
      </c>
      <c r="K4500" s="246">
        <f>+K4497*K4498/K4499</f>
        <v>0.29810457519690464</v>
      </c>
      <c r="L4500" s="365" t="s">
        <v>214</v>
      </c>
      <c r="M4500" s="54"/>
      <c r="N4500" s="54"/>
      <c r="O4500" s="336"/>
      <c r="T4500" s="10"/>
    </row>
    <row r="4501" spans="1:21" ht="30" customHeight="1" x14ac:dyDescent="0.25">
      <c r="A4501" s="365"/>
      <c r="B4501" s="365"/>
      <c r="C4501" s="366"/>
      <c r="D4501" s="366"/>
      <c r="E4501" s="366"/>
      <c r="F4501" s="366"/>
      <c r="G4501" s="580" t="s">
        <v>306</v>
      </c>
      <c r="H4501" s="366"/>
      <c r="I4501" s="366"/>
      <c r="J4501" s="521">
        <f>VLOOKUP(B4493,'Mil Cost Premiums for PUCs'!$A$4:$R$277,18,FALSE)</f>
        <v>1.0905505199999999</v>
      </c>
      <c r="K4501" s="246">
        <f>+K4500*J4501</f>
        <v>0.32509809949536339</v>
      </c>
      <c r="L4501" s="365" t="s">
        <v>214</v>
      </c>
      <c r="M4501" s="54"/>
      <c r="N4501" s="54"/>
      <c r="O4501" s="336"/>
      <c r="T4501" s="10"/>
    </row>
    <row r="4502" spans="1:21" ht="30" customHeight="1" thickBot="1" x14ac:dyDescent="0.3">
      <c r="A4502" s="844"/>
      <c r="B4502" s="844"/>
      <c r="C4502" s="471"/>
      <c r="D4502" s="471"/>
      <c r="E4502" s="471"/>
      <c r="F4502" s="1278" t="s">
        <v>1148</v>
      </c>
      <c r="G4502" s="1278"/>
      <c r="H4502" s="1278"/>
      <c r="I4502" s="1278"/>
      <c r="J4502" s="987">
        <v>1.0833999999999999</v>
      </c>
      <c r="K4502" s="988">
        <f>K4501*J4502</f>
        <v>0.3522112809932767</v>
      </c>
      <c r="L4502" s="365" t="s">
        <v>214</v>
      </c>
      <c r="N4502" s="54"/>
      <c r="O4502" s="336"/>
    </row>
    <row r="4503" spans="1:21" ht="30" customHeight="1" thickBot="1" x14ac:dyDescent="0.3">
      <c r="A4503" s="1180"/>
      <c r="B4503" s="1181"/>
      <c r="C4503" s="1181"/>
      <c r="D4503" s="1181"/>
      <c r="E4503" s="1181"/>
      <c r="F4503" s="1181"/>
      <c r="G4503" s="1181"/>
      <c r="H4503" s="1181"/>
      <c r="I4503" s="1181"/>
      <c r="J4503" s="1181"/>
      <c r="K4503" s="1181"/>
      <c r="L4503" s="1182"/>
      <c r="M4503" s="54"/>
      <c r="N4503" s="54"/>
      <c r="O4503" s="336"/>
      <c r="U4503" s="10"/>
    </row>
    <row r="4504" spans="1:21" ht="30" customHeight="1" x14ac:dyDescent="0.25">
      <c r="A4504" s="327" t="s">
        <v>5</v>
      </c>
      <c r="B4504" s="328">
        <v>8316</v>
      </c>
      <c r="C4504" s="1218" t="s">
        <v>2486</v>
      </c>
      <c r="D4504" s="1219"/>
      <c r="E4504" s="331" t="s">
        <v>8</v>
      </c>
      <c r="F4504" s="332" t="s">
        <v>2465</v>
      </c>
      <c r="G4504" s="338" t="s">
        <v>7</v>
      </c>
      <c r="H4504" s="160">
        <v>1</v>
      </c>
      <c r="I4504" s="331" t="s">
        <v>10</v>
      </c>
      <c r="J4504" s="1220" t="s">
        <v>382</v>
      </c>
      <c r="K4504" s="1220"/>
      <c r="L4504" s="1221"/>
      <c r="M4504" s="111"/>
      <c r="N4504" s="54"/>
      <c r="O4504" s="340"/>
      <c r="U4504" s="10"/>
    </row>
    <row r="4505" spans="1:21" ht="30" customHeight="1" x14ac:dyDescent="0.25">
      <c r="A4505" s="356" t="s">
        <v>282</v>
      </c>
      <c r="B4505" s="1163" t="s">
        <v>13</v>
      </c>
      <c r="C4505" s="1163"/>
      <c r="D4505" s="1163"/>
      <c r="E4505" s="546" t="s">
        <v>116</v>
      </c>
      <c r="F4505" s="577" t="s">
        <v>117</v>
      </c>
      <c r="G4505" s="1314" t="s">
        <v>118</v>
      </c>
      <c r="H4505" s="1315"/>
      <c r="I4505" s="1276" t="s">
        <v>284</v>
      </c>
      <c r="J4505" s="1277"/>
      <c r="K4505" s="581" t="s">
        <v>285</v>
      </c>
      <c r="L4505" s="382"/>
      <c r="M4505" s="54"/>
      <c r="N4505" s="54"/>
      <c r="O4505" s="336"/>
      <c r="T4505" s="10"/>
      <c r="U4505" s="10"/>
    </row>
    <row r="4506" spans="1:21" ht="30" customHeight="1" x14ac:dyDescent="0.25">
      <c r="A4506" s="365">
        <v>83150</v>
      </c>
      <c r="B4506" s="1214" t="s">
        <v>2487</v>
      </c>
      <c r="C4506" s="1215"/>
      <c r="D4506" s="1216"/>
      <c r="E4506" s="247">
        <v>361000</v>
      </c>
      <c r="F4506" s="257" t="s">
        <v>76</v>
      </c>
      <c r="G4506" s="753">
        <v>200</v>
      </c>
      <c r="H4506" s="698" t="s">
        <v>3478</v>
      </c>
      <c r="I4506" s="1378">
        <v>0.9405</v>
      </c>
      <c r="J4506" s="1379"/>
      <c r="K4506" s="253">
        <f>+E4506/G4506*I4506</f>
        <v>1697.6025</v>
      </c>
      <c r="L4506" s="367" t="s">
        <v>2465</v>
      </c>
      <c r="M4506" s="54"/>
      <c r="N4506" s="54"/>
      <c r="O4506" s="336"/>
      <c r="T4506" s="10"/>
      <c r="U4506" s="10"/>
    </row>
    <row r="4507" spans="1:21" ht="30" customHeight="1" x14ac:dyDescent="0.25">
      <c r="A4507" s="365">
        <v>83150</v>
      </c>
      <c r="B4507" s="1214" t="s">
        <v>3477</v>
      </c>
      <c r="C4507" s="1215"/>
      <c r="D4507" s="1216"/>
      <c r="E4507" s="247">
        <v>314710</v>
      </c>
      <c r="F4507" s="257" t="s">
        <v>76</v>
      </c>
      <c r="G4507" s="753">
        <v>144</v>
      </c>
      <c r="H4507" s="698" t="s">
        <v>2539</v>
      </c>
      <c r="I4507" s="1378">
        <v>0.9405</v>
      </c>
      <c r="J4507" s="1379"/>
      <c r="K4507" s="253">
        <f>+E4507/G4507*I4507</f>
        <v>2055.4496875</v>
      </c>
      <c r="L4507" s="367" t="s">
        <v>2465</v>
      </c>
      <c r="M4507" s="54"/>
      <c r="N4507" s="54"/>
      <c r="T4507" s="10"/>
      <c r="U4507" s="10"/>
    </row>
    <row r="4508" spans="1:21" ht="30" customHeight="1" x14ac:dyDescent="0.25">
      <c r="A4508" s="365">
        <v>83150</v>
      </c>
      <c r="B4508" s="1214" t="s">
        <v>2488</v>
      </c>
      <c r="C4508" s="1215"/>
      <c r="D4508" s="1216"/>
      <c r="E4508" s="247">
        <v>403930</v>
      </c>
      <c r="F4508" s="257" t="s">
        <v>76</v>
      </c>
      <c r="G4508" s="753">
        <v>288</v>
      </c>
      <c r="H4508" s="1120" t="s">
        <v>3478</v>
      </c>
      <c r="I4508" s="1378">
        <v>0.9405</v>
      </c>
      <c r="J4508" s="1379"/>
      <c r="K4508" s="253">
        <f>+E4508/G4508*I4508</f>
        <v>1319.0839062499999</v>
      </c>
      <c r="L4508" s="367" t="s">
        <v>2465</v>
      </c>
      <c r="M4508" s="54"/>
      <c r="N4508" s="54"/>
      <c r="T4508" s="10"/>
      <c r="U4508" s="60"/>
    </row>
    <row r="4509" spans="1:21" ht="30" customHeight="1" x14ac:dyDescent="0.25">
      <c r="A4509" s="365"/>
      <c r="B4509" s="561"/>
      <c r="C4509" s="562"/>
      <c r="D4509" s="563"/>
      <c r="E4509" s="153"/>
      <c r="F4509" s="172"/>
      <c r="G4509" s="697"/>
      <c r="H4509" s="698"/>
      <c r="I4509" s="730"/>
      <c r="J4509" s="721" t="s">
        <v>300</v>
      </c>
      <c r="K4509" s="253">
        <f>AVERAGE(K4506:K4508)</f>
        <v>1690.7120312499999</v>
      </c>
      <c r="L4509" s="367" t="s">
        <v>2465</v>
      </c>
      <c r="M4509" s="54"/>
      <c r="O4509" s="336"/>
      <c r="P4509" s="334"/>
      <c r="Q4509" s="335"/>
      <c r="R4509" s="336"/>
      <c r="S4509" s="337"/>
    </row>
    <row r="4510" spans="1:21" ht="30" customHeight="1" thickBot="1" x14ac:dyDescent="0.3">
      <c r="A4510" s="365"/>
      <c r="B4510" s="1214"/>
      <c r="C4510" s="1215"/>
      <c r="D4510" s="1216"/>
      <c r="E4510" s="333"/>
      <c r="F4510" s="744"/>
      <c r="G4510" s="333"/>
      <c r="H4510" s="729"/>
      <c r="I4510" s="366"/>
      <c r="J4510" s="359" t="s">
        <v>72</v>
      </c>
      <c r="K4510" s="253">
        <f>+K4509</f>
        <v>1690.7120312499999</v>
      </c>
      <c r="L4510" s="367" t="s">
        <v>2465</v>
      </c>
      <c r="M4510" s="54"/>
      <c r="N4510" s="54"/>
      <c r="T4510" s="10"/>
      <c r="U4510" s="10"/>
    </row>
    <row r="4511" spans="1:21" ht="30" customHeight="1" thickBot="1" x14ac:dyDescent="0.3">
      <c r="A4511" s="1180"/>
      <c r="B4511" s="1181"/>
      <c r="C4511" s="1181"/>
      <c r="D4511" s="1181"/>
      <c r="E4511" s="1181"/>
      <c r="F4511" s="1181"/>
      <c r="G4511" s="1181"/>
      <c r="H4511" s="1181"/>
      <c r="I4511" s="1181"/>
      <c r="J4511" s="1181"/>
      <c r="K4511" s="1181"/>
      <c r="L4511" s="1182"/>
      <c r="M4511" s="54"/>
      <c r="N4511" s="54"/>
      <c r="T4511" s="60"/>
    </row>
    <row r="4512" spans="1:21" ht="30" customHeight="1" x14ac:dyDescent="0.25">
      <c r="A4512" s="327" t="s">
        <v>5</v>
      </c>
      <c r="B4512" s="328">
        <v>8321</v>
      </c>
      <c r="C4512" s="1294" t="s">
        <v>2489</v>
      </c>
      <c r="D4512" s="1295"/>
      <c r="E4512" s="331" t="s">
        <v>8</v>
      </c>
      <c r="F4512" s="332" t="s">
        <v>40</v>
      </c>
      <c r="G4512" s="333" t="s">
        <v>2490</v>
      </c>
      <c r="H4512" s="156">
        <v>11392</v>
      </c>
      <c r="I4512" s="331" t="s">
        <v>10</v>
      </c>
      <c r="J4512" s="1220" t="s">
        <v>3388</v>
      </c>
      <c r="K4512" s="1220"/>
      <c r="L4512" s="1221"/>
      <c r="M4512" s="54"/>
      <c r="N4512" s="54"/>
      <c r="T4512" s="10"/>
      <c r="U4512" s="10"/>
    </row>
    <row r="4513" spans="1:21" ht="30" customHeight="1" x14ac:dyDescent="0.25">
      <c r="A4513" s="359" t="s">
        <v>295</v>
      </c>
      <c r="B4513" s="1222" t="s">
        <v>326</v>
      </c>
      <c r="C4513" s="1235"/>
      <c r="D4513" s="1223"/>
      <c r="E4513" s="577" t="s">
        <v>116</v>
      </c>
      <c r="F4513" s="577" t="s">
        <v>117</v>
      </c>
      <c r="G4513" s="1194" t="s">
        <v>118</v>
      </c>
      <c r="H4513" s="1195"/>
      <c r="I4513" s="356" t="s">
        <v>296</v>
      </c>
      <c r="J4513" s="356"/>
      <c r="K4513" s="581" t="s">
        <v>285</v>
      </c>
      <c r="L4513" s="382"/>
      <c r="M4513" s="54"/>
      <c r="N4513" s="54"/>
      <c r="P4513" s="334"/>
      <c r="U4513" s="10"/>
    </row>
    <row r="4514" spans="1:21" ht="30" customHeight="1" x14ac:dyDescent="0.25">
      <c r="A4514" s="365" t="s">
        <v>339</v>
      </c>
      <c r="B4514" s="1214" t="s">
        <v>2491</v>
      </c>
      <c r="C4514" s="1215"/>
      <c r="D4514" s="1216"/>
      <c r="E4514" s="7">
        <v>20.149999999999999</v>
      </c>
      <c r="F4514" s="396" t="s">
        <v>40</v>
      </c>
      <c r="G4514" s="20"/>
      <c r="H4514" s="690"/>
      <c r="I4514" s="365">
        <v>1.05</v>
      </c>
      <c r="J4514" s="396"/>
      <c r="K4514" s="246">
        <f>+E4514*I4514</f>
        <v>21.157499999999999</v>
      </c>
      <c r="L4514" s="396" t="s">
        <v>40</v>
      </c>
      <c r="M4514" s="54"/>
      <c r="N4514" s="54"/>
      <c r="P4514" s="334"/>
      <c r="T4514" s="10"/>
    </row>
    <row r="4515" spans="1:21" ht="30" customHeight="1" x14ac:dyDescent="0.25">
      <c r="A4515" s="365" t="s">
        <v>339</v>
      </c>
      <c r="B4515" s="1214" t="s">
        <v>2492</v>
      </c>
      <c r="C4515" s="1215"/>
      <c r="D4515" s="1216"/>
      <c r="E4515" s="7">
        <v>25.25</v>
      </c>
      <c r="F4515" s="396" t="s">
        <v>40</v>
      </c>
      <c r="G4515" s="20"/>
      <c r="H4515" s="690"/>
      <c r="I4515" s="365">
        <v>1.05</v>
      </c>
      <c r="J4515" s="396"/>
      <c r="K4515" s="246">
        <f>+E4515*I4515</f>
        <v>26.512500000000003</v>
      </c>
      <c r="L4515" s="396" t="s">
        <v>40</v>
      </c>
      <c r="M4515" s="54"/>
      <c r="N4515" s="54"/>
      <c r="P4515" s="334"/>
      <c r="T4515" s="10"/>
    </row>
    <row r="4516" spans="1:21" ht="30" customHeight="1" x14ac:dyDescent="0.25">
      <c r="A4516" s="365"/>
      <c r="B4516" s="561"/>
      <c r="C4516" s="562"/>
      <c r="D4516" s="563"/>
      <c r="E4516" s="7"/>
      <c r="F4516" s="396"/>
      <c r="G4516" s="1389" t="s">
        <v>2493</v>
      </c>
      <c r="H4516" s="1390"/>
      <c r="I4516" s="365"/>
      <c r="J4516" s="396"/>
      <c r="K4516" s="246">
        <f>AVERAGE(K4514:K4515)</f>
        <v>23.835000000000001</v>
      </c>
      <c r="L4516" s="396" t="s">
        <v>40</v>
      </c>
      <c r="M4516" s="54"/>
      <c r="N4516" s="54"/>
      <c r="P4516" s="334"/>
      <c r="Q4516" s="335"/>
      <c r="R4516" s="336"/>
      <c r="S4516" s="337"/>
    </row>
    <row r="4517" spans="1:21" ht="30" customHeight="1" x14ac:dyDescent="0.25">
      <c r="A4517" s="365" t="s">
        <v>339</v>
      </c>
      <c r="B4517" s="1214" t="s">
        <v>2494</v>
      </c>
      <c r="C4517" s="1215"/>
      <c r="D4517" s="1216"/>
      <c r="E4517" s="7">
        <v>780</v>
      </c>
      <c r="F4517" s="396" t="s">
        <v>76</v>
      </c>
      <c r="G4517" s="76">
        <f>1/60</f>
        <v>1.6666666666666666E-2</v>
      </c>
      <c r="H4517" s="690" t="s">
        <v>2495</v>
      </c>
      <c r="I4517" s="365">
        <v>1.05</v>
      </c>
      <c r="J4517" s="396"/>
      <c r="K4517" s="246">
        <f>+E4517*G4517*I4517</f>
        <v>13.65</v>
      </c>
      <c r="L4517" s="396" t="s">
        <v>40</v>
      </c>
      <c r="M4517" s="54"/>
      <c r="N4517" s="54"/>
      <c r="P4517" s="334"/>
      <c r="Q4517" s="335"/>
      <c r="R4517" s="336"/>
      <c r="S4517" s="337"/>
    </row>
    <row r="4518" spans="1:21" ht="30" customHeight="1" x14ac:dyDescent="0.25">
      <c r="A4518" s="365" t="s">
        <v>339</v>
      </c>
      <c r="B4518" s="1214" t="s">
        <v>2496</v>
      </c>
      <c r="C4518" s="1215"/>
      <c r="D4518" s="1216"/>
      <c r="E4518" s="247">
        <v>2900</v>
      </c>
      <c r="F4518" s="396" t="s">
        <v>76</v>
      </c>
      <c r="G4518" s="1031">
        <f>1/400</f>
        <v>2.5000000000000001E-3</v>
      </c>
      <c r="H4518" s="690" t="s">
        <v>2497</v>
      </c>
      <c r="I4518" s="365">
        <v>1.05</v>
      </c>
      <c r="J4518" s="396"/>
      <c r="K4518" s="246">
        <f>+E4518*G4518*I4518</f>
        <v>7.6125000000000007</v>
      </c>
      <c r="L4518" s="396" t="s">
        <v>40</v>
      </c>
      <c r="M4518" s="54"/>
      <c r="N4518" s="54"/>
      <c r="P4518" s="334"/>
      <c r="Q4518" s="335"/>
      <c r="R4518" s="336"/>
      <c r="S4518" s="337"/>
    </row>
    <row r="4519" spans="1:21" ht="30" customHeight="1" x14ac:dyDescent="0.25">
      <c r="A4519" s="755"/>
      <c r="B4519" s="1269"/>
      <c r="C4519" s="1269"/>
      <c r="D4519" s="1269"/>
      <c r="E4519" s="247"/>
      <c r="F4519" s="365"/>
      <c r="G4519" s="365"/>
      <c r="H4519" s="365"/>
      <c r="I4519" s="365"/>
      <c r="J4519" s="365" t="s">
        <v>343</v>
      </c>
      <c r="K4519" s="247">
        <f>SUM(K4516:K4518)</f>
        <v>45.097499999999997</v>
      </c>
      <c r="L4519" s="365" t="s">
        <v>40</v>
      </c>
      <c r="M4519" s="54"/>
      <c r="N4519" s="54"/>
      <c r="P4519" s="334"/>
      <c r="Q4519" s="335"/>
      <c r="R4519" s="336"/>
      <c r="S4519" s="337"/>
    </row>
    <row r="4520" spans="1:21" ht="30" customHeight="1" x14ac:dyDescent="0.25">
      <c r="A4520" s="365"/>
      <c r="B4520" s="578"/>
      <c r="C4520" s="578"/>
      <c r="D4520" s="578"/>
      <c r="E4520" s="247"/>
      <c r="F4520" s="1272" t="s">
        <v>303</v>
      </c>
      <c r="G4520" s="1283" t="s">
        <v>304</v>
      </c>
      <c r="H4520" s="1283"/>
      <c r="I4520" s="1283"/>
      <c r="J4520" s="1283"/>
      <c r="K4520" s="250">
        <v>1.07</v>
      </c>
      <c r="L4520" s="365"/>
      <c r="M4520" s="54"/>
      <c r="N4520" s="54"/>
      <c r="T4520" s="10"/>
      <c r="U4520" s="10"/>
    </row>
    <row r="4521" spans="1:21" ht="30" customHeight="1" x14ac:dyDescent="0.25">
      <c r="A4521" s="365"/>
      <c r="B4521" s="578"/>
      <c r="C4521" s="578"/>
      <c r="D4521" s="578"/>
      <c r="E4521" s="247"/>
      <c r="F4521" s="1273"/>
      <c r="G4521" s="1284" t="s">
        <v>438</v>
      </c>
      <c r="H4521" s="1284"/>
      <c r="I4521" s="1284"/>
      <c r="J4521" s="1284"/>
      <c r="K4521" s="250">
        <v>1.08</v>
      </c>
      <c r="L4521" s="365"/>
      <c r="M4521" s="111"/>
      <c r="N4521" s="54"/>
      <c r="P4521" s="334"/>
      <c r="Q4521" s="335"/>
      <c r="R4521" s="336"/>
      <c r="S4521" s="337"/>
    </row>
    <row r="4522" spans="1:21" ht="30" customHeight="1" x14ac:dyDescent="0.25">
      <c r="A4522" s="365"/>
      <c r="B4522" s="365"/>
      <c r="C4522" s="366"/>
      <c r="D4522" s="366"/>
      <c r="E4522" s="366"/>
      <c r="F4522" s="366"/>
      <c r="G4522" s="366"/>
      <c r="H4522" s="366"/>
      <c r="I4522" s="366"/>
      <c r="J4522" s="365" t="s">
        <v>72</v>
      </c>
      <c r="K4522" s="246">
        <f>+K4519*K4520/K4521</f>
        <v>44.679930555555551</v>
      </c>
      <c r="L4522" s="365" t="s">
        <v>40</v>
      </c>
      <c r="M4522" s="54"/>
      <c r="N4522" s="54"/>
      <c r="P4522" s="334"/>
      <c r="Q4522" s="335"/>
      <c r="R4522" s="336"/>
      <c r="S4522" s="337"/>
    </row>
    <row r="4523" spans="1:21" ht="30" customHeight="1" x14ac:dyDescent="0.25">
      <c r="A4523" s="569"/>
      <c r="B4523" s="592"/>
      <c r="C4523" s="573"/>
      <c r="D4523" s="573"/>
      <c r="E4523" s="573"/>
      <c r="F4523" s="573"/>
      <c r="G4523" s="580" t="s">
        <v>306</v>
      </c>
      <c r="H4523" s="573"/>
      <c r="J4523" s="521">
        <f>VLOOKUP(B4512,'Mil Cost Premiums for PUCs'!$A$4:$R$277,18,FALSE)</f>
        <v>1.0905505199999999</v>
      </c>
      <c r="K4523" s="228">
        <f>+K4522*J4523</f>
        <v>48.72572150092499</v>
      </c>
      <c r="L4523" s="396" t="s">
        <v>40</v>
      </c>
      <c r="M4523" s="54"/>
      <c r="N4523" s="54"/>
      <c r="P4523" s="334"/>
      <c r="Q4523" s="335"/>
      <c r="R4523" s="336"/>
      <c r="S4523" s="337"/>
    </row>
    <row r="4524" spans="1:21" ht="30" customHeight="1" x14ac:dyDescent="0.25">
      <c r="A4524" s="844"/>
      <c r="B4524" s="844"/>
      <c r="C4524" s="471"/>
      <c r="D4524" s="471"/>
      <c r="E4524" s="471"/>
      <c r="F4524" s="1278" t="s">
        <v>1148</v>
      </c>
      <c r="G4524" s="1278"/>
      <c r="H4524" s="1278"/>
      <c r="I4524" s="1278"/>
      <c r="J4524" s="987">
        <v>1.0833999999999999</v>
      </c>
      <c r="K4524" s="988">
        <f>K4523*J4524</f>
        <v>52.78944667410213</v>
      </c>
      <c r="L4524" s="396" t="s">
        <v>40</v>
      </c>
      <c r="N4524" s="54"/>
      <c r="P4524" s="334"/>
      <c r="Q4524" s="335"/>
      <c r="R4524" s="336"/>
      <c r="S4524" s="337"/>
    </row>
    <row r="4525" spans="1:21" ht="75" customHeight="1" x14ac:dyDescent="0.25">
      <c r="A4525" s="1230" t="s">
        <v>307</v>
      </c>
      <c r="B4525" s="1231"/>
      <c r="C4525" s="1231"/>
      <c r="D4525" s="1231"/>
      <c r="E4525" s="1231"/>
      <c r="F4525" s="1231"/>
      <c r="G4525" s="1231"/>
      <c r="H4525" s="1231"/>
      <c r="I4525" s="1231"/>
      <c r="J4525" s="1231"/>
      <c r="K4525" s="1231"/>
      <c r="L4525" s="1232"/>
      <c r="M4525" s="54"/>
      <c r="N4525" s="54"/>
      <c r="O4525" s="336"/>
      <c r="P4525" s="334"/>
      <c r="Q4525" s="335"/>
      <c r="R4525" s="336"/>
      <c r="S4525" s="337"/>
    </row>
    <row r="4526" spans="1:21" ht="30" customHeight="1" x14ac:dyDescent="0.25">
      <c r="A4526" s="1268" t="s">
        <v>308</v>
      </c>
      <c r="B4526" s="1167"/>
      <c r="C4526" s="1168"/>
      <c r="D4526" s="1230" t="s">
        <v>3447</v>
      </c>
      <c r="E4526" s="1231"/>
      <c r="F4526" s="1231"/>
      <c r="G4526" s="1231"/>
      <c r="H4526" s="1231"/>
      <c r="I4526" s="1231"/>
      <c r="J4526" s="1231"/>
      <c r="K4526" s="1231"/>
      <c r="L4526" s="1232"/>
      <c r="M4526" s="54"/>
      <c r="N4526" s="54"/>
      <c r="O4526" s="336"/>
      <c r="P4526" s="334"/>
      <c r="Q4526" s="335"/>
      <c r="R4526" s="336"/>
      <c r="S4526" s="337"/>
    </row>
    <row r="4527" spans="1:21" ht="30" customHeight="1" x14ac:dyDescent="0.25">
      <c r="A4527" s="1268" t="s">
        <v>310</v>
      </c>
      <c r="B4527" s="1167"/>
      <c r="C4527" s="1168"/>
      <c r="D4527" s="1230" t="s">
        <v>3448</v>
      </c>
      <c r="E4527" s="1231"/>
      <c r="F4527" s="1231"/>
      <c r="G4527" s="1231"/>
      <c r="H4527" s="1231"/>
      <c r="I4527" s="1231"/>
      <c r="J4527" s="1231"/>
      <c r="K4527" s="1231"/>
      <c r="L4527" s="1232"/>
      <c r="M4527" s="54"/>
      <c r="N4527" s="111"/>
      <c r="O4527" s="336"/>
      <c r="Q4527" s="335"/>
      <c r="R4527" s="336"/>
      <c r="S4527" s="337"/>
      <c r="U4527" s="10"/>
    </row>
    <row r="4528" spans="1:21" ht="30" customHeight="1" x14ac:dyDescent="0.25">
      <c r="A4528" s="1268" t="s">
        <v>312</v>
      </c>
      <c r="B4528" s="1167"/>
      <c r="C4528" s="1168"/>
      <c r="D4528" s="1230" t="s">
        <v>2498</v>
      </c>
      <c r="E4528" s="1231"/>
      <c r="F4528" s="1231"/>
      <c r="G4528" s="1231"/>
      <c r="H4528" s="1231"/>
      <c r="I4528" s="1231"/>
      <c r="J4528" s="1231"/>
      <c r="K4528" s="1231"/>
      <c r="L4528" s="1232"/>
      <c r="M4528" s="54"/>
      <c r="N4528" s="54"/>
      <c r="O4528" s="336"/>
      <c r="Q4528" s="335"/>
      <c r="R4528" s="336"/>
      <c r="S4528" s="337"/>
      <c r="U4528" s="60"/>
    </row>
    <row r="4529" spans="1:21" ht="30" customHeight="1" x14ac:dyDescent="0.25">
      <c r="A4529" s="1268" t="s">
        <v>314</v>
      </c>
      <c r="B4529" s="1167"/>
      <c r="C4529" s="1168"/>
      <c r="D4529" s="1230" t="s">
        <v>2499</v>
      </c>
      <c r="E4529" s="1231"/>
      <c r="F4529" s="1231"/>
      <c r="G4529" s="1231"/>
      <c r="H4529" s="1231"/>
      <c r="I4529" s="1231"/>
      <c r="J4529" s="1231"/>
      <c r="K4529" s="1231"/>
      <c r="L4529" s="1232"/>
      <c r="M4529" s="54"/>
      <c r="N4529" s="54"/>
      <c r="O4529" s="336"/>
      <c r="T4529" s="10"/>
    </row>
    <row r="4530" spans="1:21" ht="30" customHeight="1" x14ac:dyDescent="0.25">
      <c r="A4530" s="1268" t="s">
        <v>316</v>
      </c>
      <c r="B4530" s="1167"/>
      <c r="C4530" s="1168"/>
      <c r="D4530" s="1230" t="s">
        <v>2411</v>
      </c>
      <c r="E4530" s="1231"/>
      <c r="F4530" s="1231"/>
      <c r="G4530" s="1231"/>
      <c r="H4530" s="1231"/>
      <c r="I4530" s="1231"/>
      <c r="J4530" s="1231"/>
      <c r="K4530" s="1231"/>
      <c r="L4530" s="1232"/>
      <c r="M4530" s="54"/>
      <c r="N4530" s="54"/>
      <c r="O4530" s="336"/>
      <c r="T4530" s="60"/>
      <c r="U4530" s="10"/>
    </row>
    <row r="4531" spans="1:21" ht="30" customHeight="1" x14ac:dyDescent="0.25">
      <c r="A4531" s="1268" t="s">
        <v>318</v>
      </c>
      <c r="B4531" s="1167"/>
      <c r="C4531" s="1168"/>
      <c r="D4531" s="1230" t="s">
        <v>2250</v>
      </c>
      <c r="E4531" s="1231"/>
      <c r="F4531" s="1231"/>
      <c r="G4531" s="1231"/>
      <c r="H4531" s="1231"/>
      <c r="I4531" s="1231"/>
      <c r="J4531" s="1231"/>
      <c r="K4531" s="1231"/>
      <c r="L4531" s="1232"/>
      <c r="M4531" s="54"/>
      <c r="N4531" s="54"/>
      <c r="O4531" s="336"/>
      <c r="P4531" s="334"/>
      <c r="U4531" s="10"/>
    </row>
    <row r="4532" spans="1:21" ht="30" customHeight="1" x14ac:dyDescent="0.25">
      <c r="A4532" s="1268" t="s">
        <v>320</v>
      </c>
      <c r="B4532" s="1167"/>
      <c r="C4532" s="1168"/>
      <c r="D4532" s="1230" t="s">
        <v>2500</v>
      </c>
      <c r="E4532" s="1231"/>
      <c r="F4532" s="1231"/>
      <c r="G4532" s="1231"/>
      <c r="H4532" s="1231"/>
      <c r="I4532" s="1231"/>
      <c r="J4532" s="1231"/>
      <c r="K4532" s="1231"/>
      <c r="L4532" s="1232"/>
      <c r="M4532" s="54"/>
      <c r="N4532" s="54"/>
      <c r="O4532" s="340"/>
      <c r="P4532" s="334"/>
      <c r="T4532" s="10"/>
    </row>
    <row r="4533" spans="1:21" ht="75" customHeight="1" x14ac:dyDescent="0.25">
      <c r="A4533" s="1268" t="s">
        <v>322</v>
      </c>
      <c r="B4533" s="1167"/>
      <c r="C4533" s="1168"/>
      <c r="D4533" s="1230" t="s">
        <v>422</v>
      </c>
      <c r="E4533" s="1231"/>
      <c r="F4533" s="1231"/>
      <c r="G4533" s="1231"/>
      <c r="H4533" s="1231"/>
      <c r="I4533" s="1231"/>
      <c r="J4533" s="1231"/>
      <c r="K4533" s="1231"/>
      <c r="L4533" s="1232"/>
      <c r="M4533" s="54"/>
      <c r="N4533" s="54"/>
      <c r="O4533" s="336"/>
      <c r="P4533" s="334"/>
      <c r="T4533" s="10"/>
    </row>
    <row r="4534" spans="1:21" ht="45" customHeight="1" thickBot="1" x14ac:dyDescent="0.3">
      <c r="A4534" s="1265" t="s">
        <v>350</v>
      </c>
      <c r="B4534" s="1266"/>
      <c r="C4534" s="1267"/>
      <c r="D4534" s="1291" t="s">
        <v>3449</v>
      </c>
      <c r="E4534" s="1292"/>
      <c r="F4534" s="1292"/>
      <c r="G4534" s="1292"/>
      <c r="H4534" s="1292"/>
      <c r="I4534" s="1292"/>
      <c r="J4534" s="1292"/>
      <c r="K4534" s="1292"/>
      <c r="L4534" s="1293"/>
      <c r="M4534" s="54"/>
      <c r="N4534" s="54"/>
      <c r="O4534" s="336"/>
      <c r="P4534" s="334"/>
      <c r="Q4534" s="335"/>
      <c r="R4534" s="336"/>
      <c r="S4534" s="337"/>
    </row>
    <row r="4535" spans="1:21" ht="30" customHeight="1" thickBot="1" x14ac:dyDescent="0.3">
      <c r="A4535" s="1180"/>
      <c r="B4535" s="1181"/>
      <c r="C4535" s="1181"/>
      <c r="D4535" s="1181"/>
      <c r="E4535" s="1181"/>
      <c r="F4535" s="1181"/>
      <c r="G4535" s="1181"/>
      <c r="H4535" s="1181"/>
      <c r="I4535" s="1181"/>
      <c r="J4535" s="1181"/>
      <c r="K4535" s="1181"/>
      <c r="L4535" s="1182"/>
      <c r="M4535" s="54"/>
      <c r="N4535" s="111"/>
      <c r="O4535" s="336"/>
      <c r="P4535" s="334"/>
      <c r="Q4535" s="335"/>
      <c r="R4535" s="336"/>
      <c r="S4535" s="337"/>
    </row>
    <row r="4536" spans="1:21" ht="30" customHeight="1" x14ac:dyDescent="0.25">
      <c r="A4536" s="327" t="s">
        <v>5</v>
      </c>
      <c r="B4536" s="328">
        <v>8331</v>
      </c>
      <c r="C4536" s="1251" t="s">
        <v>3406</v>
      </c>
      <c r="D4536" s="1252"/>
      <c r="E4536" s="331" t="s">
        <v>8</v>
      </c>
      <c r="F4536" s="332" t="s">
        <v>205</v>
      </c>
      <c r="G4536" s="333" t="s">
        <v>7</v>
      </c>
      <c r="H4536" s="156">
        <v>1</v>
      </c>
      <c r="I4536" s="331" t="s">
        <v>10</v>
      </c>
      <c r="J4536" s="1339" t="s">
        <v>2501</v>
      </c>
      <c r="K4536" s="1339"/>
      <c r="L4536" s="1340"/>
      <c r="M4536" s="54"/>
      <c r="N4536" s="54"/>
      <c r="O4536" s="336"/>
      <c r="P4536" s="334"/>
      <c r="Q4536" s="335"/>
      <c r="R4536" s="336"/>
      <c r="S4536" s="337"/>
    </row>
    <row r="4537" spans="1:21" ht="30" customHeight="1" x14ac:dyDescent="0.25">
      <c r="A4537" s="359" t="s">
        <v>295</v>
      </c>
      <c r="B4537" s="1222" t="s">
        <v>326</v>
      </c>
      <c r="C4537" s="1235"/>
      <c r="D4537" s="1223"/>
      <c r="E4537" s="577" t="s">
        <v>116</v>
      </c>
      <c r="F4537" s="577" t="s">
        <v>117</v>
      </c>
      <c r="G4537" s="1194" t="s">
        <v>118</v>
      </c>
      <c r="H4537" s="1195"/>
      <c r="I4537" s="356" t="s">
        <v>296</v>
      </c>
      <c r="J4537" s="356" t="s">
        <v>284</v>
      </c>
      <c r="K4537" s="581" t="s">
        <v>285</v>
      </c>
      <c r="L4537" s="382"/>
      <c r="M4537" s="54"/>
      <c r="N4537" s="54"/>
      <c r="P4537" s="334"/>
      <c r="Q4537" s="335"/>
      <c r="R4537" s="336"/>
      <c r="S4537" s="337"/>
    </row>
    <row r="4538" spans="1:21" ht="30" customHeight="1" x14ac:dyDescent="0.25">
      <c r="A4538" s="369" t="s">
        <v>1904</v>
      </c>
      <c r="B4538" s="1172" t="s">
        <v>2502</v>
      </c>
      <c r="C4538" s="1173"/>
      <c r="D4538" s="1174"/>
      <c r="E4538" s="213">
        <v>64.5</v>
      </c>
      <c r="F4538" s="396" t="s">
        <v>205</v>
      </c>
      <c r="G4538" s="20"/>
      <c r="H4538" s="690"/>
      <c r="I4538" s="365">
        <v>1.23</v>
      </c>
      <c r="J4538" s="933">
        <v>1.2075</v>
      </c>
      <c r="K4538" s="246">
        <f>E4538*I4538*J4538</f>
        <v>95.797012499999994</v>
      </c>
      <c r="L4538" s="396" t="s">
        <v>205</v>
      </c>
      <c r="M4538" s="54"/>
      <c r="N4538" s="54"/>
      <c r="P4538" s="334"/>
      <c r="Q4538" s="335"/>
      <c r="R4538" s="336"/>
      <c r="S4538" s="337"/>
    </row>
    <row r="4539" spans="1:21" ht="30" customHeight="1" x14ac:dyDescent="0.25">
      <c r="A4539" s="835"/>
      <c r="B4539" s="1159"/>
      <c r="C4539" s="1159"/>
      <c r="D4539" s="1159"/>
      <c r="E4539" s="1032"/>
      <c r="F4539" s="1282" t="s">
        <v>303</v>
      </c>
      <c r="G4539" s="1283" t="s">
        <v>304</v>
      </c>
      <c r="H4539" s="1283"/>
      <c r="I4539" s="1283"/>
      <c r="J4539" s="1283"/>
      <c r="K4539" s="251">
        <v>1.04</v>
      </c>
      <c r="L4539" s="365"/>
      <c r="M4539" s="54"/>
      <c r="N4539" s="54"/>
      <c r="P4539" s="334"/>
      <c r="Q4539" s="335"/>
      <c r="R4539" s="336"/>
      <c r="S4539" s="337"/>
    </row>
    <row r="4540" spans="1:21" ht="30" customHeight="1" x14ac:dyDescent="0.25">
      <c r="A4540" s="835"/>
      <c r="B4540" s="1033" t="s">
        <v>2503</v>
      </c>
      <c r="C4540" s="1033"/>
      <c r="D4540" s="1033"/>
      <c r="E4540" s="231"/>
      <c r="F4540" s="1187"/>
      <c r="G4540" s="1644" t="s">
        <v>305</v>
      </c>
      <c r="H4540" s="1645"/>
      <c r="I4540" s="1645"/>
      <c r="J4540" s="1646"/>
      <c r="K4540" s="251">
        <v>1.06</v>
      </c>
      <c r="L4540" s="365"/>
      <c r="M4540" s="54"/>
      <c r="N4540" s="54"/>
      <c r="P4540" s="334"/>
      <c r="Q4540" s="335"/>
      <c r="R4540" s="336"/>
      <c r="S4540" s="337"/>
    </row>
    <row r="4541" spans="1:21" ht="30" customHeight="1" x14ac:dyDescent="0.25">
      <c r="A4541" s="985"/>
      <c r="B4541" s="1159"/>
      <c r="C4541" s="1159"/>
      <c r="D4541" s="1159"/>
      <c r="E4541" s="231"/>
      <c r="F4541" s="690"/>
      <c r="G4541" s="661"/>
      <c r="H4541" s="698"/>
      <c r="I4541" s="365"/>
      <c r="J4541" s="365" t="s">
        <v>72</v>
      </c>
      <c r="K4541" s="246">
        <f>+K4538*K4539/K4540</f>
        <v>93.989521698113194</v>
      </c>
      <c r="L4541" s="365" t="s">
        <v>205</v>
      </c>
      <c r="M4541" s="54"/>
      <c r="N4541" s="54"/>
      <c r="P4541" s="334"/>
      <c r="Q4541" s="335"/>
      <c r="R4541" s="336"/>
      <c r="S4541" s="337"/>
    </row>
    <row r="4542" spans="1:21" ht="30" customHeight="1" thickBot="1" x14ac:dyDescent="0.3">
      <c r="A4542" s="835"/>
      <c r="B4542" s="1418" t="s">
        <v>2504</v>
      </c>
      <c r="C4542" s="1418"/>
      <c r="D4542" s="1418"/>
      <c r="E4542" s="840"/>
      <c r="F4542" s="391"/>
      <c r="G4542" s="580" t="s">
        <v>306</v>
      </c>
      <c r="H4542" s="366"/>
      <c r="I4542" s="366"/>
      <c r="J4542" s="521">
        <f>VLOOKUP(B4536,'Mil Cost Premiums for PUCs'!$A$4:$R$277,18,FALSE)</f>
        <v>1.0485669999999998</v>
      </c>
      <c r="K4542" s="246">
        <f>+K4541*J4542</f>
        <v>98.554310798425433</v>
      </c>
      <c r="L4542" s="365" t="s">
        <v>205</v>
      </c>
      <c r="M4542" s="111"/>
      <c r="N4542" s="54"/>
      <c r="O4542" s="336"/>
      <c r="P4542" s="334"/>
      <c r="Q4542" s="335"/>
      <c r="R4542" s="336"/>
      <c r="S4542" s="337"/>
    </row>
    <row r="4543" spans="1:21" ht="30" customHeight="1" thickBot="1" x14ac:dyDescent="0.3">
      <c r="A4543" s="1414"/>
      <c r="B4543" s="1415"/>
      <c r="C4543" s="1415"/>
      <c r="D4543" s="1415"/>
      <c r="E4543" s="1415"/>
      <c r="F4543" s="1181"/>
      <c r="G4543" s="1181"/>
      <c r="H4543" s="1181"/>
      <c r="I4543" s="1181"/>
      <c r="J4543" s="1181"/>
      <c r="K4543" s="1181"/>
      <c r="L4543" s="1182"/>
      <c r="M4543" s="54"/>
      <c r="O4543" s="336"/>
      <c r="P4543" s="334"/>
      <c r="Q4543" s="335"/>
      <c r="R4543" s="336"/>
      <c r="S4543" s="337"/>
    </row>
    <row r="4544" spans="1:21" ht="30" customHeight="1" x14ac:dyDescent="0.25">
      <c r="A4544" s="327" t="s">
        <v>5</v>
      </c>
      <c r="B4544" s="328">
        <v>8332</v>
      </c>
      <c r="C4544" s="1251" t="s">
        <v>2505</v>
      </c>
      <c r="D4544" s="1252"/>
      <c r="E4544" s="331" t="s">
        <v>8</v>
      </c>
      <c r="F4544" s="332" t="s">
        <v>1388</v>
      </c>
      <c r="G4544" s="342" t="s">
        <v>74</v>
      </c>
      <c r="H4544" s="185">
        <v>10.8</v>
      </c>
      <c r="I4544" s="331" t="s">
        <v>10</v>
      </c>
      <c r="J4544" s="1220" t="s">
        <v>3388</v>
      </c>
      <c r="K4544" s="1220"/>
      <c r="L4544" s="1221"/>
      <c r="M4544" s="54"/>
      <c r="N4544" s="54"/>
      <c r="O4544" s="336"/>
      <c r="P4544" s="334"/>
      <c r="Q4544" s="335"/>
      <c r="R4544" s="336"/>
      <c r="S4544" s="337"/>
    </row>
    <row r="4545" spans="1:21" ht="30" customHeight="1" x14ac:dyDescent="0.25">
      <c r="A4545" s="359" t="s">
        <v>295</v>
      </c>
      <c r="B4545" s="1222" t="s">
        <v>326</v>
      </c>
      <c r="C4545" s="1235"/>
      <c r="D4545" s="1223"/>
      <c r="E4545" s="577" t="s">
        <v>116</v>
      </c>
      <c r="F4545" s="577" t="s">
        <v>117</v>
      </c>
      <c r="G4545" s="1194" t="s">
        <v>118</v>
      </c>
      <c r="H4545" s="1195"/>
      <c r="I4545" s="356" t="s">
        <v>296</v>
      </c>
      <c r="J4545" s="356"/>
      <c r="K4545" s="1236" t="s">
        <v>285</v>
      </c>
      <c r="L4545" s="1237"/>
      <c r="M4545" s="54"/>
      <c r="N4545" s="54"/>
      <c r="O4545" s="336"/>
      <c r="P4545" s="334"/>
      <c r="Q4545" s="335"/>
      <c r="R4545" s="336"/>
      <c r="S4545" s="337"/>
    </row>
    <row r="4546" spans="1:21" ht="30" customHeight="1" x14ac:dyDescent="0.25">
      <c r="A4546" s="365" t="s">
        <v>2506</v>
      </c>
      <c r="B4546" s="1214" t="s">
        <v>2507</v>
      </c>
      <c r="C4546" s="1215"/>
      <c r="D4546" s="1216"/>
      <c r="E4546" s="1034">
        <v>250000</v>
      </c>
      <c r="F4546" s="396" t="s">
        <v>1388</v>
      </c>
      <c r="G4546" s="689"/>
      <c r="H4546" s="690"/>
      <c r="I4546" s="365">
        <v>1.06</v>
      </c>
      <c r="J4546" s="365"/>
      <c r="K4546" s="752">
        <f>+E4546*I4546</f>
        <v>265000</v>
      </c>
      <c r="L4546" s="396" t="s">
        <v>1388</v>
      </c>
      <c r="M4546" s="54"/>
      <c r="N4546" s="54"/>
      <c r="O4546" s="336"/>
      <c r="P4546" s="334"/>
      <c r="Q4546" s="335"/>
      <c r="R4546" s="336"/>
      <c r="S4546" s="337"/>
    </row>
    <row r="4547" spans="1:21" ht="30" customHeight="1" x14ac:dyDescent="0.25">
      <c r="A4547" s="365" t="s">
        <v>2506</v>
      </c>
      <c r="B4547" s="1214" t="s">
        <v>2508</v>
      </c>
      <c r="C4547" s="1215"/>
      <c r="D4547" s="1216"/>
      <c r="E4547" s="7">
        <f>+(13700+20900)/2</f>
        <v>17300</v>
      </c>
      <c r="F4547" s="396" t="s">
        <v>76</v>
      </c>
      <c r="G4547" s="1035">
        <f>+H4544</f>
        <v>10.8</v>
      </c>
      <c r="H4547" s="690" t="s">
        <v>2509</v>
      </c>
      <c r="I4547" s="365">
        <v>1.06</v>
      </c>
      <c r="J4547" s="365"/>
      <c r="K4547" s="752">
        <f>+E4547/G4547*I4547</f>
        <v>1697.9629629629628</v>
      </c>
      <c r="L4547" s="396" t="s">
        <v>1388</v>
      </c>
      <c r="M4547" s="54"/>
      <c r="N4547" s="54"/>
      <c r="O4547" s="336"/>
      <c r="P4547" s="334"/>
      <c r="Q4547" s="335"/>
      <c r="R4547" s="336"/>
      <c r="S4547" s="337"/>
    </row>
    <row r="4548" spans="1:21" ht="30" customHeight="1" x14ac:dyDescent="0.25">
      <c r="A4548" s="365" t="s">
        <v>2405</v>
      </c>
      <c r="B4548" s="1214" t="s">
        <v>2510</v>
      </c>
      <c r="C4548" s="1215"/>
      <c r="D4548" s="1216"/>
      <c r="E4548" s="7">
        <f>+(103+173)/2</f>
        <v>138</v>
      </c>
      <c r="F4548" s="396" t="s">
        <v>341</v>
      </c>
      <c r="G4548" s="911">
        <f>50/H4544</f>
        <v>4.6296296296296298</v>
      </c>
      <c r="H4548" s="690" t="s">
        <v>2511</v>
      </c>
      <c r="I4548" s="365">
        <v>1.06</v>
      </c>
      <c r="J4548" s="365"/>
      <c r="K4548" s="752">
        <f>+E4548*G4548*I4548</f>
        <v>677.22222222222229</v>
      </c>
      <c r="L4548" s="396" t="s">
        <v>1388</v>
      </c>
      <c r="M4548" s="54"/>
      <c r="N4548" s="54"/>
      <c r="O4548" s="336"/>
      <c r="P4548" s="334"/>
      <c r="Q4548" s="335"/>
      <c r="R4548" s="336"/>
      <c r="S4548" s="337"/>
    </row>
    <row r="4549" spans="1:21" ht="30" customHeight="1" x14ac:dyDescent="0.25">
      <c r="A4549" s="365" t="s">
        <v>301</v>
      </c>
      <c r="B4549" s="1214" t="s">
        <v>2512</v>
      </c>
      <c r="C4549" s="1215"/>
      <c r="D4549" s="1216"/>
      <c r="E4549" s="7">
        <v>6950</v>
      </c>
      <c r="F4549" s="396" t="s">
        <v>76</v>
      </c>
      <c r="G4549" s="1035">
        <f>+H4544</f>
        <v>10.8</v>
      </c>
      <c r="H4549" s="690" t="s">
        <v>2509</v>
      </c>
      <c r="I4549" s="706">
        <v>1</v>
      </c>
      <c r="J4549" s="365"/>
      <c r="K4549" s="752">
        <f>+E4549/G4549*I4549</f>
        <v>643.51851851851848</v>
      </c>
      <c r="L4549" s="396" t="s">
        <v>1388</v>
      </c>
      <c r="M4549" s="54"/>
      <c r="N4549" s="54"/>
      <c r="O4549" s="336"/>
      <c r="P4549" s="334"/>
      <c r="Q4549" s="335"/>
      <c r="R4549" s="336"/>
      <c r="S4549" s="337"/>
    </row>
    <row r="4550" spans="1:21" ht="30" customHeight="1" x14ac:dyDescent="0.25">
      <c r="A4550" s="365" t="s">
        <v>301</v>
      </c>
      <c r="B4550" s="1214" t="s">
        <v>2513</v>
      </c>
      <c r="C4550" s="1215"/>
      <c r="D4550" s="1216"/>
      <c r="E4550" s="7">
        <f>+(2420+2875)/2</f>
        <v>2647.5</v>
      </c>
      <c r="F4550" s="396" t="s">
        <v>76</v>
      </c>
      <c r="G4550" s="1035">
        <f>+H4544</f>
        <v>10.8</v>
      </c>
      <c r="H4550" s="690" t="s">
        <v>2509</v>
      </c>
      <c r="I4550" s="706">
        <v>1</v>
      </c>
      <c r="J4550" s="365"/>
      <c r="K4550" s="752">
        <f>+E4550/G4550*I4550</f>
        <v>245.13888888888889</v>
      </c>
      <c r="L4550" s="396" t="s">
        <v>1388</v>
      </c>
      <c r="M4550" s="111"/>
      <c r="N4550" s="54"/>
      <c r="O4550" s="336"/>
      <c r="P4550" s="334"/>
      <c r="Q4550" s="335"/>
      <c r="R4550" s="336"/>
      <c r="S4550" s="337"/>
    </row>
    <row r="4551" spans="1:21" ht="30" customHeight="1" x14ac:dyDescent="0.25">
      <c r="A4551" s="365" t="s">
        <v>301</v>
      </c>
      <c r="B4551" s="1214" t="s">
        <v>2514</v>
      </c>
      <c r="C4551" s="1215"/>
      <c r="D4551" s="1216"/>
      <c r="E4551" s="7">
        <f>+(6750+7450)/2</f>
        <v>7100</v>
      </c>
      <c r="F4551" s="396" t="s">
        <v>76</v>
      </c>
      <c r="G4551" s="1035">
        <f>+H4544</f>
        <v>10.8</v>
      </c>
      <c r="H4551" s="690" t="s">
        <v>2509</v>
      </c>
      <c r="I4551" s="706">
        <v>1</v>
      </c>
      <c r="J4551" s="365"/>
      <c r="K4551" s="752">
        <f>+E4551/G4551*I4551</f>
        <v>657.40740740740739</v>
      </c>
      <c r="L4551" s="396" t="s">
        <v>1388</v>
      </c>
      <c r="M4551" s="54"/>
      <c r="N4551" s="54"/>
      <c r="O4551" s="336"/>
      <c r="P4551" s="334"/>
      <c r="Q4551" s="335"/>
      <c r="R4551" s="336"/>
      <c r="S4551" s="337"/>
    </row>
    <row r="4552" spans="1:21" ht="30" customHeight="1" x14ac:dyDescent="0.25">
      <c r="A4552" s="365" t="s">
        <v>301</v>
      </c>
      <c r="B4552" s="1214" t="s">
        <v>2515</v>
      </c>
      <c r="C4552" s="1215"/>
      <c r="D4552" s="1216"/>
      <c r="E4552" s="7">
        <f>+(2370+2925)/2</f>
        <v>2647.5</v>
      </c>
      <c r="F4552" s="396" t="s">
        <v>76</v>
      </c>
      <c r="G4552" s="1035">
        <f>+H4544</f>
        <v>10.8</v>
      </c>
      <c r="H4552" s="690" t="s">
        <v>2509</v>
      </c>
      <c r="I4552" s="706">
        <v>1</v>
      </c>
      <c r="J4552" s="365"/>
      <c r="K4552" s="752">
        <f>+E4552/G4552*I4552*2</f>
        <v>490.27777777777777</v>
      </c>
      <c r="L4552" s="396" t="s">
        <v>1388</v>
      </c>
      <c r="M4552" s="54"/>
      <c r="N4552" s="54"/>
      <c r="O4552" s="336"/>
      <c r="P4552" s="334"/>
      <c r="Q4552" s="335"/>
      <c r="R4552" s="336"/>
      <c r="S4552" s="337"/>
    </row>
    <row r="4553" spans="1:21" ht="30" customHeight="1" x14ac:dyDescent="0.25">
      <c r="A4553" s="366"/>
      <c r="B4553" s="1269"/>
      <c r="C4553" s="1269"/>
      <c r="D4553" s="1269"/>
      <c r="E4553" s="247"/>
      <c r="F4553" s="365"/>
      <c r="G4553" s="365"/>
      <c r="H4553" s="365"/>
      <c r="I4553" s="365"/>
      <c r="J4553" s="365" t="s">
        <v>343</v>
      </c>
      <c r="K4553" s="259">
        <f>SUM(K4546:K4552)</f>
        <v>269411.52777777781</v>
      </c>
      <c r="L4553" s="396" t="s">
        <v>1388</v>
      </c>
      <c r="M4553" s="54"/>
      <c r="N4553" s="54"/>
      <c r="O4553" s="336"/>
      <c r="P4553" s="334"/>
      <c r="Q4553" s="335"/>
      <c r="R4553" s="336"/>
      <c r="S4553" s="337"/>
    </row>
    <row r="4554" spans="1:21" ht="30" customHeight="1" x14ac:dyDescent="0.25">
      <c r="A4554" s="365"/>
      <c r="B4554" s="578"/>
      <c r="C4554" s="578"/>
      <c r="D4554" s="578"/>
      <c r="E4554" s="247"/>
      <c r="F4554" s="1272" t="s">
        <v>303</v>
      </c>
      <c r="G4554" s="1283" t="s">
        <v>304</v>
      </c>
      <c r="H4554" s="1283"/>
      <c r="I4554" s="1283"/>
      <c r="J4554" s="1283"/>
      <c r="K4554" s="250">
        <v>1.07</v>
      </c>
      <c r="L4554" s="365"/>
      <c r="M4554" s="54"/>
      <c r="N4554" s="54"/>
      <c r="O4554" s="336"/>
      <c r="P4554" s="334"/>
      <c r="Q4554" s="335"/>
      <c r="R4554" s="336"/>
      <c r="S4554" s="337"/>
    </row>
    <row r="4555" spans="1:21" ht="30" customHeight="1" x14ac:dyDescent="0.25">
      <c r="A4555" s="365"/>
      <c r="B4555" s="578"/>
      <c r="C4555" s="578"/>
      <c r="D4555" s="578"/>
      <c r="E4555" s="247"/>
      <c r="F4555" s="1273"/>
      <c r="G4555" s="1284" t="s">
        <v>438</v>
      </c>
      <c r="H4555" s="1284"/>
      <c r="I4555" s="1284"/>
      <c r="J4555" s="1284"/>
      <c r="K4555" s="250">
        <v>1.08</v>
      </c>
      <c r="L4555" s="365"/>
      <c r="M4555" s="54"/>
      <c r="N4555" s="54"/>
      <c r="O4555" s="336"/>
      <c r="P4555" s="334"/>
      <c r="Q4555" s="335"/>
      <c r="R4555" s="336"/>
      <c r="S4555" s="337"/>
    </row>
    <row r="4556" spans="1:21" s="345" customFormat="1" ht="30" customHeight="1" x14ac:dyDescent="0.25">
      <c r="A4556" s="366"/>
      <c r="B4556" s="365"/>
      <c r="C4556" s="366"/>
      <c r="D4556" s="366"/>
      <c r="E4556" s="366"/>
      <c r="F4556" s="366"/>
      <c r="G4556" s="366"/>
      <c r="H4556" s="366"/>
      <c r="I4556" s="366"/>
      <c r="J4556" s="365" t="s">
        <v>72</v>
      </c>
      <c r="K4556" s="246">
        <f>+K4553*K4554/K4555</f>
        <v>266916.97659465024</v>
      </c>
      <c r="L4556" s="365" t="s">
        <v>1388</v>
      </c>
      <c r="M4556" s="54"/>
      <c r="N4556" s="57"/>
      <c r="O4556" s="469"/>
      <c r="P4556" s="344"/>
      <c r="Q4556" s="538"/>
      <c r="R4556" s="469"/>
      <c r="S4556" s="824"/>
    </row>
    <row r="4557" spans="1:21" ht="30" customHeight="1" x14ac:dyDescent="0.25">
      <c r="A4557" s="365"/>
      <c r="B4557" s="365"/>
      <c r="C4557" s="366"/>
      <c r="D4557" s="366"/>
      <c r="E4557" s="366"/>
      <c r="F4557" s="366"/>
      <c r="G4557" s="580" t="s">
        <v>306</v>
      </c>
      <c r="H4557" s="366"/>
      <c r="I4557" s="366"/>
      <c r="J4557" s="521">
        <f>VLOOKUP(B4544,'Mil Cost Premiums for PUCs'!$A$4:$R$277,18,FALSE)</f>
        <v>1.1199953840399997</v>
      </c>
      <c r="K4557" s="246">
        <f>+K4556*J4557</f>
        <v>298945.78170792089</v>
      </c>
      <c r="L4557" s="365" t="s">
        <v>1388</v>
      </c>
      <c r="M4557" s="54"/>
      <c r="N4557" s="54"/>
      <c r="O4557" s="336"/>
      <c r="Q4557" s="335"/>
      <c r="R4557" s="336"/>
      <c r="S4557" s="337"/>
      <c r="U4557" s="10"/>
    </row>
    <row r="4558" spans="1:21" ht="30" customHeight="1" thickBot="1" x14ac:dyDescent="0.3">
      <c r="A4558" s="844"/>
      <c r="B4558" s="844"/>
      <c r="C4558" s="471"/>
      <c r="D4558" s="471"/>
      <c r="E4558" s="471"/>
      <c r="F4558" s="1278" t="s">
        <v>1148</v>
      </c>
      <c r="G4558" s="1278"/>
      <c r="H4558" s="1278"/>
      <c r="I4558" s="1278"/>
      <c r="J4558" s="987">
        <v>1.0833999999999999</v>
      </c>
      <c r="K4558" s="988">
        <f>K4557*J4558</f>
        <v>323877.85990236147</v>
      </c>
      <c r="L4558" s="365" t="s">
        <v>1388</v>
      </c>
      <c r="N4558" s="54"/>
      <c r="O4558" s="336"/>
      <c r="Q4558" s="335"/>
      <c r="R4558" s="336"/>
      <c r="S4558" s="337"/>
      <c r="U4558" s="10"/>
    </row>
    <row r="4559" spans="1:21" ht="30" customHeight="1" thickBot="1" x14ac:dyDescent="0.3">
      <c r="A4559" s="1180"/>
      <c r="B4559" s="1181"/>
      <c r="C4559" s="1181"/>
      <c r="D4559" s="1181"/>
      <c r="E4559" s="1181"/>
      <c r="F4559" s="1181"/>
      <c r="G4559" s="1181"/>
      <c r="H4559" s="1181"/>
      <c r="I4559" s="1181"/>
      <c r="J4559" s="1181"/>
      <c r="K4559" s="1181"/>
      <c r="L4559" s="1182"/>
      <c r="M4559" s="54"/>
      <c r="N4559" s="111"/>
      <c r="O4559" s="336"/>
      <c r="T4559" s="10"/>
      <c r="U4559" s="10"/>
    </row>
    <row r="4560" spans="1:21" ht="30" customHeight="1" x14ac:dyDescent="0.25">
      <c r="A4560" s="327" t="s">
        <v>5</v>
      </c>
      <c r="B4560" s="328">
        <v>8333</v>
      </c>
      <c r="C4560" s="1251" t="s">
        <v>2516</v>
      </c>
      <c r="D4560" s="1252"/>
      <c r="E4560" s="331" t="s">
        <v>8</v>
      </c>
      <c r="F4560" s="341" t="s">
        <v>712</v>
      </c>
      <c r="G4560" s="342" t="s">
        <v>74</v>
      </c>
      <c r="H4560" s="185">
        <v>22.2</v>
      </c>
      <c r="I4560" s="331" t="s">
        <v>10</v>
      </c>
      <c r="J4560" s="1220" t="s">
        <v>2517</v>
      </c>
      <c r="K4560" s="1220"/>
      <c r="L4560" s="1221"/>
      <c r="M4560" s="54"/>
      <c r="N4560" s="54"/>
      <c r="O4560" s="336"/>
      <c r="T4560" s="10"/>
      <c r="U4560" s="60"/>
    </row>
    <row r="4561" spans="1:21" ht="30" customHeight="1" x14ac:dyDescent="0.25">
      <c r="A4561" s="356"/>
      <c r="B4561" s="1163" t="s">
        <v>13</v>
      </c>
      <c r="C4561" s="1163"/>
      <c r="D4561" s="1163"/>
      <c r="E4561" s="356" t="s">
        <v>576</v>
      </c>
      <c r="F4561" s="356" t="s">
        <v>15</v>
      </c>
      <c r="G4561" s="1194" t="s">
        <v>118</v>
      </c>
      <c r="H4561" s="1195"/>
      <c r="I4561" s="356" t="s">
        <v>119</v>
      </c>
      <c r="J4561" s="828" t="s">
        <v>284</v>
      </c>
      <c r="K4561" s="1236" t="s">
        <v>285</v>
      </c>
      <c r="L4561" s="1237"/>
      <c r="M4561" s="54"/>
      <c r="N4561" s="54"/>
      <c r="O4561" s="336"/>
      <c r="T4561" s="10"/>
    </row>
    <row r="4562" spans="1:21" ht="30" customHeight="1" x14ac:dyDescent="0.25">
      <c r="A4562" s="360"/>
      <c r="B4562" s="1164" t="s">
        <v>2518</v>
      </c>
      <c r="C4562" s="1164"/>
      <c r="D4562" s="1164"/>
      <c r="E4562" s="363">
        <v>521505</v>
      </c>
      <c r="F4562" s="360" t="s">
        <v>712</v>
      </c>
      <c r="G4562" s="366"/>
      <c r="H4562" s="732"/>
      <c r="I4562" s="1036">
        <v>0.93</v>
      </c>
      <c r="J4562" s="748">
        <f>'2022 MILCON Inflation Table'!F15</f>
        <v>1.1446122264727614</v>
      </c>
      <c r="K4562" s="363">
        <f>+E4562/I4562*J4562</f>
        <v>641850.53673836275</v>
      </c>
      <c r="L4562" s="360" t="s">
        <v>712</v>
      </c>
      <c r="M4562" s="54"/>
      <c r="N4562" s="54"/>
      <c r="O4562" s="336"/>
      <c r="P4562" s="334"/>
      <c r="U4562" s="10"/>
    </row>
    <row r="4563" spans="1:21" ht="30" customHeight="1" x14ac:dyDescent="0.25">
      <c r="A4563" s="360"/>
      <c r="B4563" s="1164" t="s">
        <v>2519</v>
      </c>
      <c r="C4563" s="1164"/>
      <c r="D4563" s="1164"/>
      <c r="E4563" s="363">
        <v>1200000</v>
      </c>
      <c r="F4563" s="360" t="s">
        <v>712</v>
      </c>
      <c r="G4563" s="366"/>
      <c r="H4563" s="732"/>
      <c r="I4563" s="1036">
        <v>1.06</v>
      </c>
      <c r="J4563" s="748">
        <f>'2022 MILCON Inflation Table'!F17</f>
        <v>1.0833841548808889</v>
      </c>
      <c r="K4563" s="363">
        <f>+E4563/I4563*J4563</f>
        <v>1226472.6281670441</v>
      </c>
      <c r="L4563" s="360" t="s">
        <v>712</v>
      </c>
      <c r="M4563" s="54"/>
      <c r="N4563" s="54"/>
      <c r="O4563" s="336"/>
      <c r="P4563" s="334"/>
      <c r="T4563" s="10"/>
    </row>
    <row r="4564" spans="1:21" ht="30" customHeight="1" x14ac:dyDescent="0.25">
      <c r="A4564" s="360"/>
      <c r="B4564" s="1164" t="s">
        <v>2520</v>
      </c>
      <c r="C4564" s="1164"/>
      <c r="D4564" s="1164"/>
      <c r="E4564" s="363">
        <v>380000</v>
      </c>
      <c r="F4564" s="360" t="s">
        <v>712</v>
      </c>
      <c r="G4564" s="366"/>
      <c r="H4564" s="732"/>
      <c r="I4564" s="1036">
        <v>1.1399999999999999</v>
      </c>
      <c r="J4564" s="748">
        <f>'2022 MILCON Inflation Table'!F14</f>
        <v>1.2075096234029197</v>
      </c>
      <c r="K4564" s="363">
        <f>+E4564/I4564*J4564</f>
        <v>402503.20780097326</v>
      </c>
      <c r="L4564" s="360" t="s">
        <v>712</v>
      </c>
      <c r="M4564" s="54"/>
      <c r="N4564" s="54"/>
      <c r="O4564" s="336"/>
      <c r="T4564" s="10"/>
    </row>
    <row r="4565" spans="1:21" ht="30" customHeight="1" x14ac:dyDescent="0.25">
      <c r="A4565" s="360"/>
      <c r="B4565" s="385"/>
      <c r="C4565" s="385"/>
      <c r="D4565" s="385"/>
      <c r="E4565" s="880"/>
      <c r="F4565" s="346"/>
      <c r="G4565" s="587"/>
      <c r="H4565" s="729"/>
      <c r="I4565" s="1036"/>
      <c r="J4565" s="359" t="s">
        <v>72</v>
      </c>
      <c r="K4565" s="243">
        <f>AVERAGE(K4562:K4563)</f>
        <v>934161.5824527035</v>
      </c>
      <c r="L4565" s="365" t="s">
        <v>712</v>
      </c>
      <c r="M4565" s="54"/>
      <c r="N4565" s="54"/>
      <c r="O4565" s="336"/>
      <c r="Q4565" s="335"/>
      <c r="R4565" s="336"/>
      <c r="S4565" s="337"/>
      <c r="U4565" s="10"/>
    </row>
    <row r="4566" spans="1:21" ht="30" customHeight="1" x14ac:dyDescent="0.25">
      <c r="A4566" s="365"/>
      <c r="B4566" s="1281"/>
      <c r="C4566" s="1281"/>
      <c r="D4566" s="1281"/>
      <c r="E4566" s="738"/>
      <c r="F4566" s="591"/>
      <c r="G4566" s="580" t="s">
        <v>306</v>
      </c>
      <c r="H4566" s="366"/>
      <c r="I4566" s="366"/>
      <c r="J4566" s="521">
        <f>VLOOKUP(B4560,'Mil Cost Premiums for PUCs'!$A$4:$R$277,18,FALSE)</f>
        <v>1.1199953840399997</v>
      </c>
      <c r="K4566" s="246">
        <f>+K4565*J4566</f>
        <v>1046256.6602945294</v>
      </c>
      <c r="L4566" s="365" t="s">
        <v>712</v>
      </c>
      <c r="M4566" s="54"/>
      <c r="N4566" s="54"/>
      <c r="Q4566" s="335"/>
      <c r="R4566" s="336"/>
      <c r="S4566" s="337"/>
      <c r="U4566" s="60"/>
    </row>
    <row r="4567" spans="1:21" ht="30" customHeight="1" thickBot="1" x14ac:dyDescent="0.3">
      <c r="A4567" s="1291" t="s">
        <v>2521</v>
      </c>
      <c r="B4567" s="1292"/>
      <c r="C4567" s="1292"/>
      <c r="D4567" s="1292"/>
      <c r="E4567" s="1292"/>
      <c r="F4567" s="1292"/>
      <c r="G4567" s="1292"/>
      <c r="H4567" s="1292"/>
      <c r="I4567" s="1292"/>
      <c r="J4567" s="1292"/>
      <c r="K4567" s="1292"/>
      <c r="L4567" s="1293"/>
      <c r="M4567" s="54"/>
      <c r="N4567" s="54"/>
      <c r="T4567" s="10"/>
      <c r="U4567" s="10"/>
    </row>
    <row r="4568" spans="1:21" ht="30" customHeight="1" thickBot="1" x14ac:dyDescent="0.3">
      <c r="A4568" s="1180"/>
      <c r="B4568" s="1181"/>
      <c r="C4568" s="1181"/>
      <c r="D4568" s="1181"/>
      <c r="E4568" s="1181"/>
      <c r="F4568" s="1181"/>
      <c r="G4568" s="1181"/>
      <c r="H4568" s="1181"/>
      <c r="I4568" s="1181"/>
      <c r="J4568" s="1181"/>
      <c r="K4568" s="1181"/>
      <c r="L4568" s="1182"/>
      <c r="M4568" s="54"/>
      <c r="N4568" s="54"/>
      <c r="T4568" s="60"/>
    </row>
    <row r="4569" spans="1:21" ht="30" customHeight="1" x14ac:dyDescent="0.25">
      <c r="A4569" s="327" t="s">
        <v>5</v>
      </c>
      <c r="B4569" s="328">
        <v>8334</v>
      </c>
      <c r="C4569" s="1251" t="s">
        <v>2522</v>
      </c>
      <c r="D4569" s="1252"/>
      <c r="E4569" s="331" t="s">
        <v>8</v>
      </c>
      <c r="F4569" s="332" t="s">
        <v>712</v>
      </c>
      <c r="G4569" s="342" t="s">
        <v>74</v>
      </c>
      <c r="H4569" s="185">
        <v>17.149999999999999</v>
      </c>
      <c r="I4569" s="331" t="s">
        <v>10</v>
      </c>
      <c r="J4569" s="1220" t="s">
        <v>2523</v>
      </c>
      <c r="K4569" s="1220"/>
      <c r="L4569" s="1221"/>
      <c r="M4569" s="111"/>
      <c r="N4569" s="54"/>
      <c r="T4569" s="10"/>
    </row>
    <row r="4570" spans="1:21" ht="30" customHeight="1" x14ac:dyDescent="0.25">
      <c r="A4570" s="356"/>
      <c r="B4570" s="1673" t="s">
        <v>13</v>
      </c>
      <c r="C4570" s="1673"/>
      <c r="D4570" s="1673"/>
      <c r="E4570" s="357" t="s">
        <v>576</v>
      </c>
      <c r="F4570" s="357" t="s">
        <v>15</v>
      </c>
      <c r="G4570" s="1530" t="s">
        <v>118</v>
      </c>
      <c r="H4570" s="1531"/>
      <c r="I4570" s="356" t="s">
        <v>119</v>
      </c>
      <c r="J4570" s="828" t="s">
        <v>284</v>
      </c>
      <c r="K4570" s="1236" t="s">
        <v>285</v>
      </c>
      <c r="L4570" s="1237"/>
      <c r="M4570" s="54"/>
      <c r="N4570" s="54"/>
    </row>
    <row r="4571" spans="1:21" ht="30" customHeight="1" x14ac:dyDescent="0.25">
      <c r="A4571" s="342"/>
      <c r="B4571" s="1510" t="s">
        <v>2524</v>
      </c>
      <c r="C4571" s="1510"/>
      <c r="D4571" s="1510"/>
      <c r="E4571" s="1037">
        <f>K4566</f>
        <v>1046256.6602945294</v>
      </c>
      <c r="F4571" s="623" t="s">
        <v>712</v>
      </c>
      <c r="G4571" s="603">
        <v>1.27</v>
      </c>
      <c r="H4571" s="1038" t="s">
        <v>2525</v>
      </c>
      <c r="I4571" s="1039">
        <v>1</v>
      </c>
      <c r="J4571" s="748">
        <v>1</v>
      </c>
      <c r="K4571" s="363">
        <f>E4571*G4571*I4571*J4571</f>
        <v>1328745.9585740524</v>
      </c>
      <c r="L4571" s="360" t="s">
        <v>712</v>
      </c>
      <c r="M4571" s="57"/>
      <c r="N4571" s="54"/>
      <c r="O4571" s="336"/>
      <c r="T4571" s="10"/>
      <c r="U4571" s="60"/>
    </row>
    <row r="4572" spans="1:21" ht="30" customHeight="1" x14ac:dyDescent="0.25">
      <c r="A4572" s="661"/>
      <c r="B4572" s="1159"/>
      <c r="C4572" s="1159"/>
      <c r="D4572" s="1159"/>
      <c r="E4572" s="1159" t="s">
        <v>2526</v>
      </c>
      <c r="F4572" s="1159"/>
      <c r="G4572" s="1159"/>
      <c r="H4572" s="1159"/>
      <c r="I4572" s="391"/>
      <c r="J4572" s="359" t="s">
        <v>72</v>
      </c>
      <c r="K4572" s="278">
        <f>+K4571</f>
        <v>1328745.9585740524</v>
      </c>
      <c r="L4572" s="365" t="s">
        <v>712</v>
      </c>
      <c r="M4572" s="54"/>
      <c r="N4572" s="54"/>
    </row>
    <row r="4573" spans="1:21" ht="30" customHeight="1" x14ac:dyDescent="0.25">
      <c r="A4573" s="1381" t="s">
        <v>3487</v>
      </c>
      <c r="B4573" s="1382"/>
      <c r="C4573" s="1382"/>
      <c r="D4573" s="1382"/>
      <c r="E4573" s="1382"/>
      <c r="F4573" s="1382"/>
      <c r="G4573" s="1382"/>
      <c r="H4573" s="1382"/>
      <c r="I4573" s="1382"/>
      <c r="J4573" s="1382"/>
      <c r="K4573" s="1382"/>
      <c r="L4573" s="1383"/>
      <c r="M4573" s="54"/>
      <c r="N4573" s="54"/>
    </row>
    <row r="4574" spans="1:21" ht="30" customHeight="1" thickBot="1" x14ac:dyDescent="0.3">
      <c r="A4574" s="1381"/>
      <c r="B4574" s="1382"/>
      <c r="C4574" s="1382"/>
      <c r="D4574" s="1382"/>
      <c r="E4574" s="1382"/>
      <c r="F4574" s="1382"/>
      <c r="G4574" s="1382"/>
      <c r="H4574" s="1382"/>
      <c r="I4574" s="1382"/>
      <c r="J4574" s="1382"/>
      <c r="K4574" s="1382"/>
      <c r="L4574" s="1383"/>
      <c r="M4574" s="111"/>
      <c r="N4574" s="54"/>
      <c r="U4574" s="10"/>
    </row>
    <row r="4575" spans="1:21" ht="30" customHeight="1" thickBot="1" x14ac:dyDescent="0.3">
      <c r="A4575" s="1180"/>
      <c r="B4575" s="1181"/>
      <c r="C4575" s="1181"/>
      <c r="D4575" s="1181"/>
      <c r="E4575" s="1181"/>
      <c r="F4575" s="1181"/>
      <c r="G4575" s="1181"/>
      <c r="H4575" s="1181"/>
      <c r="I4575" s="1181"/>
      <c r="J4575" s="1181"/>
      <c r="K4575" s="1181"/>
      <c r="L4575" s="1182"/>
      <c r="M4575" s="112"/>
      <c r="N4575" s="54"/>
      <c r="O4575" s="336"/>
      <c r="U4575" s="10"/>
    </row>
    <row r="4576" spans="1:21" ht="30" customHeight="1" x14ac:dyDescent="0.25">
      <c r="A4576" s="327" t="s">
        <v>5</v>
      </c>
      <c r="B4576" s="328">
        <v>8412</v>
      </c>
      <c r="C4576" s="1364" t="s">
        <v>2527</v>
      </c>
      <c r="D4576" s="1365"/>
      <c r="E4576" s="331" t="s">
        <v>8</v>
      </c>
      <c r="F4576" s="332" t="s">
        <v>2465</v>
      </c>
      <c r="G4576" s="342" t="s">
        <v>74</v>
      </c>
      <c r="H4576" s="156">
        <v>1189</v>
      </c>
      <c r="I4576" s="331" t="s">
        <v>10</v>
      </c>
      <c r="J4576" s="1220" t="s">
        <v>1384</v>
      </c>
      <c r="K4576" s="1220"/>
      <c r="L4576" s="1221"/>
      <c r="M4576" s="54"/>
      <c r="N4576" s="54"/>
      <c r="O4576" s="336"/>
      <c r="T4576" s="10"/>
    </row>
    <row r="4577" spans="1:21" ht="30" customHeight="1" x14ac:dyDescent="0.25">
      <c r="A4577" s="359" t="s">
        <v>295</v>
      </c>
      <c r="B4577" s="1222" t="s">
        <v>326</v>
      </c>
      <c r="C4577" s="1235"/>
      <c r="D4577" s="1223"/>
      <c r="E4577" s="577" t="s">
        <v>116</v>
      </c>
      <c r="F4577" s="577" t="s">
        <v>117</v>
      </c>
      <c r="G4577" s="1194" t="s">
        <v>118</v>
      </c>
      <c r="H4577" s="1195"/>
      <c r="I4577" s="356" t="s">
        <v>296</v>
      </c>
      <c r="J4577" s="356" t="s">
        <v>284</v>
      </c>
      <c r="K4577" s="1236" t="s">
        <v>285</v>
      </c>
      <c r="L4577" s="1237"/>
      <c r="M4577" s="54"/>
      <c r="N4577" s="54"/>
      <c r="T4577" s="10"/>
    </row>
    <row r="4578" spans="1:21" ht="30" customHeight="1" x14ac:dyDescent="0.25">
      <c r="A4578" s="365" t="s">
        <v>1386</v>
      </c>
      <c r="B4578" s="1209" t="s">
        <v>2528</v>
      </c>
      <c r="C4578" s="1210"/>
      <c r="D4578" s="1211"/>
      <c r="E4578" s="7">
        <f>+((4.57+5.44)/2)</f>
        <v>5.0050000000000008</v>
      </c>
      <c r="F4578" s="396" t="s">
        <v>2529</v>
      </c>
      <c r="G4578" s="20">
        <v>1000</v>
      </c>
      <c r="H4578" s="690" t="s">
        <v>2467</v>
      </c>
      <c r="I4578" s="365">
        <v>1.05</v>
      </c>
      <c r="J4578" s="933">
        <v>1.2075</v>
      </c>
      <c r="K4578" s="246">
        <f>+E4578*G4578*I4578*J4578</f>
        <v>6345.7143750000014</v>
      </c>
      <c r="L4578" s="396" t="s">
        <v>2465</v>
      </c>
      <c r="M4578" s="54"/>
      <c r="N4578" s="54"/>
    </row>
    <row r="4579" spans="1:21" ht="30" customHeight="1" x14ac:dyDescent="0.25">
      <c r="A4579" s="365"/>
      <c r="B4579" s="578"/>
      <c r="C4579" s="578"/>
      <c r="D4579" s="578"/>
      <c r="E4579" s="247"/>
      <c r="F4579" s="1272" t="s">
        <v>303</v>
      </c>
      <c r="G4579" s="1283" t="s">
        <v>304</v>
      </c>
      <c r="H4579" s="1283"/>
      <c r="I4579" s="1283"/>
      <c r="J4579" s="1283"/>
      <c r="K4579" s="250">
        <v>1.07</v>
      </c>
      <c r="L4579" s="365"/>
      <c r="M4579" s="54"/>
      <c r="N4579" s="54"/>
    </row>
    <row r="4580" spans="1:21" ht="30" customHeight="1" x14ac:dyDescent="0.25">
      <c r="A4580" s="365"/>
      <c r="B4580" s="578"/>
      <c r="C4580" s="578"/>
      <c r="D4580" s="578"/>
      <c r="E4580" s="247"/>
      <c r="F4580" s="1273"/>
      <c r="G4580" s="1284" t="s">
        <v>438</v>
      </c>
      <c r="H4580" s="1284"/>
      <c r="I4580" s="1284"/>
      <c r="J4580" s="1284"/>
      <c r="K4580" s="250">
        <v>1.08</v>
      </c>
      <c r="L4580" s="365"/>
      <c r="M4580" s="54"/>
      <c r="N4580" s="54"/>
    </row>
    <row r="4581" spans="1:21" ht="30" customHeight="1" x14ac:dyDescent="0.25">
      <c r="A4581" s="755"/>
      <c r="B4581" s="1214"/>
      <c r="C4581" s="1215"/>
      <c r="D4581" s="1216"/>
      <c r="E4581" s="247"/>
      <c r="F4581" s="396"/>
      <c r="G4581" s="661"/>
      <c r="H4581" s="698"/>
      <c r="I4581" s="365"/>
      <c r="J4581" s="365" t="s">
        <v>72</v>
      </c>
      <c r="K4581" s="246">
        <f>+K4578*K4579/K4580</f>
        <v>6286.957760416668</v>
      </c>
      <c r="L4581" s="365" t="s">
        <v>2465</v>
      </c>
      <c r="M4581" s="54"/>
      <c r="N4581" s="54"/>
    </row>
    <row r="4582" spans="1:21" ht="30" customHeight="1" x14ac:dyDescent="0.25">
      <c r="A4582" s="755"/>
      <c r="B4582" s="561"/>
      <c r="C4582" s="562"/>
      <c r="D4582" s="563"/>
      <c r="E4582" s="247"/>
      <c r="F4582" s="396"/>
      <c r="G4582" s="580" t="s">
        <v>306</v>
      </c>
      <c r="H4582" s="698"/>
      <c r="I4582" s="365"/>
      <c r="J4582" s="521">
        <f>VLOOKUP(B4576,'Mil Cost Premiums for PUCs'!$A$4:$R$277,18,FALSE)</f>
        <v>1.1199953840399997</v>
      </c>
      <c r="K4582" s="246">
        <f>+K4581*J4582</f>
        <v>7041.3636713211217</v>
      </c>
      <c r="L4582" s="365" t="s">
        <v>2465</v>
      </c>
      <c r="M4582" s="54"/>
      <c r="N4582" s="54"/>
    </row>
    <row r="4583" spans="1:21" ht="75" customHeight="1" x14ac:dyDescent="0.25">
      <c r="A4583" s="1230" t="s">
        <v>307</v>
      </c>
      <c r="B4583" s="1231"/>
      <c r="C4583" s="1231"/>
      <c r="D4583" s="1231"/>
      <c r="E4583" s="1231"/>
      <c r="F4583" s="1231"/>
      <c r="G4583" s="1231"/>
      <c r="H4583" s="1231"/>
      <c r="I4583" s="1231"/>
      <c r="J4583" s="1231"/>
      <c r="K4583" s="1231"/>
      <c r="L4583" s="1232"/>
      <c r="M4583" s="54"/>
      <c r="N4583" s="54"/>
    </row>
    <row r="4584" spans="1:21" ht="30" customHeight="1" x14ac:dyDescent="0.25">
      <c r="A4584" s="1268" t="s">
        <v>308</v>
      </c>
      <c r="B4584" s="1167"/>
      <c r="C4584" s="1168"/>
      <c r="D4584" s="1230" t="s">
        <v>3450</v>
      </c>
      <c r="E4584" s="1231"/>
      <c r="F4584" s="1231"/>
      <c r="G4584" s="1231"/>
      <c r="H4584" s="1231"/>
      <c r="I4584" s="1231"/>
      <c r="J4584" s="1231"/>
      <c r="K4584" s="1231"/>
      <c r="L4584" s="1232"/>
      <c r="M4584" s="54"/>
      <c r="N4584" s="54"/>
      <c r="U4584" s="10"/>
    </row>
    <row r="4585" spans="1:21" ht="30" customHeight="1" x14ac:dyDescent="0.25">
      <c r="A4585" s="1268" t="s">
        <v>310</v>
      </c>
      <c r="B4585" s="1167"/>
      <c r="C4585" s="1168"/>
      <c r="D4585" s="1230" t="s">
        <v>3451</v>
      </c>
      <c r="E4585" s="1231"/>
      <c r="F4585" s="1231"/>
      <c r="G4585" s="1231"/>
      <c r="H4585" s="1231"/>
      <c r="I4585" s="1231"/>
      <c r="J4585" s="1231"/>
      <c r="K4585" s="1231"/>
      <c r="L4585" s="1232"/>
      <c r="M4585" s="54"/>
      <c r="N4585" s="54"/>
      <c r="U4585" s="10"/>
    </row>
    <row r="4586" spans="1:21" ht="30" customHeight="1" x14ac:dyDescent="0.25">
      <c r="A4586" s="1268" t="s">
        <v>312</v>
      </c>
      <c r="B4586" s="1167"/>
      <c r="C4586" s="1168"/>
      <c r="D4586" s="1230" t="s">
        <v>3452</v>
      </c>
      <c r="E4586" s="1231"/>
      <c r="F4586" s="1231"/>
      <c r="G4586" s="1231"/>
      <c r="H4586" s="1231"/>
      <c r="I4586" s="1231"/>
      <c r="J4586" s="1231"/>
      <c r="K4586" s="1231"/>
      <c r="L4586" s="1232"/>
      <c r="M4586" s="54"/>
      <c r="N4586" s="54"/>
      <c r="T4586" s="10"/>
      <c r="U4586" s="10"/>
    </row>
    <row r="4587" spans="1:21" ht="30" customHeight="1" x14ac:dyDescent="0.25">
      <c r="A4587" s="1268" t="s">
        <v>314</v>
      </c>
      <c r="B4587" s="1167"/>
      <c r="C4587" s="1168"/>
      <c r="D4587" s="1230" t="s">
        <v>2530</v>
      </c>
      <c r="E4587" s="1231"/>
      <c r="F4587" s="1231"/>
      <c r="G4587" s="1231"/>
      <c r="H4587" s="1231"/>
      <c r="I4587" s="1231"/>
      <c r="J4587" s="1231"/>
      <c r="K4587" s="1231"/>
      <c r="L4587" s="1232"/>
      <c r="M4587" s="54"/>
      <c r="N4587" s="54"/>
      <c r="T4587" s="10"/>
      <c r="U4587" s="10"/>
    </row>
    <row r="4588" spans="1:21" ht="30" customHeight="1" x14ac:dyDescent="0.25">
      <c r="A4588" s="1268" t="s">
        <v>316</v>
      </c>
      <c r="B4588" s="1167"/>
      <c r="C4588" s="1168"/>
      <c r="D4588" s="1230" t="s">
        <v>2530</v>
      </c>
      <c r="E4588" s="1231"/>
      <c r="F4588" s="1231"/>
      <c r="G4588" s="1231"/>
      <c r="H4588" s="1231"/>
      <c r="I4588" s="1231"/>
      <c r="J4588" s="1231"/>
      <c r="K4588" s="1231"/>
      <c r="L4588" s="1232"/>
      <c r="M4588" s="54"/>
      <c r="N4588" s="54"/>
      <c r="T4588" s="10"/>
      <c r="U4588" s="10"/>
    </row>
    <row r="4589" spans="1:21" ht="30" customHeight="1" x14ac:dyDescent="0.25">
      <c r="A4589" s="1268" t="s">
        <v>318</v>
      </c>
      <c r="B4589" s="1167"/>
      <c r="C4589" s="1168"/>
      <c r="D4589" s="1230" t="s">
        <v>2250</v>
      </c>
      <c r="E4589" s="1231"/>
      <c r="F4589" s="1231"/>
      <c r="G4589" s="1231"/>
      <c r="H4589" s="1231"/>
      <c r="I4589" s="1231"/>
      <c r="J4589" s="1231"/>
      <c r="K4589" s="1231"/>
      <c r="L4589" s="1232"/>
      <c r="M4589" s="54"/>
      <c r="N4589" s="111"/>
      <c r="T4589" s="10"/>
      <c r="U4589" s="10"/>
    </row>
    <row r="4590" spans="1:21" ht="30" customHeight="1" x14ac:dyDescent="0.25">
      <c r="A4590" s="1268" t="s">
        <v>320</v>
      </c>
      <c r="B4590" s="1167"/>
      <c r="C4590" s="1168"/>
      <c r="D4590" s="1230" t="s">
        <v>2531</v>
      </c>
      <c r="E4590" s="1231"/>
      <c r="F4590" s="1231"/>
      <c r="G4590" s="1231"/>
      <c r="H4590" s="1231"/>
      <c r="I4590" s="1231"/>
      <c r="J4590" s="1231"/>
      <c r="K4590" s="1231"/>
      <c r="L4590" s="1232"/>
      <c r="M4590" s="54"/>
      <c r="N4590" s="54"/>
      <c r="T4590" s="10"/>
    </row>
    <row r="4591" spans="1:21" ht="30" customHeight="1" x14ac:dyDescent="0.25">
      <c r="A4591" s="1268" t="s">
        <v>322</v>
      </c>
      <c r="B4591" s="1167"/>
      <c r="C4591" s="1168"/>
      <c r="D4591" s="1230" t="s">
        <v>323</v>
      </c>
      <c r="E4591" s="1231"/>
      <c r="F4591" s="1231"/>
      <c r="G4591" s="1231"/>
      <c r="H4591" s="1231"/>
      <c r="I4591" s="1231"/>
      <c r="J4591" s="1231"/>
      <c r="K4591" s="1231"/>
      <c r="L4591" s="1232"/>
      <c r="M4591" s="54"/>
      <c r="N4591" s="54"/>
      <c r="T4591" s="10"/>
    </row>
    <row r="4592" spans="1:21" ht="45" customHeight="1" thickBot="1" x14ac:dyDescent="0.3">
      <c r="A4592" s="1265" t="s">
        <v>350</v>
      </c>
      <c r="B4592" s="1266"/>
      <c r="C4592" s="1267"/>
      <c r="D4592" s="1291" t="s">
        <v>3453</v>
      </c>
      <c r="E4592" s="1292"/>
      <c r="F4592" s="1292"/>
      <c r="G4592" s="1292"/>
      <c r="H4592" s="1292"/>
      <c r="I4592" s="1292"/>
      <c r="J4592" s="1292"/>
      <c r="K4592" s="1292"/>
      <c r="L4592" s="1293"/>
      <c r="M4592" s="54"/>
      <c r="N4592" s="54"/>
      <c r="U4592" s="10"/>
    </row>
    <row r="4593" spans="1:21" ht="30" customHeight="1" thickBot="1" x14ac:dyDescent="0.3">
      <c r="A4593" s="1180"/>
      <c r="B4593" s="1181"/>
      <c r="C4593" s="1181"/>
      <c r="D4593" s="1181"/>
      <c r="E4593" s="1181"/>
      <c r="F4593" s="1181"/>
      <c r="G4593" s="1181"/>
      <c r="H4593" s="1181"/>
      <c r="I4593" s="1181"/>
      <c r="J4593" s="1181"/>
      <c r="K4593" s="1181"/>
      <c r="L4593" s="1182"/>
      <c r="M4593" s="54"/>
      <c r="N4593" s="54"/>
      <c r="P4593" s="334"/>
      <c r="U4593" s="10"/>
    </row>
    <row r="4594" spans="1:21" ht="30" customHeight="1" x14ac:dyDescent="0.25">
      <c r="A4594" s="327" t="s">
        <v>5</v>
      </c>
      <c r="B4594" s="328">
        <v>8413</v>
      </c>
      <c r="C4594" s="1251" t="s">
        <v>2532</v>
      </c>
      <c r="D4594" s="1252"/>
      <c r="E4594" s="331" t="s">
        <v>8</v>
      </c>
      <c r="F4594" s="332" t="s">
        <v>214</v>
      </c>
      <c r="G4594" s="342" t="s">
        <v>74</v>
      </c>
      <c r="H4594" s="176">
        <v>322053</v>
      </c>
      <c r="I4594" s="331" t="s">
        <v>10</v>
      </c>
      <c r="J4594" s="1220" t="s">
        <v>382</v>
      </c>
      <c r="K4594" s="1220"/>
      <c r="L4594" s="1221"/>
      <c r="M4594" s="54"/>
      <c r="N4594" s="54"/>
      <c r="P4594" s="334"/>
      <c r="T4594" s="10"/>
    </row>
    <row r="4595" spans="1:21" ht="30" customHeight="1" x14ac:dyDescent="0.25">
      <c r="A4595" s="356" t="s">
        <v>282</v>
      </c>
      <c r="B4595" s="1222" t="s">
        <v>326</v>
      </c>
      <c r="C4595" s="1235"/>
      <c r="D4595" s="1223"/>
      <c r="E4595" s="577" t="s">
        <v>116</v>
      </c>
      <c r="F4595" s="577" t="s">
        <v>117</v>
      </c>
      <c r="G4595" s="1194" t="s">
        <v>118</v>
      </c>
      <c r="H4595" s="1195"/>
      <c r="I4595" s="1276" t="s">
        <v>284</v>
      </c>
      <c r="J4595" s="1277"/>
      <c r="K4595" s="581" t="s">
        <v>285</v>
      </c>
      <c r="L4595" s="382"/>
      <c r="M4595" s="54"/>
      <c r="O4595" s="336"/>
      <c r="P4595" s="334"/>
      <c r="Q4595" s="335"/>
      <c r="R4595" s="336"/>
      <c r="S4595" s="337"/>
    </row>
    <row r="4596" spans="1:21" ht="30" customHeight="1" x14ac:dyDescent="0.25">
      <c r="A4596" s="365">
        <v>84620</v>
      </c>
      <c r="B4596" s="1209" t="s">
        <v>2533</v>
      </c>
      <c r="C4596" s="1210"/>
      <c r="D4596" s="1211"/>
      <c r="E4596" s="7">
        <v>491730</v>
      </c>
      <c r="F4596" s="396" t="s">
        <v>76</v>
      </c>
      <c r="G4596" s="20">
        <v>250000</v>
      </c>
      <c r="H4596" s="690" t="s">
        <v>1589</v>
      </c>
      <c r="I4596" s="1378">
        <v>0.9405</v>
      </c>
      <c r="J4596" s="1379"/>
      <c r="K4596" s="246">
        <f>+E4596/G4596*I4596</f>
        <v>1.84988826</v>
      </c>
      <c r="L4596" s="396" t="s">
        <v>214</v>
      </c>
      <c r="M4596" s="54"/>
      <c r="N4596" s="54"/>
      <c r="P4596" s="334"/>
      <c r="T4596" s="10"/>
    </row>
    <row r="4597" spans="1:21" ht="30" customHeight="1" x14ac:dyDescent="0.25">
      <c r="A4597" s="365">
        <v>84620</v>
      </c>
      <c r="B4597" s="1209" t="s">
        <v>2534</v>
      </c>
      <c r="C4597" s="1210"/>
      <c r="D4597" s="1211"/>
      <c r="E4597" s="247">
        <v>690760</v>
      </c>
      <c r="F4597" s="365" t="s">
        <v>76</v>
      </c>
      <c r="G4597" s="186">
        <v>500000</v>
      </c>
      <c r="H4597" s="698" t="s">
        <v>1589</v>
      </c>
      <c r="I4597" s="1378">
        <v>0.9405</v>
      </c>
      <c r="J4597" s="1379"/>
      <c r="K4597" s="246">
        <f>+E4597/G4597*I4597</f>
        <v>1.29931956</v>
      </c>
      <c r="L4597" s="365" t="s">
        <v>214</v>
      </c>
      <c r="M4597" s="54"/>
      <c r="N4597" s="111"/>
      <c r="P4597" s="334"/>
      <c r="Q4597" s="335"/>
      <c r="R4597" s="336"/>
      <c r="S4597" s="337"/>
    </row>
    <row r="4598" spans="1:21" ht="30" customHeight="1" x14ac:dyDescent="0.25">
      <c r="A4598" s="755"/>
      <c r="B4598" s="1269"/>
      <c r="C4598" s="1269"/>
      <c r="D4598" s="1269"/>
      <c r="E4598" s="247"/>
      <c r="F4598" s="365"/>
      <c r="G4598" s="365"/>
      <c r="H4598" s="365"/>
      <c r="I4598" s="365"/>
      <c r="J4598" s="365" t="s">
        <v>300</v>
      </c>
      <c r="K4598" s="247">
        <f>AVERAGE(K4596:K4597)</f>
        <v>1.57460391</v>
      </c>
      <c r="L4598" s="365" t="s">
        <v>214</v>
      </c>
      <c r="M4598" s="54"/>
      <c r="N4598" s="54"/>
      <c r="P4598" s="334"/>
      <c r="Q4598" s="335"/>
      <c r="R4598" s="336"/>
      <c r="S4598" s="337"/>
    </row>
    <row r="4599" spans="1:21" ht="30" customHeight="1" thickBot="1" x14ac:dyDescent="0.3">
      <c r="A4599" s="365"/>
      <c r="B4599" s="365"/>
      <c r="C4599" s="366"/>
      <c r="D4599" s="366"/>
      <c r="E4599" s="366"/>
      <c r="F4599" s="366"/>
      <c r="G4599" s="366"/>
      <c r="H4599" s="366"/>
      <c r="I4599" s="366"/>
      <c r="J4599" s="359" t="s">
        <v>72</v>
      </c>
      <c r="K4599" s="246">
        <f>+K4598</f>
        <v>1.57460391</v>
      </c>
      <c r="L4599" s="365" t="s">
        <v>214</v>
      </c>
      <c r="M4599" s="111"/>
      <c r="N4599" s="54"/>
      <c r="P4599" s="334"/>
      <c r="Q4599" s="335"/>
      <c r="R4599" s="336"/>
      <c r="S4599" s="337"/>
    </row>
    <row r="4600" spans="1:21" ht="30" customHeight="1" thickBot="1" x14ac:dyDescent="0.3">
      <c r="A4600" s="1180"/>
      <c r="B4600" s="1181"/>
      <c r="C4600" s="1181"/>
      <c r="D4600" s="1181"/>
      <c r="E4600" s="1181"/>
      <c r="F4600" s="1181"/>
      <c r="G4600" s="1181"/>
      <c r="H4600" s="1181"/>
      <c r="I4600" s="1181"/>
      <c r="J4600" s="1181"/>
      <c r="K4600" s="1181"/>
      <c r="L4600" s="1182"/>
      <c r="M4600" s="54"/>
      <c r="N4600" s="54"/>
      <c r="P4600" s="334"/>
      <c r="Q4600" s="335"/>
      <c r="R4600" s="336"/>
      <c r="S4600" s="337"/>
    </row>
    <row r="4601" spans="1:21" ht="30" customHeight="1" x14ac:dyDescent="0.25">
      <c r="A4601" s="327" t="s">
        <v>5</v>
      </c>
      <c r="B4601" s="328">
        <v>8414</v>
      </c>
      <c r="C4601" s="1251" t="s">
        <v>2535</v>
      </c>
      <c r="D4601" s="1252"/>
      <c r="E4601" s="331" t="s">
        <v>8</v>
      </c>
      <c r="F4601" s="332" t="s">
        <v>2465</v>
      </c>
      <c r="G4601" s="342" t="s">
        <v>74</v>
      </c>
      <c r="H4601" s="156">
        <v>510</v>
      </c>
      <c r="I4601" s="331" t="s">
        <v>10</v>
      </c>
      <c r="J4601" s="1220" t="s">
        <v>3388</v>
      </c>
      <c r="K4601" s="1220"/>
      <c r="L4601" s="1221"/>
      <c r="M4601" s="54"/>
      <c r="N4601" s="54"/>
      <c r="P4601" s="334"/>
      <c r="Q4601" s="335"/>
      <c r="R4601" s="336"/>
      <c r="S4601" s="337"/>
    </row>
    <row r="4602" spans="1:21" ht="30" customHeight="1" x14ac:dyDescent="0.25">
      <c r="A4602" s="359" t="s">
        <v>295</v>
      </c>
      <c r="B4602" s="1222" t="s">
        <v>326</v>
      </c>
      <c r="C4602" s="1235"/>
      <c r="D4602" s="1223"/>
      <c r="E4602" s="577" t="s">
        <v>116</v>
      </c>
      <c r="F4602" s="577" t="s">
        <v>117</v>
      </c>
      <c r="G4602" s="1194" t="s">
        <v>118</v>
      </c>
      <c r="H4602" s="1195"/>
      <c r="I4602" s="356" t="s">
        <v>296</v>
      </c>
      <c r="J4602" s="356"/>
      <c r="K4602" s="1236" t="s">
        <v>285</v>
      </c>
      <c r="L4602" s="1237"/>
      <c r="M4602" s="54"/>
      <c r="N4602" s="54"/>
      <c r="P4602" s="334"/>
      <c r="Q4602" s="335"/>
      <c r="R4602" s="336"/>
      <c r="S4602" s="337"/>
    </row>
    <row r="4603" spans="1:21" ht="30" customHeight="1" x14ac:dyDescent="0.25">
      <c r="A4603" s="365" t="s">
        <v>1593</v>
      </c>
      <c r="B4603" s="1209" t="s">
        <v>2536</v>
      </c>
      <c r="C4603" s="1210"/>
      <c r="D4603" s="1211"/>
      <c r="E4603" s="7">
        <f>200*56</f>
        <v>11200</v>
      </c>
      <c r="F4603" s="396" t="s">
        <v>76</v>
      </c>
      <c r="G4603" s="214">
        <f>+H4601</f>
        <v>510</v>
      </c>
      <c r="H4603" s="1040" t="s">
        <v>2476</v>
      </c>
      <c r="I4603" s="365">
        <v>1.01</v>
      </c>
      <c r="J4603" s="396"/>
      <c r="K4603" s="246">
        <f>+E4603/G4603*I4603</f>
        <v>22.180392156862744</v>
      </c>
      <c r="L4603" s="396" t="s">
        <v>2465</v>
      </c>
      <c r="M4603" s="54"/>
      <c r="N4603" s="54"/>
      <c r="P4603" s="334"/>
      <c r="Q4603" s="335"/>
      <c r="R4603" s="336"/>
      <c r="S4603" s="337"/>
    </row>
    <row r="4604" spans="1:21" ht="30" customHeight="1" x14ac:dyDescent="0.25">
      <c r="A4604" s="365" t="s">
        <v>2537</v>
      </c>
      <c r="B4604" s="1214" t="s">
        <v>2538</v>
      </c>
      <c r="C4604" s="1215"/>
      <c r="D4604" s="1216"/>
      <c r="E4604" s="247">
        <v>14900</v>
      </c>
      <c r="F4604" s="661" t="s">
        <v>76</v>
      </c>
      <c r="G4604" s="186">
        <f>(864*0.75)</f>
        <v>648</v>
      </c>
      <c r="H4604" s="695" t="s">
        <v>2539</v>
      </c>
      <c r="I4604" s="365">
        <v>1.03</v>
      </c>
      <c r="J4604" s="365"/>
      <c r="K4604" s="246">
        <f>+E4604/G4604*I4604</f>
        <v>23.683641975308642</v>
      </c>
      <c r="L4604" s="365" t="s">
        <v>2465</v>
      </c>
      <c r="M4604" s="111"/>
      <c r="N4604" s="554"/>
      <c r="U4604" s="10"/>
    </row>
    <row r="4605" spans="1:21" ht="30" customHeight="1" x14ac:dyDescent="0.25">
      <c r="A4605" s="755"/>
      <c r="B4605" s="561" t="s">
        <v>2540</v>
      </c>
      <c r="C4605" s="562"/>
      <c r="D4605" s="562"/>
      <c r="E4605" s="562"/>
      <c r="F4605" s="563"/>
      <c r="G4605" s="396"/>
      <c r="H4605" s="396"/>
      <c r="I4605" s="365"/>
      <c r="J4605" s="365" t="s">
        <v>343</v>
      </c>
      <c r="K4605" s="247">
        <f>SUM(K4603:K4604)</f>
        <v>45.864034132171383</v>
      </c>
      <c r="L4605" s="365" t="s">
        <v>2465</v>
      </c>
      <c r="M4605" s="54"/>
      <c r="N4605" s="54"/>
      <c r="P4605" s="334"/>
      <c r="Q4605" s="335"/>
      <c r="R4605" s="336"/>
      <c r="S4605" s="337"/>
    </row>
    <row r="4606" spans="1:21" ht="30" customHeight="1" x14ac:dyDescent="0.25">
      <c r="A4606" s="365"/>
      <c r="B4606" s="578"/>
      <c r="C4606" s="578"/>
      <c r="D4606" s="578"/>
      <c r="E4606" s="247"/>
      <c r="F4606" s="1272" t="s">
        <v>303</v>
      </c>
      <c r="G4606" s="1283" t="s">
        <v>304</v>
      </c>
      <c r="H4606" s="1283"/>
      <c r="I4606" s="1283"/>
      <c r="J4606" s="1283"/>
      <c r="K4606" s="250">
        <v>1.07</v>
      </c>
      <c r="L4606" s="365"/>
      <c r="M4606" s="54"/>
      <c r="N4606" s="54"/>
      <c r="U4606" s="10"/>
    </row>
    <row r="4607" spans="1:21" ht="30" customHeight="1" x14ac:dyDescent="0.25">
      <c r="A4607" s="365"/>
      <c r="B4607" s="578"/>
      <c r="C4607" s="578"/>
      <c r="D4607" s="578"/>
      <c r="E4607" s="247"/>
      <c r="F4607" s="1273"/>
      <c r="G4607" s="1284" t="s">
        <v>438</v>
      </c>
      <c r="H4607" s="1284"/>
      <c r="I4607" s="1284"/>
      <c r="J4607" s="1284"/>
      <c r="K4607" s="250">
        <v>1.08</v>
      </c>
      <c r="L4607" s="365"/>
      <c r="M4607" s="111"/>
      <c r="N4607" s="54"/>
      <c r="P4607" s="334"/>
      <c r="Q4607" s="335"/>
      <c r="R4607" s="336"/>
      <c r="S4607" s="337"/>
    </row>
    <row r="4608" spans="1:21" ht="30" customHeight="1" x14ac:dyDescent="0.25">
      <c r="A4608" s="365"/>
      <c r="B4608" s="365"/>
      <c r="C4608" s="366"/>
      <c r="D4608" s="366"/>
      <c r="E4608" s="366"/>
      <c r="F4608" s="366"/>
      <c r="G4608" s="366"/>
      <c r="H4608" s="366"/>
      <c r="I4608" s="366"/>
      <c r="J4608" s="365" t="s">
        <v>72</v>
      </c>
      <c r="K4608" s="246">
        <f>+K4605*K4606/K4607</f>
        <v>45.439367149466094</v>
      </c>
      <c r="L4608" s="365" t="s">
        <v>2465</v>
      </c>
      <c r="M4608" s="54"/>
      <c r="N4608" s="54"/>
      <c r="O4608" s="336"/>
      <c r="P4608" s="334"/>
      <c r="Q4608" s="335"/>
      <c r="R4608" s="336"/>
      <c r="S4608" s="337"/>
    </row>
    <row r="4609" spans="1:19" ht="30" customHeight="1" x14ac:dyDescent="0.25">
      <c r="A4609" s="365"/>
      <c r="B4609" s="365"/>
      <c r="C4609" s="366"/>
      <c r="D4609" s="366"/>
      <c r="E4609" s="366"/>
      <c r="F4609" s="366"/>
      <c r="G4609" s="580" t="s">
        <v>306</v>
      </c>
      <c r="H4609" s="366"/>
      <c r="I4609" s="366"/>
      <c r="J4609" s="521">
        <f>VLOOKUP(B4601,'Mil Cost Premiums for PUCs'!$A$4:$R$277,18,FALSE)</f>
        <v>1.0209999999999999</v>
      </c>
      <c r="K4609" s="246">
        <f>+K4608*J4609</f>
        <v>46.393593859604877</v>
      </c>
      <c r="L4609" s="365" t="s">
        <v>2465</v>
      </c>
      <c r="M4609" s="54"/>
      <c r="N4609" s="54"/>
      <c r="O4609" s="336"/>
      <c r="P4609" s="334"/>
      <c r="Q4609" s="335"/>
      <c r="R4609" s="336"/>
      <c r="S4609" s="337"/>
    </row>
    <row r="4610" spans="1:19" ht="30" customHeight="1" thickBot="1" x14ac:dyDescent="0.3">
      <c r="A4610" s="844"/>
      <c r="B4610" s="844"/>
      <c r="C4610" s="471"/>
      <c r="D4610" s="471"/>
      <c r="E4610" s="471"/>
      <c r="F4610" s="1278" t="s">
        <v>1148</v>
      </c>
      <c r="G4610" s="1278"/>
      <c r="H4610" s="1278"/>
      <c r="I4610" s="1278"/>
      <c r="J4610" s="987">
        <v>1.0833999999999999</v>
      </c>
      <c r="K4610" s="988">
        <f>K4609*J4610</f>
        <v>50.262819587495919</v>
      </c>
      <c r="L4610" s="365" t="s">
        <v>2465</v>
      </c>
      <c r="N4610" s="54"/>
      <c r="O4610" s="336"/>
      <c r="P4610" s="334"/>
      <c r="Q4610" s="335"/>
      <c r="R4610" s="336"/>
      <c r="S4610" s="337"/>
    </row>
    <row r="4611" spans="1:19" ht="30" customHeight="1" thickBot="1" x14ac:dyDescent="0.3">
      <c r="A4611" s="1180"/>
      <c r="B4611" s="1181"/>
      <c r="C4611" s="1181"/>
      <c r="D4611" s="1181"/>
      <c r="E4611" s="1181"/>
      <c r="F4611" s="1181"/>
      <c r="G4611" s="1181"/>
      <c r="H4611" s="1181"/>
      <c r="I4611" s="1181"/>
      <c r="J4611" s="1181"/>
      <c r="K4611" s="1181"/>
      <c r="L4611" s="1182"/>
      <c r="M4611" s="54"/>
      <c r="O4611" s="336"/>
      <c r="P4611" s="334"/>
      <c r="Q4611" s="335"/>
      <c r="R4611" s="336"/>
      <c r="S4611" s="337"/>
    </row>
    <row r="4612" spans="1:19" ht="30" customHeight="1" x14ac:dyDescent="0.25">
      <c r="A4612" s="678" t="s">
        <v>5</v>
      </c>
      <c r="B4612" s="350">
        <v>8415</v>
      </c>
      <c r="C4612" s="1151" t="s">
        <v>2541</v>
      </c>
      <c r="D4612" s="1152"/>
      <c r="E4612" s="351" t="s">
        <v>8</v>
      </c>
      <c r="F4612" s="352" t="s">
        <v>2465</v>
      </c>
      <c r="G4612" s="353" t="s">
        <v>74</v>
      </c>
      <c r="H4612" s="50">
        <v>429</v>
      </c>
      <c r="I4612" s="351" t="s">
        <v>10</v>
      </c>
      <c r="J4612" s="1529" t="s">
        <v>2542</v>
      </c>
      <c r="K4612" s="1529"/>
      <c r="L4612" s="1665"/>
      <c r="M4612" s="111"/>
      <c r="N4612" s="54"/>
      <c r="O4612" s="336"/>
      <c r="P4612" s="334"/>
      <c r="Q4612" s="335"/>
      <c r="R4612" s="336"/>
      <c r="S4612" s="337"/>
    </row>
    <row r="4613" spans="1:19" ht="30" customHeight="1" x14ac:dyDescent="0.25">
      <c r="A4613" s="1041"/>
      <c r="B4613" s="1042"/>
      <c r="C4613" s="1163" t="s">
        <v>13</v>
      </c>
      <c r="D4613" s="1163"/>
      <c r="E4613" s="1163"/>
      <c r="F4613" s="546" t="s">
        <v>116</v>
      </c>
      <c r="G4613" s="1043"/>
      <c r="H4613" s="135"/>
      <c r="I4613" s="1276" t="s">
        <v>284</v>
      </c>
      <c r="J4613" s="1277"/>
      <c r="K4613" s="1044"/>
      <c r="L4613" s="1045"/>
      <c r="M4613" s="54"/>
      <c r="N4613" s="54"/>
      <c r="O4613" s="336"/>
      <c r="P4613" s="334"/>
      <c r="Q4613" s="335"/>
      <c r="R4613" s="336"/>
      <c r="S4613" s="337"/>
    </row>
    <row r="4614" spans="1:19" ht="30" customHeight="1" thickBot="1" x14ac:dyDescent="0.3">
      <c r="A4614" s="1046"/>
      <c r="B4614" s="1047"/>
      <c r="C4614" s="1666" t="s">
        <v>2541</v>
      </c>
      <c r="D4614" s="1667"/>
      <c r="E4614" s="375"/>
      <c r="F4614" s="187">
        <v>10437.14</v>
      </c>
      <c r="G4614" s="450"/>
      <c r="H4614" s="188"/>
      <c r="I4614" s="1416">
        <v>1.0833999999999999</v>
      </c>
      <c r="J4614" s="1417"/>
      <c r="K4614" s="621">
        <f>+F4614*I4614</f>
        <v>11307.597475999999</v>
      </c>
      <c r="L4614" s="1048" t="s">
        <v>2465</v>
      </c>
      <c r="M4614" s="54"/>
      <c r="N4614" s="54"/>
      <c r="O4614" s="336"/>
      <c r="P4614" s="334"/>
      <c r="Q4614" s="335"/>
      <c r="R4614" s="336"/>
      <c r="S4614" s="337"/>
    </row>
    <row r="4615" spans="1:19" ht="30" customHeight="1" thickBot="1" x14ac:dyDescent="0.3">
      <c r="A4615" s="1180"/>
      <c r="B4615" s="1181"/>
      <c r="C4615" s="1181"/>
      <c r="D4615" s="1181"/>
      <c r="E4615" s="1181"/>
      <c r="F4615" s="1181"/>
      <c r="G4615" s="1181"/>
      <c r="H4615" s="1181"/>
      <c r="I4615" s="1181"/>
      <c r="J4615" s="1181"/>
      <c r="K4615" s="1181"/>
      <c r="L4615" s="1182"/>
      <c r="M4615" s="54"/>
      <c r="N4615" s="54"/>
      <c r="O4615" s="336"/>
      <c r="P4615" s="334"/>
      <c r="Q4615" s="335"/>
      <c r="R4615" s="336"/>
      <c r="S4615" s="337"/>
    </row>
    <row r="4616" spans="1:19" ht="30" customHeight="1" x14ac:dyDescent="0.25">
      <c r="A4616" s="327" t="s">
        <v>5</v>
      </c>
      <c r="B4616" s="328">
        <v>8421</v>
      </c>
      <c r="C4616" s="1393" t="s">
        <v>2543</v>
      </c>
      <c r="D4616" s="1394"/>
      <c r="E4616" s="331" t="s">
        <v>8</v>
      </c>
      <c r="F4616" s="332" t="s">
        <v>40</v>
      </c>
      <c r="G4616" s="342" t="s">
        <v>74</v>
      </c>
      <c r="H4616" s="156">
        <v>17477</v>
      </c>
      <c r="I4616" s="331" t="s">
        <v>10</v>
      </c>
      <c r="J4616" s="1220" t="s">
        <v>3388</v>
      </c>
      <c r="K4616" s="1220"/>
      <c r="L4616" s="1221"/>
      <c r="M4616" s="54"/>
      <c r="N4616" s="54"/>
      <c r="O4616" s="336"/>
      <c r="P4616" s="334"/>
      <c r="Q4616" s="335"/>
      <c r="R4616" s="336"/>
      <c r="S4616" s="337"/>
    </row>
    <row r="4617" spans="1:19" ht="30" customHeight="1" x14ac:dyDescent="0.25">
      <c r="A4617" s="359" t="s">
        <v>295</v>
      </c>
      <c r="B4617" s="1222" t="s">
        <v>326</v>
      </c>
      <c r="C4617" s="1235"/>
      <c r="D4617" s="1223"/>
      <c r="E4617" s="577" t="s">
        <v>116</v>
      </c>
      <c r="F4617" s="577" t="s">
        <v>117</v>
      </c>
      <c r="G4617" s="1194" t="s">
        <v>118</v>
      </c>
      <c r="H4617" s="1195"/>
      <c r="I4617" s="356" t="s">
        <v>296</v>
      </c>
      <c r="J4617" s="356"/>
      <c r="K4617" s="1236" t="s">
        <v>285</v>
      </c>
      <c r="L4617" s="1237"/>
      <c r="M4617" s="54"/>
      <c r="N4617" s="54"/>
      <c r="O4617" s="336"/>
      <c r="P4617" s="334"/>
      <c r="Q4617" s="335"/>
      <c r="R4617" s="336"/>
      <c r="S4617" s="337"/>
    </row>
    <row r="4618" spans="1:19" ht="30" customHeight="1" x14ac:dyDescent="0.25">
      <c r="A4618" s="365" t="s">
        <v>339</v>
      </c>
      <c r="B4618" s="1214" t="s">
        <v>2544</v>
      </c>
      <c r="C4618" s="1215"/>
      <c r="D4618" s="1216"/>
      <c r="E4618" s="7">
        <v>37.5</v>
      </c>
      <c r="F4618" s="396" t="s">
        <v>40</v>
      </c>
      <c r="G4618" s="20"/>
      <c r="H4618" s="690"/>
      <c r="I4618" s="365">
        <v>1.05</v>
      </c>
      <c r="J4618" s="396"/>
      <c r="K4618" s="246">
        <f>+E4618*I4618</f>
        <v>39.375</v>
      </c>
      <c r="L4618" s="396" t="s">
        <v>40</v>
      </c>
      <c r="M4618" s="54"/>
      <c r="N4618" s="54"/>
      <c r="O4618" s="336"/>
      <c r="P4618" s="334"/>
      <c r="Q4618" s="335"/>
      <c r="R4618" s="336"/>
      <c r="S4618" s="337"/>
    </row>
    <row r="4619" spans="1:19" ht="30" customHeight="1" x14ac:dyDescent="0.25">
      <c r="A4619" s="365" t="s">
        <v>339</v>
      </c>
      <c r="B4619" s="1214" t="s">
        <v>2545</v>
      </c>
      <c r="C4619" s="1215"/>
      <c r="D4619" s="1216"/>
      <c r="E4619" s="7">
        <v>25.5</v>
      </c>
      <c r="F4619" s="396" t="s">
        <v>40</v>
      </c>
      <c r="G4619" s="20"/>
      <c r="H4619" s="690"/>
      <c r="I4619" s="365">
        <v>1.05</v>
      </c>
      <c r="J4619" s="396"/>
      <c r="K4619" s="246">
        <f>+E4619*I4619</f>
        <v>26.775000000000002</v>
      </c>
      <c r="L4619" s="396" t="s">
        <v>40</v>
      </c>
      <c r="M4619" s="554"/>
      <c r="N4619" s="54"/>
      <c r="O4619" s="336"/>
      <c r="P4619" s="334"/>
      <c r="Q4619" s="335"/>
      <c r="R4619" s="336"/>
      <c r="S4619" s="337"/>
    </row>
    <row r="4620" spans="1:19" ht="30" customHeight="1" x14ac:dyDescent="0.25">
      <c r="A4620" s="365" t="s">
        <v>339</v>
      </c>
      <c r="B4620" s="1214" t="s">
        <v>2546</v>
      </c>
      <c r="C4620" s="1215"/>
      <c r="D4620" s="1216"/>
      <c r="E4620" s="7">
        <v>15.65</v>
      </c>
      <c r="F4620" s="396" t="s">
        <v>40</v>
      </c>
      <c r="I4620" s="365">
        <v>1.05</v>
      </c>
      <c r="J4620" s="396"/>
      <c r="K4620" s="246">
        <f>+E4620*I4620</f>
        <v>16.432500000000001</v>
      </c>
      <c r="L4620" s="396" t="s">
        <v>40</v>
      </c>
      <c r="M4620" s="54"/>
      <c r="O4620" s="336"/>
      <c r="P4620" s="334"/>
      <c r="Q4620" s="335"/>
      <c r="R4620" s="336"/>
      <c r="S4620" s="337"/>
    </row>
    <row r="4621" spans="1:19" ht="30" customHeight="1" x14ac:dyDescent="0.25">
      <c r="A4621" s="365"/>
      <c r="B4621" s="561"/>
      <c r="C4621" s="562"/>
      <c r="D4621" s="563"/>
      <c r="E4621" s="7"/>
      <c r="F4621" s="396"/>
      <c r="G4621" s="1389" t="s">
        <v>2547</v>
      </c>
      <c r="H4621" s="1390"/>
      <c r="I4621" s="365"/>
      <c r="J4621" s="396"/>
      <c r="K4621" s="246">
        <f>AVERAGE(K4618:K4620)</f>
        <v>27.527500000000003</v>
      </c>
      <c r="L4621" s="396" t="s">
        <v>40</v>
      </c>
      <c r="M4621" s="54"/>
      <c r="O4621" s="336"/>
      <c r="P4621" s="334"/>
      <c r="Q4621" s="335"/>
      <c r="R4621" s="336"/>
      <c r="S4621" s="337"/>
    </row>
    <row r="4622" spans="1:19" ht="30" customHeight="1" x14ac:dyDescent="0.25">
      <c r="A4622" s="365"/>
      <c r="B4622" s="578"/>
      <c r="C4622" s="578"/>
      <c r="D4622" s="578"/>
      <c r="E4622" s="247"/>
      <c r="F4622" s="1272" t="s">
        <v>303</v>
      </c>
      <c r="G4622" s="1283" t="s">
        <v>304</v>
      </c>
      <c r="H4622" s="1283"/>
      <c r="I4622" s="1283"/>
      <c r="J4622" s="1283"/>
      <c r="K4622" s="250">
        <v>1.07</v>
      </c>
      <c r="L4622" s="365"/>
      <c r="M4622" s="54"/>
      <c r="O4622" s="336"/>
      <c r="P4622" s="334"/>
      <c r="Q4622" s="335"/>
      <c r="R4622" s="336"/>
      <c r="S4622" s="337"/>
    </row>
    <row r="4623" spans="1:19" ht="30" customHeight="1" x14ac:dyDescent="0.25">
      <c r="A4623" s="365"/>
      <c r="B4623" s="578"/>
      <c r="C4623" s="578"/>
      <c r="D4623" s="578"/>
      <c r="E4623" s="247"/>
      <c r="F4623" s="1273"/>
      <c r="G4623" s="1284" t="s">
        <v>585</v>
      </c>
      <c r="H4623" s="1284"/>
      <c r="I4623" s="1284"/>
      <c r="J4623" s="1284"/>
      <c r="K4623" s="250">
        <v>1.08</v>
      </c>
      <c r="L4623" s="365"/>
      <c r="M4623" s="54"/>
      <c r="N4623" s="10"/>
      <c r="O4623" s="336"/>
      <c r="P4623" s="334"/>
      <c r="Q4623" s="335"/>
      <c r="R4623" s="336"/>
      <c r="S4623" s="337"/>
    </row>
    <row r="4624" spans="1:19" ht="30" customHeight="1" x14ac:dyDescent="0.25">
      <c r="A4624" s="365"/>
      <c r="B4624" s="365"/>
      <c r="C4624" s="366"/>
      <c r="D4624" s="366"/>
      <c r="E4624" s="366"/>
      <c r="F4624" s="366"/>
      <c r="G4624" s="366"/>
      <c r="H4624" s="366"/>
      <c r="I4624" s="366"/>
      <c r="J4624" s="365" t="s">
        <v>72</v>
      </c>
      <c r="K4624" s="246">
        <f>+K4621*K4622/K4623</f>
        <v>27.272615740740743</v>
      </c>
      <c r="L4624" s="365" t="s">
        <v>40</v>
      </c>
      <c r="M4624" s="54"/>
      <c r="N4624" s="10"/>
      <c r="O4624" s="336"/>
      <c r="P4624" s="334"/>
      <c r="Q4624" s="335"/>
      <c r="R4624" s="336"/>
      <c r="S4624" s="337"/>
    </row>
    <row r="4625" spans="1:19" ht="30" customHeight="1" x14ac:dyDescent="0.25">
      <c r="A4625" s="365"/>
      <c r="B4625" s="365"/>
      <c r="C4625" s="366"/>
      <c r="D4625" s="366"/>
      <c r="E4625" s="366"/>
      <c r="F4625" s="366"/>
      <c r="G4625" s="580" t="s">
        <v>306</v>
      </c>
      <c r="H4625" s="366"/>
      <c r="I4625" s="366"/>
      <c r="J4625" s="521">
        <f>VLOOKUP(B4616,'Mil Cost Premiums for PUCs'!$A$4:$R$277,18,FALSE)</f>
        <v>1.0905505199999999</v>
      </c>
      <c r="K4625" s="246">
        <f>+K4624*J4625</f>
        <v>29.742165277824999</v>
      </c>
      <c r="L4625" s="365" t="s">
        <v>40</v>
      </c>
      <c r="M4625" s="54"/>
      <c r="O4625" s="336"/>
      <c r="P4625" s="334"/>
      <c r="Q4625" s="335"/>
      <c r="R4625" s="336"/>
      <c r="S4625" s="337"/>
    </row>
    <row r="4626" spans="1:19" ht="30" customHeight="1" x14ac:dyDescent="0.25">
      <c r="A4626" s="844"/>
      <c r="B4626" s="844"/>
      <c r="C4626" s="471"/>
      <c r="D4626" s="471"/>
      <c r="E4626" s="471"/>
      <c r="F4626" s="1278" t="s">
        <v>1148</v>
      </c>
      <c r="G4626" s="1278"/>
      <c r="H4626" s="1278"/>
      <c r="I4626" s="1278"/>
      <c r="J4626" s="987">
        <v>1.0833999999999999</v>
      </c>
      <c r="K4626" s="988">
        <f>K4625*J4626</f>
        <v>32.222661861995604</v>
      </c>
      <c r="L4626" s="365" t="s">
        <v>40</v>
      </c>
      <c r="O4626" s="336"/>
      <c r="P4626" s="334"/>
      <c r="Q4626" s="335"/>
      <c r="R4626" s="336"/>
      <c r="S4626" s="337"/>
    </row>
    <row r="4627" spans="1:19" ht="75" customHeight="1" x14ac:dyDescent="0.25">
      <c r="A4627" s="1230" t="s">
        <v>307</v>
      </c>
      <c r="B4627" s="1231"/>
      <c r="C4627" s="1231"/>
      <c r="D4627" s="1231"/>
      <c r="E4627" s="1231"/>
      <c r="F4627" s="1231"/>
      <c r="G4627" s="1231"/>
      <c r="H4627" s="1231"/>
      <c r="I4627" s="1231"/>
      <c r="J4627" s="1231"/>
      <c r="K4627" s="1231"/>
      <c r="L4627" s="1232"/>
      <c r="M4627" s="54"/>
      <c r="O4627" s="336"/>
      <c r="P4627" s="334"/>
      <c r="Q4627" s="335"/>
      <c r="R4627" s="336"/>
      <c r="S4627" s="337"/>
    </row>
    <row r="4628" spans="1:19" ht="30" customHeight="1" x14ac:dyDescent="0.25">
      <c r="A4628" s="1268" t="s">
        <v>308</v>
      </c>
      <c r="B4628" s="1167"/>
      <c r="C4628" s="1167"/>
      <c r="D4628" s="1231" t="s">
        <v>3454</v>
      </c>
      <c r="E4628" s="1231"/>
      <c r="F4628" s="1231"/>
      <c r="G4628" s="1231"/>
      <c r="H4628" s="1231"/>
      <c r="I4628" s="1231"/>
      <c r="J4628" s="1231"/>
      <c r="K4628" s="1231"/>
      <c r="L4628" s="1232"/>
      <c r="M4628" s="54"/>
      <c r="O4628" s="336"/>
      <c r="P4628" s="334"/>
      <c r="Q4628" s="335"/>
      <c r="R4628" s="336"/>
      <c r="S4628" s="337"/>
    </row>
    <row r="4629" spans="1:19" ht="30" customHeight="1" x14ac:dyDescent="0.25">
      <c r="A4629" s="1268" t="s">
        <v>310</v>
      </c>
      <c r="B4629" s="1167"/>
      <c r="C4629" s="1168"/>
      <c r="D4629" s="1230" t="s">
        <v>3455</v>
      </c>
      <c r="E4629" s="1231"/>
      <c r="F4629" s="1231"/>
      <c r="G4629" s="1231"/>
      <c r="H4629" s="1231"/>
      <c r="I4629" s="1231"/>
      <c r="J4629" s="1231"/>
      <c r="K4629" s="1231"/>
      <c r="L4629" s="1232"/>
      <c r="M4629" s="123"/>
      <c r="N4629" s="54"/>
      <c r="O4629" s="336"/>
      <c r="P4629" s="334"/>
      <c r="Q4629" s="335"/>
      <c r="R4629" s="336"/>
      <c r="S4629" s="337"/>
    </row>
    <row r="4630" spans="1:19" ht="30" customHeight="1" x14ac:dyDescent="0.25">
      <c r="A4630" s="1268" t="s">
        <v>312</v>
      </c>
      <c r="B4630" s="1167"/>
      <c r="C4630" s="1168"/>
      <c r="D4630" s="1230" t="s">
        <v>2548</v>
      </c>
      <c r="E4630" s="1231"/>
      <c r="F4630" s="1231"/>
      <c r="G4630" s="1231"/>
      <c r="H4630" s="1231"/>
      <c r="I4630" s="1231"/>
      <c r="J4630" s="1231"/>
      <c r="K4630" s="1231"/>
      <c r="L4630" s="1232"/>
      <c r="M4630" s="111"/>
      <c r="O4630" s="336"/>
      <c r="P4630" s="334"/>
      <c r="Q4630" s="335"/>
      <c r="R4630" s="336"/>
      <c r="S4630" s="337"/>
    </row>
    <row r="4631" spans="1:19" ht="30" customHeight="1" x14ac:dyDescent="0.25">
      <c r="A4631" s="1268" t="s">
        <v>314</v>
      </c>
      <c r="B4631" s="1167"/>
      <c r="C4631" s="1168"/>
      <c r="D4631" s="1230" t="s">
        <v>2549</v>
      </c>
      <c r="E4631" s="1231"/>
      <c r="F4631" s="1231"/>
      <c r="G4631" s="1231"/>
      <c r="H4631" s="1231"/>
      <c r="I4631" s="1231"/>
      <c r="J4631" s="1231"/>
      <c r="K4631" s="1231"/>
      <c r="L4631" s="1232"/>
      <c r="M4631" s="111"/>
      <c r="O4631" s="336"/>
      <c r="P4631" s="334"/>
      <c r="Q4631" s="335"/>
      <c r="R4631" s="336"/>
      <c r="S4631" s="337"/>
    </row>
    <row r="4632" spans="1:19" ht="30" customHeight="1" x14ac:dyDescent="0.25">
      <c r="A4632" s="1268" t="s">
        <v>316</v>
      </c>
      <c r="B4632" s="1167"/>
      <c r="C4632" s="1168"/>
      <c r="D4632" s="1230" t="s">
        <v>2411</v>
      </c>
      <c r="E4632" s="1231"/>
      <c r="F4632" s="1231"/>
      <c r="G4632" s="1231"/>
      <c r="H4632" s="1231"/>
      <c r="I4632" s="1231"/>
      <c r="J4632" s="1231"/>
      <c r="K4632" s="1231"/>
      <c r="L4632" s="1232"/>
      <c r="M4632" s="54"/>
      <c r="O4632" s="336"/>
      <c r="P4632" s="334"/>
      <c r="Q4632" s="335"/>
      <c r="R4632" s="336"/>
      <c r="S4632" s="337"/>
    </row>
    <row r="4633" spans="1:19" ht="30" customHeight="1" x14ac:dyDescent="0.25">
      <c r="A4633" s="1268" t="s">
        <v>318</v>
      </c>
      <c r="B4633" s="1167"/>
      <c r="C4633" s="1168"/>
      <c r="D4633" s="1230" t="s">
        <v>2250</v>
      </c>
      <c r="E4633" s="1231"/>
      <c r="F4633" s="1231"/>
      <c r="G4633" s="1231"/>
      <c r="H4633" s="1231"/>
      <c r="I4633" s="1231"/>
      <c r="J4633" s="1231"/>
      <c r="K4633" s="1231"/>
      <c r="L4633" s="1232"/>
      <c r="M4633" s="54"/>
      <c r="O4633" s="336"/>
      <c r="P4633" s="334"/>
      <c r="Q4633" s="335"/>
      <c r="R4633" s="336"/>
      <c r="S4633" s="337"/>
    </row>
    <row r="4634" spans="1:19" ht="30" customHeight="1" x14ac:dyDescent="0.25">
      <c r="A4634" s="1268" t="s">
        <v>320</v>
      </c>
      <c r="B4634" s="1167"/>
      <c r="C4634" s="1168"/>
      <c r="D4634" s="1230" t="s">
        <v>2500</v>
      </c>
      <c r="E4634" s="1231"/>
      <c r="F4634" s="1231"/>
      <c r="G4634" s="1231"/>
      <c r="H4634" s="1231"/>
      <c r="I4634" s="1231"/>
      <c r="J4634" s="1231"/>
      <c r="K4634" s="1231"/>
      <c r="L4634" s="1232"/>
      <c r="M4634" s="54"/>
      <c r="O4634" s="336"/>
      <c r="P4634" s="334"/>
      <c r="Q4634" s="335"/>
      <c r="R4634" s="336"/>
      <c r="S4634" s="337"/>
    </row>
    <row r="4635" spans="1:19" ht="30" customHeight="1" x14ac:dyDescent="0.25">
      <c r="A4635" s="1268" t="s">
        <v>322</v>
      </c>
      <c r="B4635" s="1167"/>
      <c r="C4635" s="1168"/>
      <c r="D4635" s="1230" t="s">
        <v>323</v>
      </c>
      <c r="E4635" s="1231"/>
      <c r="F4635" s="1231"/>
      <c r="G4635" s="1231"/>
      <c r="H4635" s="1231"/>
      <c r="I4635" s="1231"/>
      <c r="J4635" s="1231"/>
      <c r="K4635" s="1231"/>
      <c r="L4635" s="1232"/>
      <c r="O4635" s="336"/>
      <c r="P4635" s="334"/>
      <c r="Q4635" s="335"/>
      <c r="R4635" s="336"/>
      <c r="S4635" s="337"/>
    </row>
    <row r="4636" spans="1:19" ht="30" customHeight="1" thickBot="1" x14ac:dyDescent="0.3">
      <c r="A4636" s="1265" t="s">
        <v>350</v>
      </c>
      <c r="B4636" s="1266"/>
      <c r="C4636" s="1267"/>
      <c r="D4636" s="1291" t="s">
        <v>3456</v>
      </c>
      <c r="E4636" s="1292"/>
      <c r="F4636" s="1292"/>
      <c r="G4636" s="1292"/>
      <c r="H4636" s="1292"/>
      <c r="I4636" s="1292"/>
      <c r="J4636" s="1292"/>
      <c r="K4636" s="1292"/>
      <c r="L4636" s="1293"/>
      <c r="N4636" s="10"/>
      <c r="O4636" s="336"/>
      <c r="P4636" s="334"/>
      <c r="Q4636" s="335"/>
      <c r="R4636" s="336"/>
      <c r="S4636" s="337"/>
    </row>
    <row r="4637" spans="1:19" ht="30" customHeight="1" thickBot="1" x14ac:dyDescent="0.3">
      <c r="A4637" s="1180"/>
      <c r="B4637" s="1181"/>
      <c r="C4637" s="1181"/>
      <c r="D4637" s="1181"/>
      <c r="E4637" s="1181"/>
      <c r="F4637" s="1181"/>
      <c r="G4637" s="1181"/>
      <c r="H4637" s="1181"/>
      <c r="I4637" s="1181"/>
      <c r="J4637" s="1181"/>
      <c r="K4637" s="1181"/>
      <c r="L4637" s="1182"/>
      <c r="N4637" s="10"/>
      <c r="O4637" s="336"/>
      <c r="P4637" s="334"/>
      <c r="Q4637" s="335"/>
      <c r="R4637" s="336"/>
      <c r="S4637" s="337"/>
    </row>
    <row r="4638" spans="1:19" ht="30" customHeight="1" x14ac:dyDescent="0.25">
      <c r="A4638" s="327" t="s">
        <v>5</v>
      </c>
      <c r="B4638" s="328">
        <v>8422</v>
      </c>
      <c r="C4638" s="1218" t="s">
        <v>2550</v>
      </c>
      <c r="D4638" s="1219"/>
      <c r="E4638" s="331" t="s">
        <v>8</v>
      </c>
      <c r="F4638" s="332" t="s">
        <v>2465</v>
      </c>
      <c r="G4638" s="342" t="s">
        <v>74</v>
      </c>
      <c r="H4638" s="160">
        <v>3172</v>
      </c>
      <c r="I4638" s="331" t="s">
        <v>10</v>
      </c>
      <c r="J4638" s="1220" t="s">
        <v>382</v>
      </c>
      <c r="K4638" s="1220"/>
      <c r="L4638" s="1221"/>
      <c r="M4638" s="207"/>
      <c r="O4638" s="336"/>
      <c r="P4638" s="334"/>
      <c r="Q4638" s="335"/>
      <c r="R4638" s="336"/>
      <c r="S4638" s="337"/>
    </row>
    <row r="4639" spans="1:19" ht="30" customHeight="1" x14ac:dyDescent="0.25">
      <c r="A4639" s="356" t="s">
        <v>282</v>
      </c>
      <c r="B4639" s="1163" t="s">
        <v>13</v>
      </c>
      <c r="C4639" s="1163"/>
      <c r="D4639" s="1163"/>
      <c r="E4639" s="546" t="s">
        <v>2273</v>
      </c>
      <c r="F4639" s="356" t="s">
        <v>2551</v>
      </c>
      <c r="G4639" s="1314" t="s">
        <v>118</v>
      </c>
      <c r="H4639" s="1315"/>
      <c r="I4639" s="1276" t="s">
        <v>284</v>
      </c>
      <c r="J4639" s="1277"/>
      <c r="K4639" s="581" t="s">
        <v>285</v>
      </c>
      <c r="L4639" s="382"/>
      <c r="M4639" s="10"/>
      <c r="O4639" s="336"/>
      <c r="P4639" s="334"/>
      <c r="Q4639" s="335"/>
      <c r="R4639" s="336"/>
      <c r="S4639" s="337"/>
    </row>
    <row r="4640" spans="1:19" ht="30" customHeight="1" x14ac:dyDescent="0.25">
      <c r="A4640" s="365">
        <v>84472</v>
      </c>
      <c r="B4640" s="1214" t="s">
        <v>2552</v>
      </c>
      <c r="C4640" s="1215"/>
      <c r="D4640" s="1216"/>
      <c r="E4640" s="247">
        <v>61460</v>
      </c>
      <c r="F4640" s="257">
        <v>1000</v>
      </c>
      <c r="G4640" s="1049">
        <v>1440</v>
      </c>
      <c r="H4640" s="698" t="s">
        <v>2553</v>
      </c>
      <c r="I4640" s="1378">
        <v>0.9405</v>
      </c>
      <c r="J4640" s="1379"/>
      <c r="K4640" s="253">
        <f>E4640/G4640*I4640</f>
        <v>40.141062500000004</v>
      </c>
      <c r="L4640" s="365" t="s">
        <v>2465</v>
      </c>
      <c r="O4640" s="336"/>
      <c r="P4640" s="334"/>
      <c r="Q4640" s="335"/>
      <c r="R4640" s="336"/>
      <c r="S4640" s="337"/>
    </row>
    <row r="4641" spans="1:19" ht="30" customHeight="1" x14ac:dyDescent="0.25">
      <c r="A4641" s="365">
        <v>84472</v>
      </c>
      <c r="B4641" s="1214" t="s">
        <v>2554</v>
      </c>
      <c r="C4641" s="1215"/>
      <c r="D4641" s="1216"/>
      <c r="E4641" s="247">
        <v>80780</v>
      </c>
      <c r="F4641" s="257">
        <v>2000</v>
      </c>
      <c r="G4641" s="1050">
        <v>2880</v>
      </c>
      <c r="H4641" s="698" t="s">
        <v>2555</v>
      </c>
      <c r="I4641" s="1378">
        <v>0.9405</v>
      </c>
      <c r="J4641" s="1379"/>
      <c r="K4641" s="253">
        <f>E4641/G4641*I4641</f>
        <v>26.379718749999999</v>
      </c>
      <c r="L4641" s="365" t="s">
        <v>2465</v>
      </c>
      <c r="O4641" s="336"/>
      <c r="P4641" s="334"/>
      <c r="Q4641" s="335"/>
      <c r="R4641" s="336"/>
      <c r="S4641" s="337"/>
    </row>
    <row r="4642" spans="1:19" ht="30" customHeight="1" x14ac:dyDescent="0.25">
      <c r="A4642" s="365">
        <v>84472</v>
      </c>
      <c r="B4642" s="1214" t="s">
        <v>2556</v>
      </c>
      <c r="C4642" s="1215"/>
      <c r="D4642" s="1216"/>
      <c r="E4642" s="247">
        <v>39110</v>
      </c>
      <c r="F4642" s="257">
        <v>1000</v>
      </c>
      <c r="G4642" s="1050">
        <v>1440</v>
      </c>
      <c r="H4642" s="698" t="s">
        <v>2553</v>
      </c>
      <c r="I4642" s="1378">
        <v>0.9405</v>
      </c>
      <c r="J4642" s="1379"/>
      <c r="K4642" s="253">
        <f>E4642/G4642*I4642</f>
        <v>25.54371875</v>
      </c>
      <c r="L4642" s="365" t="s">
        <v>2465</v>
      </c>
      <c r="O4642" s="336"/>
      <c r="P4642" s="334"/>
      <c r="Q4642" s="335"/>
      <c r="R4642" s="336"/>
      <c r="S4642" s="337"/>
    </row>
    <row r="4643" spans="1:19" ht="30" customHeight="1" x14ac:dyDescent="0.25">
      <c r="A4643" s="365"/>
      <c r="B4643" s="561"/>
      <c r="C4643" s="562"/>
      <c r="D4643" s="563"/>
      <c r="E4643" s="153"/>
      <c r="F4643" s="172"/>
      <c r="G4643" s="697"/>
      <c r="H4643" s="698"/>
      <c r="I4643" s="730"/>
      <c r="J4643" s="695" t="s">
        <v>300</v>
      </c>
      <c r="K4643" s="253">
        <f>AVERAGE(K4640:K4642)</f>
        <v>30.688166666666664</v>
      </c>
      <c r="L4643" s="365" t="s">
        <v>2465</v>
      </c>
      <c r="N4643" s="66"/>
      <c r="O4643" s="336"/>
      <c r="P4643" s="334"/>
      <c r="Q4643" s="335"/>
      <c r="R4643" s="336"/>
      <c r="S4643" s="337"/>
    </row>
    <row r="4644" spans="1:19" ht="30" customHeight="1" thickBot="1" x14ac:dyDescent="0.3">
      <c r="A4644" s="365"/>
      <c r="B4644" s="1214"/>
      <c r="C4644" s="1215"/>
      <c r="D4644" s="1216"/>
      <c r="E4644" s="333"/>
      <c r="F4644" s="744"/>
      <c r="G4644" s="333"/>
      <c r="H4644" s="729"/>
      <c r="I4644" s="366"/>
      <c r="J4644" s="359" t="s">
        <v>72</v>
      </c>
      <c r="K4644" s="253">
        <f>+K4643</f>
        <v>30.688166666666664</v>
      </c>
      <c r="L4644" s="365" t="s">
        <v>2465</v>
      </c>
      <c r="M4644" s="54"/>
      <c r="O4644" s="336"/>
      <c r="P4644" s="334"/>
      <c r="Q4644" s="335"/>
      <c r="R4644" s="336"/>
      <c r="S4644" s="337"/>
    </row>
    <row r="4645" spans="1:19" ht="30" customHeight="1" thickBot="1" x14ac:dyDescent="0.3">
      <c r="A4645" s="1180"/>
      <c r="B4645" s="1181"/>
      <c r="C4645" s="1181"/>
      <c r="D4645" s="1181"/>
      <c r="E4645" s="1181"/>
      <c r="F4645" s="1181"/>
      <c r="G4645" s="1181"/>
      <c r="H4645" s="1181"/>
      <c r="I4645" s="1181"/>
      <c r="J4645" s="1181"/>
      <c r="K4645" s="1181"/>
      <c r="L4645" s="1182"/>
      <c r="O4645" s="336"/>
      <c r="P4645" s="334"/>
      <c r="Q4645" s="335"/>
      <c r="R4645" s="336"/>
      <c r="S4645" s="337"/>
    </row>
    <row r="4646" spans="1:19" ht="30" customHeight="1" x14ac:dyDescent="0.25">
      <c r="A4646" s="327" t="s">
        <v>5</v>
      </c>
      <c r="B4646" s="328">
        <v>8431</v>
      </c>
      <c r="C4646" s="1218" t="s">
        <v>2557</v>
      </c>
      <c r="D4646" s="1219"/>
      <c r="E4646" s="331" t="s">
        <v>8</v>
      </c>
      <c r="F4646" s="332" t="s">
        <v>267</v>
      </c>
      <c r="G4646" s="342" t="s">
        <v>74</v>
      </c>
      <c r="H4646" s="160">
        <v>969</v>
      </c>
      <c r="I4646" s="331" t="s">
        <v>10</v>
      </c>
      <c r="J4646" s="1220" t="s">
        <v>382</v>
      </c>
      <c r="K4646" s="1220"/>
      <c r="L4646" s="1221"/>
      <c r="M4646" s="115"/>
      <c r="O4646" s="336"/>
      <c r="P4646" s="334"/>
      <c r="Q4646" s="335"/>
      <c r="R4646" s="336"/>
      <c r="S4646" s="337"/>
    </row>
    <row r="4647" spans="1:19" ht="30" customHeight="1" x14ac:dyDescent="0.25">
      <c r="A4647" s="356" t="s">
        <v>282</v>
      </c>
      <c r="B4647" s="1163" t="s">
        <v>13</v>
      </c>
      <c r="C4647" s="1163"/>
      <c r="D4647" s="1163"/>
      <c r="E4647" s="546" t="s">
        <v>2273</v>
      </c>
      <c r="F4647" s="356" t="s">
        <v>2551</v>
      </c>
      <c r="G4647" s="1314" t="s">
        <v>118</v>
      </c>
      <c r="H4647" s="1315"/>
      <c r="I4647" s="1276" t="s">
        <v>284</v>
      </c>
      <c r="J4647" s="1277"/>
      <c r="K4647" s="1236" t="s">
        <v>285</v>
      </c>
      <c r="L4647" s="1237"/>
      <c r="O4647" s="336"/>
      <c r="P4647" s="334"/>
      <c r="Q4647" s="335"/>
      <c r="R4647" s="336"/>
      <c r="S4647" s="337"/>
    </row>
    <row r="4648" spans="1:19" ht="30" customHeight="1" x14ac:dyDescent="0.25">
      <c r="A4648" s="365">
        <v>84472</v>
      </c>
      <c r="B4648" s="1209" t="s">
        <v>2558</v>
      </c>
      <c r="C4648" s="1210"/>
      <c r="D4648" s="1211"/>
      <c r="E4648" s="247">
        <v>62050</v>
      </c>
      <c r="F4648" s="257">
        <v>500</v>
      </c>
      <c r="G4648" s="275">
        <v>500</v>
      </c>
      <c r="H4648" s="698" t="s">
        <v>2559</v>
      </c>
      <c r="I4648" s="1378">
        <v>0.9405</v>
      </c>
      <c r="J4648" s="1379"/>
      <c r="K4648" s="253">
        <f>+E4648/F4648*I4648</f>
        <v>116.71605</v>
      </c>
      <c r="L4648" s="365" t="s">
        <v>267</v>
      </c>
      <c r="O4648" s="336"/>
      <c r="P4648" s="334"/>
      <c r="Q4648" s="335"/>
      <c r="R4648" s="336"/>
      <c r="S4648" s="337"/>
    </row>
    <row r="4649" spans="1:19" ht="30" customHeight="1" x14ac:dyDescent="0.25">
      <c r="A4649" s="365">
        <v>84472</v>
      </c>
      <c r="B4649" s="1209" t="s">
        <v>2560</v>
      </c>
      <c r="C4649" s="1210"/>
      <c r="D4649" s="1211"/>
      <c r="E4649" s="247">
        <v>61460</v>
      </c>
      <c r="F4649" s="257">
        <v>1000</v>
      </c>
      <c r="G4649" s="284">
        <v>1000</v>
      </c>
      <c r="H4649" s="698" t="s">
        <v>2559</v>
      </c>
      <c r="I4649" s="1378">
        <v>0.9405</v>
      </c>
      <c r="J4649" s="1379"/>
      <c r="K4649" s="253">
        <f>+E4649/F4649*I4649</f>
        <v>57.803130000000003</v>
      </c>
      <c r="L4649" s="365" t="s">
        <v>267</v>
      </c>
      <c r="O4649" s="336"/>
      <c r="P4649" s="334"/>
      <c r="Q4649" s="335"/>
      <c r="R4649" s="336"/>
      <c r="S4649" s="337"/>
    </row>
    <row r="4650" spans="1:19" ht="30" customHeight="1" x14ac:dyDescent="0.25">
      <c r="A4650" s="365">
        <v>84472</v>
      </c>
      <c r="B4650" s="1209" t="s">
        <v>2561</v>
      </c>
      <c r="C4650" s="1210"/>
      <c r="D4650" s="1211"/>
      <c r="E4650" s="282">
        <v>80780</v>
      </c>
      <c r="F4650" s="257">
        <v>2000</v>
      </c>
      <c r="G4650" s="275">
        <v>2000</v>
      </c>
      <c r="H4650" s="698" t="s">
        <v>2559</v>
      </c>
      <c r="I4650" s="1378">
        <v>0.9405</v>
      </c>
      <c r="J4650" s="1379"/>
      <c r="K4650" s="253">
        <f>+E4650/F4650*I4650</f>
        <v>37.986795000000001</v>
      </c>
      <c r="L4650" s="365" t="s">
        <v>267</v>
      </c>
      <c r="O4650" s="336"/>
      <c r="P4650" s="334"/>
      <c r="Q4650" s="335"/>
      <c r="R4650" s="336"/>
      <c r="S4650" s="337"/>
    </row>
    <row r="4651" spans="1:19" ht="30" customHeight="1" x14ac:dyDescent="0.25">
      <c r="A4651" s="365">
        <v>84472</v>
      </c>
      <c r="B4651" s="1209" t="s">
        <v>2562</v>
      </c>
      <c r="C4651" s="1210"/>
      <c r="D4651" s="1211"/>
      <c r="E4651" s="246">
        <v>39110</v>
      </c>
      <c r="F4651" s="257">
        <v>1000</v>
      </c>
      <c r="G4651" s="275">
        <v>1000</v>
      </c>
      <c r="H4651" s="698" t="s">
        <v>2559</v>
      </c>
      <c r="I4651" s="1378">
        <v>0.9405</v>
      </c>
      <c r="J4651" s="1379"/>
      <c r="K4651" s="253">
        <f>+E4651/F4651*I4651</f>
        <v>36.782955000000001</v>
      </c>
      <c r="L4651" s="365" t="s">
        <v>267</v>
      </c>
      <c r="M4651" s="10"/>
      <c r="O4651" s="336"/>
      <c r="P4651" s="334"/>
      <c r="Q4651" s="335"/>
      <c r="R4651" s="336"/>
      <c r="S4651" s="337"/>
    </row>
    <row r="4652" spans="1:19" ht="30" customHeight="1" thickBot="1" x14ac:dyDescent="0.3">
      <c r="A4652" s="365"/>
      <c r="B4652" s="1214"/>
      <c r="C4652" s="1215"/>
      <c r="D4652" s="1216"/>
      <c r="E4652" s="333"/>
      <c r="F4652" s="744"/>
      <c r="G4652" s="333"/>
      <c r="H4652" s="729" t="s">
        <v>300</v>
      </c>
      <c r="I4652" s="366"/>
      <c r="J4652" s="359" t="s">
        <v>72</v>
      </c>
      <c r="K4652" s="243">
        <f>AVERAGE(K4648:K4651)</f>
        <v>62.322232499999998</v>
      </c>
      <c r="L4652" s="365" t="s">
        <v>267</v>
      </c>
      <c r="M4652" s="10"/>
      <c r="N4652" s="54"/>
      <c r="O4652" s="336"/>
      <c r="P4652" s="334"/>
      <c r="Q4652" s="335"/>
      <c r="R4652" s="336"/>
      <c r="S4652" s="337"/>
    </row>
    <row r="4653" spans="1:19" ht="30" customHeight="1" thickBot="1" x14ac:dyDescent="0.3">
      <c r="A4653" s="1180"/>
      <c r="B4653" s="1181"/>
      <c r="C4653" s="1181"/>
      <c r="D4653" s="1181"/>
      <c r="E4653" s="1181"/>
      <c r="F4653" s="1181"/>
      <c r="G4653" s="1181"/>
      <c r="H4653" s="1181"/>
      <c r="I4653" s="1181"/>
      <c r="J4653" s="1181"/>
      <c r="K4653" s="1181"/>
      <c r="L4653" s="1182"/>
      <c r="O4653" s="336"/>
      <c r="P4653" s="334"/>
      <c r="Q4653" s="335"/>
      <c r="R4653" s="336"/>
      <c r="S4653" s="337"/>
    </row>
    <row r="4654" spans="1:19" ht="30" customHeight="1" x14ac:dyDescent="0.25">
      <c r="A4654" s="327" t="s">
        <v>5</v>
      </c>
      <c r="B4654" s="328">
        <v>8432</v>
      </c>
      <c r="C4654" s="1251" t="s">
        <v>2563</v>
      </c>
      <c r="D4654" s="1252"/>
      <c r="E4654" s="331" t="s">
        <v>8</v>
      </c>
      <c r="F4654" s="332" t="s">
        <v>40</v>
      </c>
      <c r="G4654" s="342" t="s">
        <v>74</v>
      </c>
      <c r="H4654" s="156">
        <v>6292</v>
      </c>
      <c r="I4654" s="331" t="s">
        <v>10</v>
      </c>
      <c r="J4654" s="1220" t="s">
        <v>294</v>
      </c>
      <c r="K4654" s="1220"/>
      <c r="L4654" s="1221"/>
      <c r="O4654" s="336"/>
      <c r="P4654" s="334"/>
      <c r="Q4654" s="335"/>
      <c r="R4654" s="336"/>
      <c r="S4654" s="337"/>
    </row>
    <row r="4655" spans="1:19" ht="30" customHeight="1" x14ac:dyDescent="0.25">
      <c r="A4655" s="359" t="s">
        <v>295</v>
      </c>
      <c r="B4655" s="1222" t="s">
        <v>326</v>
      </c>
      <c r="C4655" s="1235"/>
      <c r="D4655" s="1223"/>
      <c r="E4655" s="577" t="s">
        <v>116</v>
      </c>
      <c r="F4655" s="577" t="s">
        <v>117</v>
      </c>
      <c r="G4655" s="1194" t="s">
        <v>118</v>
      </c>
      <c r="H4655" s="1195"/>
      <c r="I4655" s="356" t="s">
        <v>296</v>
      </c>
      <c r="J4655" s="356"/>
      <c r="K4655" s="1236" t="s">
        <v>285</v>
      </c>
      <c r="L4655" s="1237"/>
      <c r="M4655" s="115"/>
      <c r="O4655" s="336"/>
      <c r="P4655" s="334"/>
      <c r="Q4655" s="335"/>
      <c r="R4655" s="336"/>
      <c r="S4655" s="337"/>
    </row>
    <row r="4656" spans="1:19" ht="30" customHeight="1" x14ac:dyDescent="0.25">
      <c r="A4656" s="365" t="s">
        <v>339</v>
      </c>
      <c r="B4656" s="1209" t="s">
        <v>2564</v>
      </c>
      <c r="C4656" s="1210"/>
      <c r="D4656" s="1211"/>
      <c r="E4656" s="7">
        <v>27.75</v>
      </c>
      <c r="F4656" s="396" t="s">
        <v>40</v>
      </c>
      <c r="G4656" s="20"/>
      <c r="H4656" s="690"/>
      <c r="I4656" s="365">
        <v>1.21</v>
      </c>
      <c r="J4656" s="396"/>
      <c r="K4656" s="246">
        <f>+E4656*I4656</f>
        <v>33.577500000000001</v>
      </c>
      <c r="L4656" s="396" t="s">
        <v>40</v>
      </c>
      <c r="O4656" s="336"/>
      <c r="P4656" s="334"/>
      <c r="Q4656" s="335"/>
      <c r="R4656" s="336"/>
      <c r="S4656" s="337"/>
    </row>
    <row r="4657" spans="1:19" ht="30" customHeight="1" x14ac:dyDescent="0.25">
      <c r="A4657" s="365" t="s">
        <v>339</v>
      </c>
      <c r="B4657" s="1209" t="s">
        <v>2565</v>
      </c>
      <c r="C4657" s="1210"/>
      <c r="D4657" s="1211"/>
      <c r="E4657" s="7">
        <v>44.5</v>
      </c>
      <c r="F4657" s="396" t="s">
        <v>40</v>
      </c>
      <c r="G4657" s="20"/>
      <c r="H4657" s="690"/>
      <c r="I4657" s="365">
        <v>1.21</v>
      </c>
      <c r="J4657" s="396"/>
      <c r="K4657" s="246">
        <f>+E4657*I4657</f>
        <v>53.844999999999999</v>
      </c>
      <c r="L4657" s="396" t="s">
        <v>40</v>
      </c>
      <c r="N4657" s="10"/>
      <c r="O4657" s="336"/>
      <c r="P4657" s="334"/>
      <c r="Q4657" s="335"/>
      <c r="R4657" s="336"/>
      <c r="S4657" s="337"/>
    </row>
    <row r="4658" spans="1:19" ht="30" customHeight="1" x14ac:dyDescent="0.25">
      <c r="A4658" s="365"/>
      <c r="B4658" s="738"/>
      <c r="C4658" s="591"/>
      <c r="D4658" s="589"/>
      <c r="E4658" s="7"/>
      <c r="F4658" s="396"/>
      <c r="G4658" s="20"/>
      <c r="H4658" s="690"/>
      <c r="I4658" s="365"/>
      <c r="J4658" s="396" t="s">
        <v>300</v>
      </c>
      <c r="K4658" s="246">
        <f>AVERAGE(K4656:K4657)</f>
        <v>43.71125</v>
      </c>
      <c r="L4658" s="396" t="s">
        <v>40</v>
      </c>
      <c r="M4658" s="66"/>
      <c r="N4658" s="10"/>
      <c r="O4658" s="336"/>
      <c r="P4658" s="334"/>
      <c r="Q4658" s="335"/>
      <c r="R4658" s="336"/>
      <c r="S4658" s="337"/>
    </row>
    <row r="4659" spans="1:19" ht="30" customHeight="1" x14ac:dyDescent="0.25">
      <c r="A4659" s="365" t="s">
        <v>339</v>
      </c>
      <c r="B4659" s="1214" t="s">
        <v>2566</v>
      </c>
      <c r="C4659" s="1215"/>
      <c r="D4659" s="1216"/>
      <c r="E4659" s="7">
        <v>11.4</v>
      </c>
      <c r="F4659" s="396" t="s">
        <v>40</v>
      </c>
      <c r="G4659" s="21"/>
      <c r="H4659" s="690"/>
      <c r="I4659" s="365">
        <v>1.21</v>
      </c>
      <c r="J4659" s="396"/>
      <c r="K4659" s="246">
        <f>+E4659*I4659</f>
        <v>13.794</v>
      </c>
      <c r="L4659" s="396" t="s">
        <v>40</v>
      </c>
      <c r="O4659" s="336"/>
      <c r="P4659" s="334"/>
      <c r="Q4659" s="335"/>
      <c r="R4659" s="336"/>
      <c r="S4659" s="337"/>
    </row>
    <row r="4660" spans="1:19" ht="30" customHeight="1" x14ac:dyDescent="0.25">
      <c r="A4660" s="755"/>
      <c r="B4660" s="1269" t="s">
        <v>2567</v>
      </c>
      <c r="C4660" s="1269"/>
      <c r="D4660" s="1269"/>
      <c r="E4660" s="247"/>
      <c r="F4660" s="365"/>
      <c r="G4660" s="365"/>
      <c r="H4660" s="365"/>
      <c r="I4660" s="365"/>
      <c r="J4660" s="365" t="s">
        <v>343</v>
      </c>
      <c r="K4660" s="247">
        <f>+K4659+K4658</f>
        <v>57.505250000000004</v>
      </c>
      <c r="L4660" s="365" t="s">
        <v>40</v>
      </c>
      <c r="M4660" s="115"/>
      <c r="O4660" s="336"/>
      <c r="P4660" s="334"/>
      <c r="Q4660" s="335"/>
      <c r="R4660" s="336"/>
      <c r="S4660" s="337"/>
    </row>
    <row r="4661" spans="1:19" ht="30" customHeight="1" x14ac:dyDescent="0.25">
      <c r="A4661" s="365"/>
      <c r="B4661" s="578"/>
      <c r="C4661" s="578"/>
      <c r="D4661" s="578"/>
      <c r="E4661" s="247"/>
      <c r="F4661" s="1272" t="s">
        <v>303</v>
      </c>
      <c r="G4661" s="1283" t="s">
        <v>304</v>
      </c>
      <c r="H4661" s="1283"/>
      <c r="I4661" s="1283"/>
      <c r="J4661" s="1283"/>
      <c r="K4661" s="250">
        <v>1.06</v>
      </c>
      <c r="L4661" s="365"/>
      <c r="O4661" s="336"/>
      <c r="P4661" s="334"/>
      <c r="Q4661" s="335"/>
      <c r="R4661" s="336"/>
      <c r="S4661" s="337"/>
    </row>
    <row r="4662" spans="1:19" ht="30" customHeight="1" x14ac:dyDescent="0.25">
      <c r="A4662" s="365"/>
      <c r="B4662" s="578"/>
      <c r="C4662" s="578"/>
      <c r="D4662" s="578"/>
      <c r="E4662" s="247"/>
      <c r="F4662" s="1273"/>
      <c r="G4662" s="1284" t="s">
        <v>305</v>
      </c>
      <c r="H4662" s="1284"/>
      <c r="I4662" s="1284"/>
      <c r="J4662" s="1284"/>
      <c r="K4662" s="250">
        <v>1.06</v>
      </c>
      <c r="L4662" s="365"/>
      <c r="M4662" s="115"/>
      <c r="O4662" s="336"/>
      <c r="P4662" s="334"/>
      <c r="Q4662" s="335"/>
      <c r="R4662" s="336"/>
      <c r="S4662" s="337"/>
    </row>
    <row r="4663" spans="1:19" ht="30" customHeight="1" x14ac:dyDescent="0.25">
      <c r="A4663" s="365"/>
      <c r="B4663" s="365"/>
      <c r="C4663" s="366"/>
      <c r="D4663" s="366"/>
      <c r="E4663" s="366"/>
      <c r="F4663" s="366"/>
      <c r="G4663" s="366"/>
      <c r="H4663" s="366"/>
      <c r="I4663" s="366"/>
      <c r="J4663" s="365" t="s">
        <v>72</v>
      </c>
      <c r="K4663" s="246">
        <f>+K4660*K4661/K4662</f>
        <v>57.505250000000004</v>
      </c>
      <c r="L4663" s="365" t="s">
        <v>40</v>
      </c>
      <c r="N4663" s="54"/>
      <c r="O4663" s="336"/>
      <c r="P4663" s="334"/>
      <c r="Q4663" s="335"/>
      <c r="R4663" s="336"/>
      <c r="S4663" s="337"/>
    </row>
    <row r="4664" spans="1:19" ht="30" customHeight="1" thickBot="1" x14ac:dyDescent="0.3">
      <c r="A4664" s="365"/>
      <c r="B4664" s="365"/>
      <c r="C4664" s="366"/>
      <c r="D4664" s="366"/>
      <c r="E4664" s="366"/>
      <c r="F4664" s="366"/>
      <c r="G4664" s="580" t="s">
        <v>306</v>
      </c>
      <c r="H4664" s="366"/>
      <c r="I4664" s="366"/>
      <c r="J4664" s="521">
        <f>VLOOKUP(B4654,'Mil Cost Premiums for PUCs'!$A$4:$R$277,18,FALSE)</f>
        <v>1.0905505199999999</v>
      </c>
      <c r="K4664" s="246">
        <f>+K4663*J4664</f>
        <v>62.712380290229994</v>
      </c>
      <c r="L4664" s="365" t="s">
        <v>40</v>
      </c>
      <c r="O4664" s="336"/>
      <c r="P4664" s="334"/>
      <c r="Q4664" s="335"/>
      <c r="R4664" s="336"/>
      <c r="S4664" s="337"/>
    </row>
    <row r="4665" spans="1:19" ht="30" customHeight="1" thickBot="1" x14ac:dyDescent="0.3">
      <c r="A4665" s="1180"/>
      <c r="B4665" s="1181"/>
      <c r="C4665" s="1181"/>
      <c r="D4665" s="1181"/>
      <c r="E4665" s="1181"/>
      <c r="F4665" s="1181"/>
      <c r="G4665" s="1181"/>
      <c r="H4665" s="1181"/>
      <c r="I4665" s="1181"/>
      <c r="J4665" s="1181"/>
      <c r="K4665" s="1181"/>
      <c r="L4665" s="1182"/>
      <c r="O4665" s="336"/>
      <c r="P4665" s="334"/>
      <c r="Q4665" s="335"/>
      <c r="R4665" s="336"/>
      <c r="S4665" s="337"/>
    </row>
    <row r="4666" spans="1:19" ht="30" customHeight="1" thickBot="1" x14ac:dyDescent="0.3">
      <c r="A4666" s="327" t="s">
        <v>5</v>
      </c>
      <c r="B4666" s="328">
        <v>8433</v>
      </c>
      <c r="C4666" s="1251" t="s">
        <v>2568</v>
      </c>
      <c r="D4666" s="1252"/>
      <c r="E4666" s="331" t="s">
        <v>8</v>
      </c>
      <c r="F4666" s="332" t="s">
        <v>2569</v>
      </c>
      <c r="G4666" s="342" t="s">
        <v>74</v>
      </c>
      <c r="H4666" s="156">
        <v>14275</v>
      </c>
      <c r="I4666" s="331" t="s">
        <v>10</v>
      </c>
      <c r="J4666" s="1253" t="s">
        <v>713</v>
      </c>
      <c r="K4666" s="1254"/>
      <c r="L4666" s="1255"/>
      <c r="O4666" s="336"/>
      <c r="P4666" s="334"/>
      <c r="Q4666" s="335"/>
      <c r="R4666" s="336"/>
      <c r="S4666" s="337"/>
    </row>
    <row r="4667" spans="1:19" ht="30" customHeight="1" thickBot="1" x14ac:dyDescent="0.3">
      <c r="A4667" s="1180"/>
      <c r="B4667" s="1181"/>
      <c r="C4667" s="1181"/>
      <c r="D4667" s="1181"/>
      <c r="E4667" s="1181"/>
      <c r="F4667" s="1181"/>
      <c r="G4667" s="1181"/>
      <c r="H4667" s="1181"/>
      <c r="I4667" s="1181"/>
      <c r="J4667" s="1181"/>
      <c r="K4667" s="1181"/>
      <c r="L4667" s="1182"/>
      <c r="M4667" s="54"/>
      <c r="O4667" s="336"/>
      <c r="P4667" s="334"/>
      <c r="Q4667" s="335"/>
      <c r="R4667" s="336"/>
      <c r="S4667" s="337"/>
    </row>
    <row r="4668" spans="1:19" ht="30" customHeight="1" x14ac:dyDescent="0.25">
      <c r="A4668" s="327" t="s">
        <v>5</v>
      </c>
      <c r="B4668" s="328">
        <v>8434</v>
      </c>
      <c r="C4668" s="1218" t="s">
        <v>2570</v>
      </c>
      <c r="D4668" s="1219"/>
      <c r="E4668" s="331" t="s">
        <v>8</v>
      </c>
      <c r="F4668" s="332" t="s">
        <v>2465</v>
      </c>
      <c r="G4668" s="342" t="s">
        <v>74</v>
      </c>
      <c r="H4668" s="160">
        <v>3548</v>
      </c>
      <c r="I4668" s="331" t="s">
        <v>10</v>
      </c>
      <c r="J4668" s="1220" t="s">
        <v>382</v>
      </c>
      <c r="K4668" s="1220"/>
      <c r="L4668" s="1221"/>
      <c r="M4668" s="115"/>
      <c r="N4668" s="10"/>
      <c r="O4668" s="336"/>
      <c r="P4668" s="334"/>
      <c r="Q4668" s="335"/>
      <c r="R4668" s="336"/>
      <c r="S4668" s="337"/>
    </row>
    <row r="4669" spans="1:19" ht="30" customHeight="1" x14ac:dyDescent="0.25">
      <c r="A4669" s="356" t="s">
        <v>282</v>
      </c>
      <c r="B4669" s="1163" t="s">
        <v>13</v>
      </c>
      <c r="C4669" s="1163"/>
      <c r="D4669" s="1163"/>
      <c r="E4669" s="546" t="s">
        <v>2273</v>
      </c>
      <c r="F4669" s="356" t="s">
        <v>2551</v>
      </c>
      <c r="G4669" s="1314" t="s">
        <v>118</v>
      </c>
      <c r="H4669" s="1315"/>
      <c r="I4669" s="1276" t="s">
        <v>539</v>
      </c>
      <c r="J4669" s="1277"/>
      <c r="K4669" s="1236" t="s">
        <v>285</v>
      </c>
      <c r="L4669" s="1237"/>
      <c r="N4669" s="10"/>
      <c r="O4669" s="336"/>
      <c r="P4669" s="334"/>
      <c r="Q4669" s="335"/>
      <c r="R4669" s="336"/>
      <c r="S4669" s="337"/>
    </row>
    <row r="4670" spans="1:19" ht="30" customHeight="1" x14ac:dyDescent="0.25">
      <c r="A4670" s="365">
        <v>84472</v>
      </c>
      <c r="B4670" s="1209" t="s">
        <v>2560</v>
      </c>
      <c r="C4670" s="1210"/>
      <c r="D4670" s="1211"/>
      <c r="E4670" s="247">
        <v>61460</v>
      </c>
      <c r="F4670" s="257">
        <v>1000</v>
      </c>
      <c r="G4670" s="1049">
        <v>1440</v>
      </c>
      <c r="H4670" s="698" t="s">
        <v>2553</v>
      </c>
      <c r="I4670" s="1378">
        <v>0.9405</v>
      </c>
      <c r="J4670" s="1379"/>
      <c r="K4670" s="253">
        <f>+E4670/G4670*I4670</f>
        <v>40.141062500000004</v>
      </c>
      <c r="L4670" s="365" t="s">
        <v>2465</v>
      </c>
      <c r="O4670" s="336"/>
      <c r="P4670" s="334"/>
      <c r="Q4670" s="335"/>
      <c r="R4670" s="336"/>
      <c r="S4670" s="337"/>
    </row>
    <row r="4671" spans="1:19" ht="30" customHeight="1" x14ac:dyDescent="0.25">
      <c r="A4671" s="365">
        <v>84472</v>
      </c>
      <c r="B4671" s="1209" t="s">
        <v>2561</v>
      </c>
      <c r="C4671" s="1210"/>
      <c r="D4671" s="1211"/>
      <c r="E4671" s="282">
        <v>80780</v>
      </c>
      <c r="F4671" s="257">
        <v>2000</v>
      </c>
      <c r="G4671" s="1050">
        <v>2880</v>
      </c>
      <c r="H4671" s="698" t="s">
        <v>2555</v>
      </c>
      <c r="I4671" s="1378">
        <v>0.9405</v>
      </c>
      <c r="J4671" s="1379"/>
      <c r="K4671" s="253">
        <f>+E4671/G4671*I4671</f>
        <v>26.379718749999999</v>
      </c>
      <c r="L4671" s="365" t="s">
        <v>2465</v>
      </c>
      <c r="O4671" s="336"/>
      <c r="P4671" s="334"/>
      <c r="Q4671" s="335"/>
      <c r="R4671" s="336"/>
      <c r="S4671" s="337"/>
    </row>
    <row r="4672" spans="1:19" ht="30" customHeight="1" x14ac:dyDescent="0.25">
      <c r="A4672" s="365">
        <v>84472</v>
      </c>
      <c r="B4672" s="1209" t="s">
        <v>2562</v>
      </c>
      <c r="C4672" s="1210"/>
      <c r="D4672" s="1211"/>
      <c r="E4672" s="246">
        <v>39110</v>
      </c>
      <c r="F4672" s="257">
        <v>1000</v>
      </c>
      <c r="G4672" s="1050">
        <v>1440</v>
      </c>
      <c r="H4672" s="698" t="s">
        <v>2553</v>
      </c>
      <c r="I4672" s="1378">
        <v>0.9405</v>
      </c>
      <c r="J4672" s="1379"/>
      <c r="K4672" s="253">
        <f>+E4672/G4672*I4672</f>
        <v>25.54371875</v>
      </c>
      <c r="L4672" s="365" t="s">
        <v>2465</v>
      </c>
      <c r="M4672" s="10"/>
      <c r="O4672" s="336"/>
      <c r="P4672" s="334"/>
      <c r="Q4672" s="335"/>
      <c r="R4672" s="336"/>
      <c r="S4672" s="337"/>
    </row>
    <row r="4673" spans="1:19" ht="30" customHeight="1" thickBot="1" x14ac:dyDescent="0.3">
      <c r="A4673" s="365"/>
      <c r="B4673" s="1214"/>
      <c r="C4673" s="1215"/>
      <c r="D4673" s="1216"/>
      <c r="E4673" s="333"/>
      <c r="F4673" s="744"/>
      <c r="G4673" s="333"/>
      <c r="H4673" s="729" t="s">
        <v>300</v>
      </c>
      <c r="I4673" s="366"/>
      <c r="J4673" s="359" t="s">
        <v>72</v>
      </c>
      <c r="K4673" s="243">
        <f>AVERAGE(K4670:K4672)</f>
        <v>30.688166666666664</v>
      </c>
      <c r="L4673" s="367" t="s">
        <v>2465</v>
      </c>
      <c r="M4673" s="10"/>
      <c r="O4673" s="336"/>
      <c r="P4673" s="334"/>
      <c r="Q4673" s="335"/>
      <c r="R4673" s="336"/>
      <c r="S4673" s="337"/>
    </row>
    <row r="4674" spans="1:19" ht="30" customHeight="1" thickBot="1" x14ac:dyDescent="0.3">
      <c r="A4674" s="1180"/>
      <c r="B4674" s="1181"/>
      <c r="C4674" s="1181"/>
      <c r="D4674" s="1181"/>
      <c r="E4674" s="1181"/>
      <c r="F4674" s="1181"/>
      <c r="G4674" s="1181"/>
      <c r="H4674" s="1181"/>
      <c r="I4674" s="1181"/>
      <c r="J4674" s="1181"/>
      <c r="K4674" s="1181"/>
      <c r="L4674" s="1182"/>
      <c r="O4674" s="336"/>
      <c r="P4674" s="334"/>
      <c r="Q4674" s="335"/>
      <c r="R4674" s="336"/>
      <c r="S4674" s="337"/>
    </row>
    <row r="4675" spans="1:19" ht="30" customHeight="1" x14ac:dyDescent="0.25">
      <c r="A4675" s="327" t="s">
        <v>5</v>
      </c>
      <c r="B4675" s="328">
        <v>8435</v>
      </c>
      <c r="C4675" s="1218" t="s">
        <v>2571</v>
      </c>
      <c r="D4675" s="1219"/>
      <c r="E4675" s="331" t="s">
        <v>8</v>
      </c>
      <c r="F4675" s="332" t="s">
        <v>214</v>
      </c>
      <c r="G4675" s="342" t="s">
        <v>74</v>
      </c>
      <c r="H4675" s="160">
        <v>158377</v>
      </c>
      <c r="I4675" s="331" t="s">
        <v>10</v>
      </c>
      <c r="J4675" s="1220" t="s">
        <v>2572</v>
      </c>
      <c r="K4675" s="1220"/>
      <c r="L4675" s="1221"/>
      <c r="M4675" s="116"/>
      <c r="O4675" s="336"/>
      <c r="P4675" s="334"/>
      <c r="Q4675" s="335"/>
      <c r="R4675" s="336"/>
      <c r="S4675" s="337"/>
    </row>
    <row r="4676" spans="1:19" ht="30" customHeight="1" x14ac:dyDescent="0.25">
      <c r="A4676" s="356"/>
      <c r="B4676" s="1163" t="s">
        <v>13</v>
      </c>
      <c r="C4676" s="1163"/>
      <c r="D4676" s="1163"/>
      <c r="E4676" s="356" t="s">
        <v>116</v>
      </c>
      <c r="F4676" s="356" t="s">
        <v>117</v>
      </c>
      <c r="G4676" s="1194" t="s">
        <v>118</v>
      </c>
      <c r="H4676" s="1195"/>
      <c r="I4676" s="356" t="s">
        <v>119</v>
      </c>
      <c r="J4676" s="356" t="s">
        <v>120</v>
      </c>
      <c r="K4676" s="1236" t="s">
        <v>72</v>
      </c>
      <c r="L4676" s="1237"/>
      <c r="M4676" s="54"/>
      <c r="N4676" s="54"/>
      <c r="O4676" s="336"/>
      <c r="P4676" s="334"/>
      <c r="Q4676" s="335"/>
      <c r="R4676" s="336"/>
      <c r="S4676" s="337"/>
    </row>
    <row r="4677" spans="1:19" ht="30" customHeight="1" thickBot="1" x14ac:dyDescent="0.3">
      <c r="A4677" s="360"/>
      <c r="B4677" s="1179" t="s">
        <v>2532</v>
      </c>
      <c r="C4677" s="1179"/>
      <c r="D4677" s="1179"/>
      <c r="E4677" s="694">
        <f>K4599</f>
        <v>1.57460391</v>
      </c>
      <c r="F4677" s="486"/>
      <c r="G4677" s="1183"/>
      <c r="H4677" s="1184"/>
      <c r="I4677" s="486"/>
      <c r="J4677" s="487"/>
      <c r="K4677" s="488">
        <f>E4677</f>
        <v>1.57460391</v>
      </c>
      <c r="L4677" s="367" t="s">
        <v>214</v>
      </c>
      <c r="M4677" s="54"/>
      <c r="N4677" s="470"/>
      <c r="O4677" s="336"/>
      <c r="P4677" s="334"/>
      <c r="Q4677" s="335"/>
      <c r="R4677" s="336"/>
      <c r="S4677" s="337"/>
    </row>
    <row r="4678" spans="1:19" ht="30" customHeight="1" thickBot="1" x14ac:dyDescent="0.3">
      <c r="A4678" s="1180"/>
      <c r="B4678" s="1181"/>
      <c r="C4678" s="1181"/>
      <c r="D4678" s="1181"/>
      <c r="E4678" s="1181"/>
      <c r="F4678" s="1181"/>
      <c r="G4678" s="1181"/>
      <c r="H4678" s="1181"/>
      <c r="I4678" s="1181"/>
      <c r="J4678" s="1181"/>
      <c r="K4678" s="1181"/>
      <c r="L4678" s="1182"/>
      <c r="O4678" s="336"/>
      <c r="P4678" s="334"/>
      <c r="Q4678" s="335"/>
      <c r="R4678" s="336"/>
      <c r="S4678" s="337"/>
    </row>
    <row r="4679" spans="1:19" ht="30" customHeight="1" x14ac:dyDescent="0.25">
      <c r="A4679" s="327" t="s">
        <v>5</v>
      </c>
      <c r="B4679" s="328">
        <v>8442</v>
      </c>
      <c r="C4679" s="1251" t="s">
        <v>2573</v>
      </c>
      <c r="D4679" s="1252"/>
      <c r="E4679" s="331" t="s">
        <v>8</v>
      </c>
      <c r="F4679" s="332" t="s">
        <v>214</v>
      </c>
      <c r="G4679" s="342" t="s">
        <v>74</v>
      </c>
      <c r="H4679" s="176">
        <v>141470</v>
      </c>
      <c r="I4679" s="331" t="s">
        <v>10</v>
      </c>
      <c r="J4679" s="1220" t="s">
        <v>3388</v>
      </c>
      <c r="K4679" s="1220"/>
      <c r="L4679" s="1221"/>
      <c r="O4679" s="336"/>
      <c r="P4679" s="334"/>
      <c r="Q4679" s="335"/>
      <c r="R4679" s="336"/>
      <c r="S4679" s="337"/>
    </row>
    <row r="4680" spans="1:19" ht="30" customHeight="1" x14ac:dyDescent="0.25">
      <c r="A4680" s="359" t="s">
        <v>295</v>
      </c>
      <c r="B4680" s="1222" t="s">
        <v>326</v>
      </c>
      <c r="C4680" s="1235"/>
      <c r="D4680" s="1223"/>
      <c r="E4680" s="577" t="s">
        <v>116</v>
      </c>
      <c r="F4680" s="577" t="s">
        <v>117</v>
      </c>
      <c r="G4680" s="1194" t="s">
        <v>118</v>
      </c>
      <c r="H4680" s="1195"/>
      <c r="I4680" s="356" t="s">
        <v>296</v>
      </c>
      <c r="J4680" s="356"/>
      <c r="K4680" s="1236" t="s">
        <v>285</v>
      </c>
      <c r="L4680" s="1237"/>
      <c r="M4680" s="54"/>
      <c r="O4680" s="336"/>
      <c r="P4680" s="334"/>
      <c r="Q4680" s="335"/>
      <c r="R4680" s="336"/>
      <c r="S4680" s="337"/>
    </row>
    <row r="4681" spans="1:19" ht="30" customHeight="1" x14ac:dyDescent="0.25">
      <c r="A4681" s="365" t="s">
        <v>1600</v>
      </c>
      <c r="B4681" s="1209" t="s">
        <v>2574</v>
      </c>
      <c r="C4681" s="1210"/>
      <c r="D4681" s="1211"/>
      <c r="E4681" s="7">
        <f>750000*0.85</f>
        <v>637500</v>
      </c>
      <c r="F4681" s="396" t="s">
        <v>76</v>
      </c>
      <c r="G4681" s="20">
        <v>750000</v>
      </c>
      <c r="H4681" s="690" t="s">
        <v>1589</v>
      </c>
      <c r="I4681" s="706">
        <v>1</v>
      </c>
      <c r="J4681" s="396"/>
      <c r="K4681" s="246">
        <f>+E4681/G4681*I4681</f>
        <v>0.85</v>
      </c>
      <c r="L4681" s="396" t="s">
        <v>214</v>
      </c>
      <c r="O4681" s="336"/>
      <c r="P4681" s="334"/>
      <c r="Q4681" s="335"/>
      <c r="R4681" s="336"/>
      <c r="S4681" s="337"/>
    </row>
    <row r="4682" spans="1:19" ht="30" customHeight="1" x14ac:dyDescent="0.25">
      <c r="A4682" s="365" t="s">
        <v>1600</v>
      </c>
      <c r="B4682" s="1214" t="s">
        <v>2575</v>
      </c>
      <c r="C4682" s="1215"/>
      <c r="D4682" s="1216"/>
      <c r="E4682" s="7">
        <f>1000000*0.85</f>
        <v>850000</v>
      </c>
      <c r="F4682" s="396" t="s">
        <v>76</v>
      </c>
      <c r="G4682" s="20">
        <v>1000000</v>
      </c>
      <c r="H4682" s="690" t="s">
        <v>1589</v>
      </c>
      <c r="I4682" s="706">
        <v>1</v>
      </c>
      <c r="J4682" s="396"/>
      <c r="K4682" s="246">
        <f>+E4682/G4682*I4682</f>
        <v>0.85</v>
      </c>
      <c r="L4682" s="396" t="s">
        <v>214</v>
      </c>
      <c r="M4682" s="123"/>
      <c r="O4682" s="336"/>
      <c r="P4682" s="334"/>
      <c r="Q4682" s="335"/>
      <c r="R4682" s="336"/>
      <c r="S4682" s="337"/>
    </row>
    <row r="4683" spans="1:19" ht="30" customHeight="1" x14ac:dyDescent="0.25">
      <c r="A4683" s="365" t="s">
        <v>1600</v>
      </c>
      <c r="B4683" s="1214" t="s">
        <v>2576</v>
      </c>
      <c r="C4683" s="1215"/>
      <c r="D4683" s="1216"/>
      <c r="E4683" s="7">
        <v>3235000</v>
      </c>
      <c r="F4683" s="396" t="s">
        <v>76</v>
      </c>
      <c r="G4683" s="20">
        <v>1000000</v>
      </c>
      <c r="H4683" s="690" t="s">
        <v>1589</v>
      </c>
      <c r="I4683" s="706">
        <v>1</v>
      </c>
      <c r="J4683" s="396"/>
      <c r="K4683" s="246">
        <f>+E4683/G4683*I4683</f>
        <v>3.2349999999999999</v>
      </c>
      <c r="L4683" s="396" t="s">
        <v>214</v>
      </c>
      <c r="O4683" s="336"/>
      <c r="P4683" s="334"/>
      <c r="Q4683" s="335"/>
      <c r="R4683" s="336"/>
      <c r="S4683" s="337"/>
    </row>
    <row r="4684" spans="1:19" ht="30" customHeight="1" x14ac:dyDescent="0.25">
      <c r="A4684" s="755"/>
      <c r="B4684" s="1269"/>
      <c r="C4684" s="1269"/>
      <c r="D4684" s="1269"/>
      <c r="E4684" s="247"/>
      <c r="F4684" s="365"/>
      <c r="G4684" s="365"/>
      <c r="H4684" s="365"/>
      <c r="I4684" s="365"/>
      <c r="J4684" s="365" t="s">
        <v>300</v>
      </c>
      <c r="K4684" s="247">
        <f>AVERAGE(K4681:K4683)</f>
        <v>1.6449999999999998</v>
      </c>
      <c r="L4684" s="365" t="s">
        <v>214</v>
      </c>
      <c r="M4684" s="115"/>
      <c r="O4684" s="336"/>
      <c r="P4684" s="334"/>
      <c r="Q4684" s="335"/>
      <c r="R4684" s="336"/>
      <c r="S4684" s="337"/>
    </row>
    <row r="4685" spans="1:19" ht="30" customHeight="1" x14ac:dyDescent="0.25">
      <c r="A4685" s="365"/>
      <c r="B4685" s="578"/>
      <c r="C4685" s="578"/>
      <c r="D4685" s="578"/>
      <c r="E4685" s="247"/>
      <c r="F4685" s="1272" t="s">
        <v>303</v>
      </c>
      <c r="G4685" s="1283" t="s">
        <v>304</v>
      </c>
      <c r="H4685" s="1283"/>
      <c r="I4685" s="1283"/>
      <c r="J4685" s="1283"/>
      <c r="K4685" s="250">
        <v>1.07</v>
      </c>
      <c r="L4685" s="365"/>
      <c r="M4685" s="10"/>
      <c r="O4685" s="336"/>
      <c r="P4685" s="334"/>
      <c r="Q4685" s="335"/>
      <c r="R4685" s="336"/>
      <c r="S4685" s="337"/>
    </row>
    <row r="4686" spans="1:19" ht="30" customHeight="1" x14ac:dyDescent="0.25">
      <c r="A4686" s="365"/>
      <c r="B4686" s="578"/>
      <c r="C4686" s="578"/>
      <c r="D4686" s="578"/>
      <c r="E4686" s="247"/>
      <c r="F4686" s="1273"/>
      <c r="G4686" s="1284" t="s">
        <v>438</v>
      </c>
      <c r="H4686" s="1284"/>
      <c r="I4686" s="1284"/>
      <c r="J4686" s="1284"/>
      <c r="K4686" s="250">
        <v>1.08</v>
      </c>
      <c r="L4686" s="365"/>
      <c r="M4686" s="207"/>
      <c r="N4686" s="54"/>
      <c r="O4686" s="336"/>
      <c r="P4686" s="334"/>
      <c r="Q4686" s="335"/>
      <c r="R4686" s="336"/>
      <c r="S4686" s="337"/>
    </row>
    <row r="4687" spans="1:19" ht="30" customHeight="1" x14ac:dyDescent="0.25">
      <c r="A4687" s="365"/>
      <c r="B4687" s="365"/>
      <c r="C4687" s="366"/>
      <c r="D4687" s="366"/>
      <c r="E4687" s="366"/>
      <c r="F4687" s="366"/>
      <c r="G4687" s="366"/>
      <c r="H4687" s="366"/>
      <c r="I4687" s="366"/>
      <c r="J4687" s="365" t="s">
        <v>72</v>
      </c>
      <c r="K4687" s="246">
        <f>+K4684*K4685/K4686</f>
        <v>1.6297685185185182</v>
      </c>
      <c r="L4687" s="365" t="s">
        <v>214</v>
      </c>
      <c r="O4687" s="336"/>
      <c r="P4687" s="334"/>
      <c r="Q4687" s="335"/>
      <c r="R4687" s="336"/>
      <c r="S4687" s="337"/>
    </row>
    <row r="4688" spans="1:19" ht="30" customHeight="1" x14ac:dyDescent="0.25">
      <c r="A4688" s="365"/>
      <c r="B4688" s="365"/>
      <c r="C4688" s="366"/>
      <c r="D4688" s="366"/>
      <c r="E4688" s="366"/>
      <c r="F4688" s="366"/>
      <c r="G4688" s="580" t="s">
        <v>306</v>
      </c>
      <c r="H4688" s="366"/>
      <c r="I4688" s="366"/>
      <c r="J4688" s="521">
        <f>VLOOKUP(B4679,'Mil Cost Premiums for PUCs'!$A$4:$R$277,18,FALSE)</f>
        <v>1.0905505199999999</v>
      </c>
      <c r="K4688" s="246">
        <f>+K4687*J4688</f>
        <v>1.7773449053499994</v>
      </c>
      <c r="L4688" s="365" t="s">
        <v>214</v>
      </c>
      <c r="N4688" s="10"/>
      <c r="O4688" s="336"/>
      <c r="P4688" s="334"/>
      <c r="Q4688" s="335"/>
      <c r="R4688" s="336"/>
      <c r="S4688" s="337"/>
    </row>
    <row r="4689" spans="1:19" ht="30" customHeight="1" thickBot="1" x14ac:dyDescent="0.3">
      <c r="A4689" s="844"/>
      <c r="B4689" s="844"/>
      <c r="C4689" s="471"/>
      <c r="D4689" s="471"/>
      <c r="E4689" s="471"/>
      <c r="F4689" s="1278" t="s">
        <v>1148</v>
      </c>
      <c r="G4689" s="1278"/>
      <c r="H4689" s="1278"/>
      <c r="I4689" s="1278"/>
      <c r="J4689" s="987">
        <v>1.0833999999999999</v>
      </c>
      <c r="K4689" s="988">
        <f>K4688*J4689</f>
        <v>1.9255754704561892</v>
      </c>
      <c r="L4689" s="365" t="s">
        <v>214</v>
      </c>
      <c r="O4689" s="336"/>
      <c r="P4689" s="334"/>
      <c r="Q4689" s="335"/>
      <c r="R4689" s="336"/>
      <c r="S4689" s="337"/>
    </row>
    <row r="4690" spans="1:19" ht="30" customHeight="1" thickBot="1" x14ac:dyDescent="0.3">
      <c r="A4690" s="1180"/>
      <c r="B4690" s="1181"/>
      <c r="C4690" s="1181"/>
      <c r="D4690" s="1181"/>
      <c r="E4690" s="1181"/>
      <c r="F4690" s="1181"/>
      <c r="G4690" s="1181"/>
      <c r="H4690" s="1181"/>
      <c r="I4690" s="1181"/>
      <c r="J4690" s="1181"/>
      <c r="K4690" s="1181"/>
      <c r="L4690" s="1182"/>
      <c r="N4690" s="10"/>
      <c r="O4690" s="336"/>
      <c r="P4690" s="334"/>
      <c r="Q4690" s="335"/>
      <c r="R4690" s="336"/>
      <c r="S4690" s="337"/>
    </row>
    <row r="4691" spans="1:19" ht="30" customHeight="1" thickBot="1" x14ac:dyDescent="0.3">
      <c r="A4691" s="327" t="s">
        <v>5</v>
      </c>
      <c r="B4691" s="328">
        <v>8443</v>
      </c>
      <c r="C4691" s="1251" t="s">
        <v>2577</v>
      </c>
      <c r="D4691" s="1252"/>
      <c r="E4691" s="331" t="s">
        <v>8</v>
      </c>
      <c r="F4691" s="332" t="s">
        <v>2569</v>
      </c>
      <c r="G4691" s="342" t="s">
        <v>74</v>
      </c>
      <c r="H4691" s="176">
        <v>245048</v>
      </c>
      <c r="I4691" s="331" t="s">
        <v>10</v>
      </c>
      <c r="J4691" s="1220" t="s">
        <v>713</v>
      </c>
      <c r="K4691" s="1220"/>
      <c r="L4691" s="1221"/>
      <c r="O4691" s="336"/>
      <c r="P4691" s="334"/>
      <c r="Q4691" s="335"/>
      <c r="R4691" s="336"/>
      <c r="S4691" s="337"/>
    </row>
    <row r="4692" spans="1:19" ht="30" customHeight="1" thickBot="1" x14ac:dyDescent="0.3">
      <c r="A4692" s="1180"/>
      <c r="B4692" s="1181"/>
      <c r="C4692" s="1181"/>
      <c r="D4692" s="1181"/>
      <c r="E4692" s="1181"/>
      <c r="F4692" s="1181"/>
      <c r="G4692" s="1181"/>
      <c r="H4692" s="1181"/>
      <c r="I4692" s="1181"/>
      <c r="J4692" s="1181"/>
      <c r="K4692" s="1181"/>
      <c r="L4692" s="1182"/>
      <c r="O4692" s="336"/>
      <c r="P4692" s="334"/>
      <c r="Q4692" s="335"/>
      <c r="R4692" s="336"/>
      <c r="S4692" s="337"/>
    </row>
    <row r="4693" spans="1:19" ht="30" customHeight="1" x14ac:dyDescent="0.25">
      <c r="A4693" s="327" t="s">
        <v>5</v>
      </c>
      <c r="B4693" s="328">
        <v>8451</v>
      </c>
      <c r="C4693" s="1251" t="s">
        <v>2578</v>
      </c>
      <c r="D4693" s="1252"/>
      <c r="E4693" s="331" t="s">
        <v>8</v>
      </c>
      <c r="F4693" s="332" t="s">
        <v>40</v>
      </c>
      <c r="G4693" s="342" t="s">
        <v>74</v>
      </c>
      <c r="H4693" s="176">
        <v>20579</v>
      </c>
      <c r="I4693" s="331" t="s">
        <v>10</v>
      </c>
      <c r="J4693" s="1220" t="s">
        <v>2579</v>
      </c>
      <c r="K4693" s="1220"/>
      <c r="L4693" s="1221"/>
      <c r="M4693" s="116"/>
      <c r="O4693" s="336"/>
      <c r="P4693" s="334"/>
      <c r="Q4693" s="335"/>
      <c r="R4693" s="336"/>
      <c r="S4693" s="337"/>
    </row>
    <row r="4694" spans="1:19" ht="30" customHeight="1" x14ac:dyDescent="0.25">
      <c r="A4694" s="356"/>
      <c r="B4694" s="1163" t="s">
        <v>13</v>
      </c>
      <c r="C4694" s="1163"/>
      <c r="D4694" s="1163"/>
      <c r="E4694" s="356" t="s">
        <v>116</v>
      </c>
      <c r="F4694" s="356" t="s">
        <v>117</v>
      </c>
      <c r="G4694" s="1194" t="s">
        <v>118</v>
      </c>
      <c r="H4694" s="1195"/>
      <c r="I4694" s="356" t="s">
        <v>119</v>
      </c>
      <c r="J4694" s="356" t="s">
        <v>120</v>
      </c>
      <c r="K4694" s="1236" t="s">
        <v>72</v>
      </c>
      <c r="L4694" s="1237"/>
      <c r="O4694" s="336"/>
      <c r="P4694" s="334"/>
      <c r="Q4694" s="335"/>
      <c r="R4694" s="336"/>
      <c r="S4694" s="337"/>
    </row>
    <row r="4695" spans="1:19" ht="30" customHeight="1" thickBot="1" x14ac:dyDescent="0.3">
      <c r="A4695" s="360"/>
      <c r="B4695" s="1179" t="s">
        <v>2543</v>
      </c>
      <c r="C4695" s="1179"/>
      <c r="D4695" s="1179"/>
      <c r="E4695" s="694">
        <f>K4626</f>
        <v>32.222661861995604</v>
      </c>
      <c r="F4695" s="486" t="s">
        <v>40</v>
      </c>
      <c r="G4695" s="1183"/>
      <c r="H4695" s="1184"/>
      <c r="I4695" s="486"/>
      <c r="J4695" s="487"/>
      <c r="K4695" s="488">
        <f>E4695</f>
        <v>32.222661861995604</v>
      </c>
      <c r="L4695" s="486" t="s">
        <v>40</v>
      </c>
      <c r="N4695" s="470"/>
      <c r="O4695" s="336"/>
      <c r="P4695" s="334"/>
      <c r="Q4695" s="335"/>
      <c r="R4695" s="336"/>
      <c r="S4695" s="337"/>
    </row>
    <row r="4696" spans="1:19" ht="30" customHeight="1" thickBot="1" x14ac:dyDescent="0.3">
      <c r="A4696" s="1180"/>
      <c r="B4696" s="1181"/>
      <c r="C4696" s="1181"/>
      <c r="D4696" s="1181"/>
      <c r="E4696" s="1181"/>
      <c r="F4696" s="1181"/>
      <c r="G4696" s="1181"/>
      <c r="H4696" s="1181"/>
      <c r="I4696" s="1181"/>
      <c r="J4696" s="1181"/>
      <c r="K4696" s="1181"/>
      <c r="L4696" s="1182"/>
      <c r="O4696" s="336"/>
      <c r="P4696" s="334"/>
      <c r="Q4696" s="335"/>
      <c r="R4696" s="336"/>
      <c r="S4696" s="337"/>
    </row>
    <row r="4697" spans="1:19" ht="30" customHeight="1" x14ac:dyDescent="0.25">
      <c r="A4697" s="327" t="s">
        <v>5</v>
      </c>
      <c r="B4697" s="328">
        <v>8452</v>
      </c>
      <c r="C4697" s="1218" t="s">
        <v>2580</v>
      </c>
      <c r="D4697" s="1219"/>
      <c r="E4697" s="331" t="s">
        <v>8</v>
      </c>
      <c r="F4697" s="332" t="s">
        <v>2465</v>
      </c>
      <c r="G4697" s="342" t="s">
        <v>74</v>
      </c>
      <c r="H4697" s="160">
        <v>2769</v>
      </c>
      <c r="I4697" s="331" t="s">
        <v>10</v>
      </c>
      <c r="J4697" s="1220" t="s">
        <v>382</v>
      </c>
      <c r="K4697" s="1220"/>
      <c r="L4697" s="1221"/>
      <c r="M4697" s="115"/>
      <c r="O4697" s="336"/>
      <c r="P4697" s="334"/>
      <c r="Q4697" s="335"/>
      <c r="R4697" s="336"/>
      <c r="S4697" s="337"/>
    </row>
    <row r="4698" spans="1:19" ht="30" customHeight="1" x14ac:dyDescent="0.25">
      <c r="A4698" s="356" t="s">
        <v>282</v>
      </c>
      <c r="B4698" s="1163" t="s">
        <v>13</v>
      </c>
      <c r="C4698" s="1163"/>
      <c r="D4698" s="1163"/>
      <c r="E4698" s="546" t="s">
        <v>2273</v>
      </c>
      <c r="F4698" s="356" t="s">
        <v>2551</v>
      </c>
      <c r="G4698" s="1314" t="s">
        <v>118</v>
      </c>
      <c r="H4698" s="1315"/>
      <c r="I4698" s="1276" t="s">
        <v>284</v>
      </c>
      <c r="J4698" s="1277"/>
      <c r="K4698" s="1236" t="s">
        <v>285</v>
      </c>
      <c r="L4698" s="1237"/>
      <c r="O4698" s="336"/>
      <c r="P4698" s="334"/>
      <c r="Q4698" s="335"/>
      <c r="R4698" s="336"/>
      <c r="S4698" s="337"/>
    </row>
    <row r="4699" spans="1:19" ht="30" customHeight="1" x14ac:dyDescent="0.25">
      <c r="A4699" s="365">
        <v>84472</v>
      </c>
      <c r="B4699" s="1209" t="s">
        <v>2560</v>
      </c>
      <c r="C4699" s="1210"/>
      <c r="D4699" s="1211"/>
      <c r="E4699" s="247">
        <v>61460</v>
      </c>
      <c r="F4699" s="257">
        <v>1000</v>
      </c>
      <c r="G4699" s="288">
        <v>1440</v>
      </c>
      <c r="H4699" s="698" t="s">
        <v>2581</v>
      </c>
      <c r="I4699" s="1378">
        <v>0.9405</v>
      </c>
      <c r="J4699" s="1379"/>
      <c r="K4699" s="1051">
        <f>E4699/G4699*I4699</f>
        <v>40.141062500000004</v>
      </c>
      <c r="L4699" s="367" t="s">
        <v>2465</v>
      </c>
      <c r="O4699" s="336"/>
      <c r="P4699" s="334"/>
      <c r="Q4699" s="335"/>
      <c r="R4699" s="336"/>
      <c r="S4699" s="337"/>
    </row>
    <row r="4700" spans="1:19" ht="30" customHeight="1" x14ac:dyDescent="0.25">
      <c r="A4700" s="365">
        <v>84472</v>
      </c>
      <c r="B4700" s="1209" t="s">
        <v>2561</v>
      </c>
      <c r="C4700" s="1210"/>
      <c r="D4700" s="1211"/>
      <c r="E4700" s="282">
        <v>80780</v>
      </c>
      <c r="F4700" s="257">
        <v>2000</v>
      </c>
      <c r="G4700" s="288">
        <v>2880</v>
      </c>
      <c r="H4700" s="698" t="s">
        <v>2581</v>
      </c>
      <c r="I4700" s="1378">
        <v>0.9405</v>
      </c>
      <c r="J4700" s="1379"/>
      <c r="K4700" s="1051">
        <f>E4700/G4700*I4700</f>
        <v>26.379718749999999</v>
      </c>
      <c r="L4700" s="367" t="s">
        <v>2465</v>
      </c>
      <c r="O4700" s="336"/>
      <c r="P4700" s="334"/>
      <c r="Q4700" s="335"/>
      <c r="R4700" s="336"/>
      <c r="S4700" s="337"/>
    </row>
    <row r="4701" spans="1:19" ht="30" customHeight="1" x14ac:dyDescent="0.25">
      <c r="A4701" s="365">
        <v>84472</v>
      </c>
      <c r="B4701" s="1209" t="s">
        <v>2562</v>
      </c>
      <c r="C4701" s="1210"/>
      <c r="D4701" s="1211"/>
      <c r="E4701" s="246">
        <v>39110</v>
      </c>
      <c r="F4701" s="257">
        <v>1000</v>
      </c>
      <c r="G4701" s="288">
        <v>1440</v>
      </c>
      <c r="H4701" s="698" t="s">
        <v>2581</v>
      </c>
      <c r="I4701" s="1378">
        <v>0.9405</v>
      </c>
      <c r="J4701" s="1379"/>
      <c r="K4701" s="1051">
        <f>E4701/G4701*I4701</f>
        <v>25.54371875</v>
      </c>
      <c r="L4701" s="367" t="s">
        <v>2465</v>
      </c>
      <c r="O4701" s="336"/>
      <c r="P4701" s="334"/>
      <c r="Q4701" s="335"/>
      <c r="R4701" s="336"/>
      <c r="S4701" s="337"/>
    </row>
    <row r="4702" spans="1:19" ht="30" customHeight="1" thickBot="1" x14ac:dyDescent="0.3">
      <c r="A4702" s="365"/>
      <c r="B4702" s="1214"/>
      <c r="C4702" s="1215"/>
      <c r="D4702" s="1216"/>
      <c r="E4702" s="333"/>
      <c r="F4702" s="744"/>
      <c r="G4702" s="333"/>
      <c r="H4702" s="729" t="s">
        <v>300</v>
      </c>
      <c r="I4702" s="366"/>
      <c r="J4702" s="359" t="s">
        <v>72</v>
      </c>
      <c r="K4702" s="243">
        <f>AVERAGE(K4699:K4701)</f>
        <v>30.688166666666664</v>
      </c>
      <c r="L4702" s="367" t="s">
        <v>2465</v>
      </c>
      <c r="O4702" s="336"/>
      <c r="P4702" s="334"/>
      <c r="Q4702" s="335"/>
      <c r="R4702" s="336"/>
      <c r="S4702" s="337"/>
    </row>
    <row r="4703" spans="1:19" ht="30" customHeight="1" thickBot="1" x14ac:dyDescent="0.3">
      <c r="A4703" s="1180"/>
      <c r="B4703" s="1181"/>
      <c r="C4703" s="1181"/>
      <c r="D4703" s="1181"/>
      <c r="E4703" s="1181"/>
      <c r="F4703" s="1181"/>
      <c r="G4703" s="1181"/>
      <c r="H4703" s="1181"/>
      <c r="I4703" s="1181"/>
      <c r="J4703" s="1181"/>
      <c r="K4703" s="1181"/>
      <c r="L4703" s="1182"/>
      <c r="O4703" s="336"/>
      <c r="P4703" s="334"/>
      <c r="Q4703" s="335"/>
      <c r="R4703" s="336"/>
      <c r="S4703" s="337"/>
    </row>
    <row r="4704" spans="1:19" ht="30" customHeight="1" x14ac:dyDescent="0.25">
      <c r="A4704" s="327" t="s">
        <v>5</v>
      </c>
      <c r="B4704" s="328">
        <v>8511</v>
      </c>
      <c r="C4704" s="1218" t="s">
        <v>2582</v>
      </c>
      <c r="D4704" s="1219"/>
      <c r="E4704" s="331" t="s">
        <v>8</v>
      </c>
      <c r="F4704" s="332" t="s">
        <v>9</v>
      </c>
      <c r="G4704" s="342" t="s">
        <v>74</v>
      </c>
      <c r="H4704" s="160">
        <v>28007</v>
      </c>
      <c r="I4704" s="331" t="s">
        <v>10</v>
      </c>
      <c r="J4704" s="1220" t="s">
        <v>382</v>
      </c>
      <c r="K4704" s="1220"/>
      <c r="L4704" s="1221"/>
      <c r="M4704" s="111"/>
      <c r="O4704" s="336"/>
      <c r="P4704" s="334"/>
      <c r="Q4704" s="335"/>
      <c r="R4704" s="336"/>
      <c r="S4704" s="337"/>
    </row>
    <row r="4705" spans="1:19" ht="30" customHeight="1" x14ac:dyDescent="0.25">
      <c r="A4705" s="356" t="s">
        <v>282</v>
      </c>
      <c r="B4705" s="1163" t="s">
        <v>13</v>
      </c>
      <c r="C4705" s="1163"/>
      <c r="D4705" s="1163"/>
      <c r="E4705" s="546" t="s">
        <v>116</v>
      </c>
      <c r="F4705" s="356" t="s">
        <v>15</v>
      </c>
      <c r="G4705" s="1314" t="s">
        <v>118</v>
      </c>
      <c r="H4705" s="1315"/>
      <c r="I4705" s="1276" t="s">
        <v>284</v>
      </c>
      <c r="J4705" s="1277"/>
      <c r="K4705" s="1236" t="s">
        <v>285</v>
      </c>
      <c r="L4705" s="1237"/>
      <c r="O4705" s="336"/>
      <c r="P4705" s="334"/>
      <c r="Q4705" s="335"/>
      <c r="R4705" s="336"/>
      <c r="S4705" s="337"/>
    </row>
    <row r="4706" spans="1:19" ht="30" customHeight="1" x14ac:dyDescent="0.25">
      <c r="A4706" s="1052"/>
      <c r="B4706" s="1268" t="s">
        <v>2583</v>
      </c>
      <c r="C4706" s="1167"/>
      <c r="D4706" s="1168"/>
      <c r="E4706" s="1053"/>
      <c r="F4706" s="1052"/>
      <c r="G4706" s="1053"/>
      <c r="H4706" s="731"/>
      <c r="I4706" s="837"/>
      <c r="J4706" s="745"/>
      <c r="K4706" s="327"/>
      <c r="L4706" s="456"/>
      <c r="M4706" s="10"/>
      <c r="O4706" s="336"/>
      <c r="P4706" s="334"/>
      <c r="Q4706" s="335"/>
      <c r="R4706" s="336"/>
      <c r="S4706" s="337"/>
    </row>
    <row r="4707" spans="1:19" ht="30" customHeight="1" x14ac:dyDescent="0.25">
      <c r="A4707" s="365">
        <v>93210</v>
      </c>
      <c r="B4707" s="1229" t="s">
        <v>1871</v>
      </c>
      <c r="C4707" s="1288"/>
      <c r="D4707" s="1289"/>
      <c r="E4707" s="247">
        <v>3</v>
      </c>
      <c r="F4707" s="257" t="s">
        <v>2584</v>
      </c>
      <c r="G4707" s="289">
        <v>0.33300000000000002</v>
      </c>
      <c r="H4707" s="698" t="s">
        <v>2585</v>
      </c>
      <c r="I4707" s="1378">
        <v>0.9405</v>
      </c>
      <c r="J4707" s="1379"/>
      <c r="K4707" s="253">
        <f>+E4707*G4707*I4707</f>
        <v>0.9395595000000001</v>
      </c>
      <c r="L4707" s="367" t="s">
        <v>9</v>
      </c>
      <c r="M4707" s="10"/>
      <c r="N4707" s="54"/>
      <c r="O4707" s="336"/>
      <c r="P4707" s="334"/>
      <c r="Q4707" s="335"/>
      <c r="R4707" s="336"/>
      <c r="S4707" s="337"/>
    </row>
    <row r="4708" spans="1:19" ht="30" customHeight="1" x14ac:dyDescent="0.25">
      <c r="A4708" s="365">
        <v>93410</v>
      </c>
      <c r="B4708" s="1209" t="s">
        <v>2586</v>
      </c>
      <c r="C4708" s="1210"/>
      <c r="D4708" s="1211"/>
      <c r="E4708" s="247">
        <v>5</v>
      </c>
      <c r="F4708" s="257" t="s">
        <v>2587</v>
      </c>
      <c r="G4708" s="289">
        <v>0.5</v>
      </c>
      <c r="H4708" s="698" t="s">
        <v>2588</v>
      </c>
      <c r="I4708" s="1378">
        <v>0.9405</v>
      </c>
      <c r="J4708" s="1379"/>
      <c r="K4708" s="253">
        <f>+E4708*G4708*I4708</f>
        <v>2.3512499999999998</v>
      </c>
      <c r="L4708" s="367" t="s">
        <v>9</v>
      </c>
      <c r="O4708" s="336"/>
      <c r="P4708" s="334"/>
      <c r="Q4708" s="335"/>
      <c r="R4708" s="336"/>
      <c r="S4708" s="337"/>
    </row>
    <row r="4709" spans="1:19" ht="30" customHeight="1" x14ac:dyDescent="0.25">
      <c r="A4709" s="365">
        <v>85110</v>
      </c>
      <c r="B4709" s="1229" t="s">
        <v>2589</v>
      </c>
      <c r="C4709" s="1288"/>
      <c r="D4709" s="1289"/>
      <c r="E4709" s="247">
        <v>10.3</v>
      </c>
      <c r="F4709" s="257" t="s">
        <v>9</v>
      </c>
      <c r="G4709" s="180"/>
      <c r="H4709" s="698"/>
      <c r="I4709" s="1378">
        <v>0.9405</v>
      </c>
      <c r="J4709" s="1379"/>
      <c r="K4709" s="253">
        <f>+E4709*I4709</f>
        <v>9.6871500000000008</v>
      </c>
      <c r="L4709" s="367" t="s">
        <v>9</v>
      </c>
      <c r="N4709" s="10"/>
      <c r="O4709" s="336"/>
      <c r="P4709" s="334"/>
      <c r="Q4709" s="335"/>
      <c r="R4709" s="336"/>
      <c r="S4709" s="337"/>
    </row>
    <row r="4710" spans="1:19" ht="30" customHeight="1" x14ac:dyDescent="0.25">
      <c r="A4710" s="365">
        <v>85110</v>
      </c>
      <c r="B4710" s="1209" t="s">
        <v>2590</v>
      </c>
      <c r="C4710" s="1210"/>
      <c r="D4710" s="1211"/>
      <c r="E4710" s="247">
        <v>2.1</v>
      </c>
      <c r="F4710" s="257" t="s">
        <v>9</v>
      </c>
      <c r="G4710" s="172"/>
      <c r="H4710" s="698"/>
      <c r="I4710" s="1378">
        <v>0.9405</v>
      </c>
      <c r="J4710" s="1379"/>
      <c r="K4710" s="253">
        <f>+E4710*I4710</f>
        <v>1.9750500000000002</v>
      </c>
      <c r="L4710" s="367" t="s">
        <v>9</v>
      </c>
      <c r="N4710" s="10"/>
      <c r="O4710" s="336"/>
      <c r="P4710" s="334"/>
      <c r="Q4710" s="335"/>
      <c r="R4710" s="336"/>
      <c r="S4710" s="337"/>
    </row>
    <row r="4711" spans="1:19" ht="30" customHeight="1" x14ac:dyDescent="0.25">
      <c r="A4711" s="365">
        <v>85110</v>
      </c>
      <c r="B4711" s="1209" t="s">
        <v>2591</v>
      </c>
      <c r="C4711" s="1210"/>
      <c r="D4711" s="1211"/>
      <c r="E4711" s="247">
        <v>19.600000000000001</v>
      </c>
      <c r="F4711" s="257" t="s">
        <v>9</v>
      </c>
      <c r="G4711" s="172"/>
      <c r="H4711" s="698"/>
      <c r="I4711" s="1378">
        <v>0.9405</v>
      </c>
      <c r="J4711" s="1379"/>
      <c r="K4711" s="253">
        <f>+E4711*I4711</f>
        <v>18.433800000000002</v>
      </c>
      <c r="L4711" s="367" t="s">
        <v>9</v>
      </c>
      <c r="O4711" s="336"/>
      <c r="P4711" s="334"/>
      <c r="Q4711" s="335"/>
      <c r="R4711" s="336"/>
      <c r="S4711" s="337"/>
    </row>
    <row r="4712" spans="1:19" ht="30" customHeight="1" x14ac:dyDescent="0.25">
      <c r="A4712" s="365"/>
      <c r="B4712" s="738"/>
      <c r="C4712" s="591"/>
      <c r="D4712" s="589"/>
      <c r="E4712" s="153"/>
      <c r="F4712" s="172"/>
      <c r="G4712" s="172"/>
      <c r="H4712" s="698"/>
      <c r="I4712" s="853"/>
      <c r="J4712" s="782" t="s">
        <v>2583</v>
      </c>
      <c r="K4712" s="253">
        <f>SUM(K4707:K4711)</f>
        <v>33.386809499999998</v>
      </c>
      <c r="L4712" s="367" t="s">
        <v>9</v>
      </c>
      <c r="O4712" s="336"/>
      <c r="P4712" s="334"/>
      <c r="Q4712" s="335"/>
      <c r="R4712" s="336"/>
      <c r="S4712" s="337"/>
    </row>
    <row r="4713" spans="1:19" ht="30" customHeight="1" x14ac:dyDescent="0.25">
      <c r="A4713" s="365"/>
      <c r="B4713" s="1268" t="s">
        <v>2592</v>
      </c>
      <c r="C4713" s="1167"/>
      <c r="D4713" s="1168"/>
      <c r="E4713" s="153"/>
      <c r="F4713" s="172"/>
      <c r="G4713" s="172"/>
      <c r="H4713" s="698"/>
      <c r="I4713" s="853"/>
      <c r="J4713" s="854"/>
      <c r="K4713" s="242"/>
      <c r="L4713" s="367"/>
      <c r="O4713" s="336"/>
      <c r="P4713" s="334"/>
      <c r="Q4713" s="335"/>
      <c r="R4713" s="336"/>
      <c r="S4713" s="337"/>
    </row>
    <row r="4714" spans="1:19" ht="30" customHeight="1" x14ac:dyDescent="0.25">
      <c r="A4714" s="365">
        <v>93210</v>
      </c>
      <c r="B4714" s="1229" t="s">
        <v>1871</v>
      </c>
      <c r="C4714" s="1288"/>
      <c r="D4714" s="1289"/>
      <c r="E4714" s="247">
        <v>3</v>
      </c>
      <c r="F4714" s="257" t="s">
        <v>2584</v>
      </c>
      <c r="G4714" s="289">
        <v>0.33300000000000002</v>
      </c>
      <c r="H4714" s="698" t="s">
        <v>2585</v>
      </c>
      <c r="I4714" s="1378">
        <v>0.9405</v>
      </c>
      <c r="J4714" s="1379"/>
      <c r="K4714" s="253">
        <f>+E4714*G4714*I4714</f>
        <v>0.9395595000000001</v>
      </c>
      <c r="L4714" s="367" t="s">
        <v>9</v>
      </c>
      <c r="O4714" s="336"/>
      <c r="P4714" s="334"/>
      <c r="Q4714" s="335"/>
      <c r="R4714" s="336"/>
      <c r="S4714" s="337"/>
    </row>
    <row r="4715" spans="1:19" ht="30" customHeight="1" x14ac:dyDescent="0.25">
      <c r="A4715" s="365">
        <v>93410</v>
      </c>
      <c r="B4715" s="1209" t="s">
        <v>2593</v>
      </c>
      <c r="C4715" s="1210"/>
      <c r="D4715" s="1211"/>
      <c r="E4715" s="247">
        <v>5</v>
      </c>
      <c r="F4715" s="257" t="s">
        <v>2587</v>
      </c>
      <c r="G4715" s="289">
        <v>0.33300000000000002</v>
      </c>
      <c r="H4715" s="698" t="s">
        <v>2588</v>
      </c>
      <c r="I4715" s="1378">
        <v>0.9405</v>
      </c>
      <c r="J4715" s="1379"/>
      <c r="K4715" s="253">
        <f>+E4715*G4715*I4715</f>
        <v>1.5659324999999999</v>
      </c>
      <c r="L4715" s="367" t="s">
        <v>9</v>
      </c>
      <c r="O4715" s="336"/>
      <c r="P4715" s="334"/>
      <c r="Q4715" s="335"/>
      <c r="R4715" s="336"/>
      <c r="S4715" s="337"/>
    </row>
    <row r="4716" spans="1:19" ht="30" customHeight="1" x14ac:dyDescent="0.25">
      <c r="A4716" s="365">
        <v>85110</v>
      </c>
      <c r="B4716" s="1229" t="s">
        <v>2594</v>
      </c>
      <c r="C4716" s="1288"/>
      <c r="D4716" s="1289"/>
      <c r="E4716" s="247">
        <v>7.3</v>
      </c>
      <c r="F4716" s="257" t="s">
        <v>9</v>
      </c>
      <c r="G4716" s="180"/>
      <c r="H4716" s="698"/>
      <c r="I4716" s="1378">
        <v>0.9405</v>
      </c>
      <c r="J4716" s="1379"/>
      <c r="K4716" s="253">
        <f>+E4716*I4716</f>
        <v>6.8656499999999996</v>
      </c>
      <c r="L4716" s="367" t="s">
        <v>9</v>
      </c>
      <c r="M4716" s="115"/>
      <c r="O4716" s="336"/>
      <c r="P4716" s="334"/>
      <c r="Q4716" s="335"/>
      <c r="R4716" s="336"/>
      <c r="S4716" s="337"/>
    </row>
    <row r="4717" spans="1:19" ht="30" customHeight="1" x14ac:dyDescent="0.25">
      <c r="A4717" s="365">
        <v>85110</v>
      </c>
      <c r="B4717" s="1268" t="s">
        <v>2595</v>
      </c>
      <c r="C4717" s="1167"/>
      <c r="D4717" s="1168"/>
      <c r="E4717" s="247">
        <v>51</v>
      </c>
      <c r="F4717" s="257" t="s">
        <v>9</v>
      </c>
      <c r="G4717" s="172"/>
      <c r="H4717" s="698"/>
      <c r="I4717" s="1378">
        <v>0.9405</v>
      </c>
      <c r="J4717" s="1379"/>
      <c r="K4717" s="253">
        <f>+E4717*I4717</f>
        <v>47.965499999999999</v>
      </c>
      <c r="L4717" s="367" t="s">
        <v>9</v>
      </c>
      <c r="O4717" s="336"/>
      <c r="P4717" s="334"/>
      <c r="Q4717" s="335"/>
      <c r="R4717" s="336"/>
      <c r="S4717" s="337"/>
    </row>
    <row r="4718" spans="1:19" ht="30" customHeight="1" x14ac:dyDescent="0.25">
      <c r="A4718" s="1054"/>
      <c r="B4718" s="992"/>
      <c r="C4718" s="992"/>
      <c r="D4718" s="993"/>
      <c r="E4718" s="153"/>
      <c r="F4718" s="172"/>
      <c r="G4718" s="172"/>
      <c r="H4718" s="698"/>
      <c r="I4718" s="730"/>
      <c r="J4718" s="782" t="s">
        <v>2592</v>
      </c>
      <c r="K4718" s="253">
        <f>SUM(K4714:K4717)</f>
        <v>57.336641999999998</v>
      </c>
      <c r="L4718" s="367" t="s">
        <v>9</v>
      </c>
      <c r="O4718" s="336"/>
      <c r="P4718" s="334"/>
      <c r="Q4718" s="335"/>
      <c r="R4718" s="336"/>
      <c r="S4718" s="337"/>
    </row>
    <row r="4719" spans="1:19" ht="30" customHeight="1" x14ac:dyDescent="0.25">
      <c r="A4719" s="1055"/>
      <c r="B4719" s="1056"/>
      <c r="C4719" s="1056"/>
      <c r="D4719" s="1057"/>
      <c r="E4719" s="153"/>
      <c r="F4719" s="172"/>
      <c r="G4719" s="172"/>
      <c r="H4719" s="698"/>
      <c r="I4719" s="730"/>
      <c r="J4719" s="1058" t="s">
        <v>396</v>
      </c>
      <c r="K4719" s="253">
        <f>+(K4712*0.816)+(K4718*0.184)</f>
        <v>37.793578679999996</v>
      </c>
      <c r="L4719" s="367" t="s">
        <v>9</v>
      </c>
      <c r="O4719" s="336"/>
      <c r="P4719" s="334"/>
      <c r="Q4719" s="335"/>
      <c r="R4719" s="336"/>
      <c r="S4719" s="337"/>
    </row>
    <row r="4720" spans="1:19" ht="30" customHeight="1" x14ac:dyDescent="0.25">
      <c r="A4720" s="365">
        <v>85110</v>
      </c>
      <c r="B4720" s="1209" t="s">
        <v>2596</v>
      </c>
      <c r="C4720" s="1210"/>
      <c r="D4720" s="1211"/>
      <c r="E4720" s="247">
        <v>32.799999999999997</v>
      </c>
      <c r="F4720" s="257" t="s">
        <v>40</v>
      </c>
      <c r="G4720" s="189">
        <v>2.67</v>
      </c>
      <c r="H4720" s="698" t="s">
        <v>2597</v>
      </c>
      <c r="I4720" s="1378">
        <v>0.9405</v>
      </c>
      <c r="J4720" s="1379"/>
      <c r="K4720" s="253">
        <f>+E4720/G4720*I4720</f>
        <v>11.553707865168539</v>
      </c>
      <c r="L4720" s="367" t="s">
        <v>9</v>
      </c>
      <c r="O4720" s="336"/>
      <c r="P4720" s="334"/>
      <c r="Q4720" s="335"/>
      <c r="R4720" s="336"/>
      <c r="S4720" s="337"/>
    </row>
    <row r="4721" spans="1:26" ht="30" customHeight="1" thickBot="1" x14ac:dyDescent="0.3">
      <c r="A4721" s="369">
        <v>85110</v>
      </c>
      <c r="B4721" s="1172" t="s">
        <v>2598</v>
      </c>
      <c r="C4721" s="1173"/>
      <c r="D4721" s="1174"/>
      <c r="E4721" s="247">
        <v>0.4</v>
      </c>
      <c r="F4721" s="257" t="s">
        <v>40</v>
      </c>
      <c r="G4721" s="189">
        <v>2.67</v>
      </c>
      <c r="H4721" s="698" t="s">
        <v>2597</v>
      </c>
      <c r="I4721" s="1378">
        <v>0.9405</v>
      </c>
      <c r="J4721" s="1379"/>
      <c r="K4721" s="253">
        <f>+E4721/G4721*I4721</f>
        <v>0.14089887640449439</v>
      </c>
      <c r="L4721" s="367" t="s">
        <v>9</v>
      </c>
      <c r="O4721" s="336"/>
      <c r="P4721" s="334"/>
      <c r="Q4721" s="335"/>
      <c r="R4721" s="336"/>
      <c r="S4721" s="337"/>
    </row>
    <row r="4722" spans="1:26" ht="30" customHeight="1" thickBot="1" x14ac:dyDescent="0.3">
      <c r="A4722" s="1657" t="s">
        <v>2599</v>
      </c>
      <c r="B4722" s="1658"/>
      <c r="C4722" s="1658"/>
      <c r="D4722" s="1659"/>
      <c r="E4722" s="333"/>
      <c r="F4722" s="744"/>
      <c r="G4722" s="333"/>
      <c r="H4722" s="729" t="s">
        <v>343</v>
      </c>
      <c r="I4722" s="366"/>
      <c r="J4722" s="359" t="s">
        <v>72</v>
      </c>
      <c r="K4722" s="253">
        <f>+K4719+K4720+K4721</f>
        <v>49.488185421573029</v>
      </c>
      <c r="L4722" s="367" t="s">
        <v>9</v>
      </c>
      <c r="M4722" s="54"/>
      <c r="O4722" s="336"/>
      <c r="P4722" s="334"/>
      <c r="Q4722" s="335"/>
      <c r="R4722" s="336"/>
      <c r="S4722" s="337"/>
    </row>
    <row r="4723" spans="1:26" ht="30" customHeight="1" thickBot="1" x14ac:dyDescent="0.3">
      <c r="A4723" s="1180"/>
      <c r="B4723" s="1181"/>
      <c r="C4723" s="1181"/>
      <c r="D4723" s="1181"/>
      <c r="E4723" s="1181"/>
      <c r="F4723" s="1181"/>
      <c r="G4723" s="1181"/>
      <c r="H4723" s="1181"/>
      <c r="I4723" s="1181"/>
      <c r="J4723" s="1181"/>
      <c r="K4723" s="1181"/>
      <c r="L4723" s="1182"/>
      <c r="O4723" s="336"/>
      <c r="P4723" s="334"/>
      <c r="Q4723" s="335"/>
      <c r="R4723" s="336"/>
      <c r="S4723" s="337"/>
    </row>
    <row r="4724" spans="1:26" ht="30" customHeight="1" x14ac:dyDescent="0.25">
      <c r="A4724" s="327" t="s">
        <v>5</v>
      </c>
      <c r="B4724" s="328">
        <v>8512</v>
      </c>
      <c r="C4724" s="1218" t="s">
        <v>2600</v>
      </c>
      <c r="D4724" s="1219"/>
      <c r="E4724" s="331" t="s">
        <v>8</v>
      </c>
      <c r="F4724" s="332" t="s">
        <v>9</v>
      </c>
      <c r="G4724" s="342" t="s">
        <v>74</v>
      </c>
      <c r="H4724" s="160">
        <v>69057</v>
      </c>
      <c r="I4724" s="331" t="s">
        <v>10</v>
      </c>
      <c r="J4724" s="1220" t="s">
        <v>382</v>
      </c>
      <c r="K4724" s="1220"/>
      <c r="L4724" s="1221"/>
      <c r="M4724" s="207"/>
      <c r="O4724" s="336"/>
      <c r="P4724" s="334"/>
      <c r="Q4724" s="335"/>
      <c r="R4724" s="336"/>
      <c r="S4724" s="337"/>
    </row>
    <row r="4725" spans="1:26" ht="30" customHeight="1" x14ac:dyDescent="0.25">
      <c r="A4725" s="356" t="s">
        <v>282</v>
      </c>
      <c r="B4725" s="1163" t="s">
        <v>13</v>
      </c>
      <c r="C4725" s="1163"/>
      <c r="D4725" s="1163"/>
      <c r="E4725" s="546" t="s">
        <v>116</v>
      </c>
      <c r="F4725" s="356" t="s">
        <v>15</v>
      </c>
      <c r="G4725" s="1314" t="s">
        <v>118</v>
      </c>
      <c r="H4725" s="1315"/>
      <c r="I4725" s="1276" t="s">
        <v>284</v>
      </c>
      <c r="J4725" s="1277"/>
      <c r="K4725" s="1236" t="s">
        <v>285</v>
      </c>
      <c r="L4725" s="1237"/>
      <c r="M4725" s="10"/>
      <c r="N4725" s="54"/>
      <c r="O4725" s="336"/>
      <c r="P4725" s="334"/>
      <c r="Q4725" s="335"/>
      <c r="R4725" s="336"/>
      <c r="S4725" s="337"/>
    </row>
    <row r="4726" spans="1:26" ht="30" customHeight="1" x14ac:dyDescent="0.25">
      <c r="A4726" s="365">
        <v>93210</v>
      </c>
      <c r="B4726" s="1229" t="s">
        <v>1871</v>
      </c>
      <c r="C4726" s="1288"/>
      <c r="D4726" s="1289"/>
      <c r="E4726" s="247">
        <v>3</v>
      </c>
      <c r="F4726" s="257" t="s">
        <v>2584</v>
      </c>
      <c r="G4726" s="289">
        <v>0.33300000000000002</v>
      </c>
      <c r="H4726" s="698" t="s">
        <v>2585</v>
      </c>
      <c r="I4726" s="1378">
        <v>0.9405</v>
      </c>
      <c r="J4726" s="1379"/>
      <c r="K4726" s="253">
        <f>+E4726*G4726*I4726</f>
        <v>0.9395595000000001</v>
      </c>
      <c r="L4726" s="367" t="s">
        <v>9</v>
      </c>
      <c r="O4726" s="336"/>
      <c r="P4726" s="334"/>
      <c r="Q4726" s="335"/>
      <c r="R4726" s="336"/>
      <c r="S4726" s="337"/>
    </row>
    <row r="4727" spans="1:26" ht="30" customHeight="1" x14ac:dyDescent="0.25">
      <c r="A4727" s="365">
        <v>93210</v>
      </c>
      <c r="B4727" s="1229" t="s">
        <v>2601</v>
      </c>
      <c r="C4727" s="1288"/>
      <c r="D4727" s="1289"/>
      <c r="E4727" s="247">
        <v>2.4</v>
      </c>
      <c r="F4727" s="257" t="s">
        <v>9</v>
      </c>
      <c r="G4727" s="257"/>
      <c r="H4727" s="698"/>
      <c r="I4727" s="1378">
        <v>0.9405</v>
      </c>
      <c r="J4727" s="1379"/>
      <c r="K4727" s="253">
        <f>+E4727*I4727</f>
        <v>2.2572000000000001</v>
      </c>
      <c r="L4727" s="367" t="s">
        <v>9</v>
      </c>
      <c r="O4727" s="336"/>
      <c r="P4727" s="334"/>
      <c r="Q4727" s="335"/>
      <c r="R4727" s="336"/>
      <c r="S4727" s="337"/>
    </row>
    <row r="4728" spans="1:26" ht="30" customHeight="1" x14ac:dyDescent="0.25">
      <c r="A4728" s="365">
        <v>85110</v>
      </c>
      <c r="B4728" s="1229" t="s">
        <v>2589</v>
      </c>
      <c r="C4728" s="1288"/>
      <c r="D4728" s="1289"/>
      <c r="E4728" s="247">
        <v>10.3</v>
      </c>
      <c r="F4728" s="257" t="s">
        <v>9</v>
      </c>
      <c r="G4728" s="257"/>
      <c r="H4728" s="698"/>
      <c r="I4728" s="1378">
        <v>0.9405</v>
      </c>
      <c r="J4728" s="1379"/>
      <c r="K4728" s="253">
        <f>+E4728*I4728</f>
        <v>9.6871500000000008</v>
      </c>
      <c r="L4728" s="367" t="s">
        <v>9</v>
      </c>
      <c r="O4728" s="336"/>
      <c r="P4728" s="334"/>
      <c r="Q4728" s="335"/>
      <c r="R4728" s="336"/>
      <c r="S4728" s="337"/>
    </row>
    <row r="4729" spans="1:26" ht="30" customHeight="1" thickBot="1" x14ac:dyDescent="0.3">
      <c r="A4729" s="365"/>
      <c r="B4729" s="1209" t="s">
        <v>2602</v>
      </c>
      <c r="C4729" s="1210"/>
      <c r="D4729" s="1211"/>
      <c r="E4729" s="333"/>
      <c r="F4729" s="744"/>
      <c r="G4729" s="333"/>
      <c r="H4729" s="729" t="s">
        <v>343</v>
      </c>
      <c r="I4729" s="366"/>
      <c r="J4729" s="359" t="s">
        <v>72</v>
      </c>
      <c r="K4729" s="243">
        <f>SUM(K4726:K4728)</f>
        <v>12.883909500000001</v>
      </c>
      <c r="L4729" s="367" t="s">
        <v>9</v>
      </c>
      <c r="O4729" s="336"/>
      <c r="P4729" s="334"/>
      <c r="Q4729" s="335"/>
      <c r="R4729" s="336"/>
      <c r="S4729" s="337"/>
    </row>
    <row r="4730" spans="1:26" ht="30" customHeight="1" thickBot="1" x14ac:dyDescent="0.3">
      <c r="A4730" s="1180"/>
      <c r="B4730" s="1181"/>
      <c r="C4730" s="1181"/>
      <c r="D4730" s="1181"/>
      <c r="E4730" s="1181"/>
      <c r="F4730" s="1181"/>
      <c r="G4730" s="1181"/>
      <c r="H4730" s="1181"/>
      <c r="I4730" s="1181"/>
      <c r="J4730" s="1181"/>
      <c r="K4730" s="1181"/>
      <c r="L4730" s="1182"/>
      <c r="N4730" s="10"/>
      <c r="O4730" s="336"/>
      <c r="P4730" s="334"/>
      <c r="Q4730" s="335"/>
      <c r="R4730" s="336"/>
      <c r="S4730" s="337"/>
    </row>
    <row r="4731" spans="1:26" ht="30" customHeight="1" x14ac:dyDescent="0.25">
      <c r="A4731" s="327" t="s">
        <v>5</v>
      </c>
      <c r="B4731" s="328">
        <v>8513</v>
      </c>
      <c r="C4731" s="1251" t="s">
        <v>2603</v>
      </c>
      <c r="D4731" s="1252"/>
      <c r="E4731" s="331" t="s">
        <v>8</v>
      </c>
      <c r="F4731" s="332" t="s">
        <v>9</v>
      </c>
      <c r="G4731" s="342" t="s">
        <v>74</v>
      </c>
      <c r="H4731" s="156">
        <v>351</v>
      </c>
      <c r="I4731" s="331" t="s">
        <v>10</v>
      </c>
      <c r="J4731" s="1220" t="s">
        <v>3388</v>
      </c>
      <c r="K4731" s="1220"/>
      <c r="L4731" s="1221"/>
      <c r="N4731" s="10"/>
      <c r="O4731" s="336"/>
      <c r="Q4731" s="335"/>
      <c r="R4731" s="336"/>
      <c r="S4731" s="337"/>
    </row>
    <row r="4732" spans="1:26" ht="30" customHeight="1" x14ac:dyDescent="0.25">
      <c r="A4732" s="456" t="s">
        <v>295</v>
      </c>
      <c r="B4732" s="1364" t="s">
        <v>326</v>
      </c>
      <c r="C4732" s="1625"/>
      <c r="D4732" s="1365"/>
      <c r="E4732" s="537" t="s">
        <v>116</v>
      </c>
      <c r="F4732" s="537" t="s">
        <v>117</v>
      </c>
      <c r="G4732" s="1626" t="s">
        <v>118</v>
      </c>
      <c r="H4732" s="1627"/>
      <c r="I4732" s="1052" t="s">
        <v>296</v>
      </c>
      <c r="J4732" s="1052"/>
      <c r="K4732" s="1520" t="s">
        <v>285</v>
      </c>
      <c r="L4732" s="1521"/>
      <c r="O4732" s="867"/>
      <c r="Q4732" s="335"/>
      <c r="R4732" s="336"/>
      <c r="S4732" s="337"/>
      <c r="U4732" s="10"/>
    </row>
    <row r="4733" spans="1:26" ht="30" customHeight="1" x14ac:dyDescent="0.25">
      <c r="A4733" s="367" t="s">
        <v>529</v>
      </c>
      <c r="B4733" s="1268" t="s">
        <v>2604</v>
      </c>
      <c r="C4733" s="1167"/>
      <c r="D4733" s="1168"/>
      <c r="E4733" s="55">
        <f>+(70.5+241)/2</f>
        <v>155.75</v>
      </c>
      <c r="F4733" s="381" t="s">
        <v>205</v>
      </c>
      <c r="G4733" s="77">
        <v>9</v>
      </c>
      <c r="H4733" s="1059" t="s">
        <v>584</v>
      </c>
      <c r="I4733" s="367">
        <v>1.05</v>
      </c>
      <c r="J4733" s="381"/>
      <c r="K4733" s="240">
        <f>+E4733*G4733*I4733</f>
        <v>1471.8375000000001</v>
      </c>
      <c r="L4733" s="381" t="s">
        <v>9</v>
      </c>
      <c r="O4733" s="336"/>
      <c r="P4733" s="344"/>
      <c r="Q4733" s="335"/>
      <c r="R4733" s="336"/>
      <c r="S4733" s="337"/>
      <c r="U4733" s="10"/>
    </row>
    <row r="4734" spans="1:26" ht="30" customHeight="1" x14ac:dyDescent="0.25">
      <c r="A4734" s="365"/>
      <c r="B4734" s="578"/>
      <c r="C4734" s="578"/>
      <c r="D4734" s="578"/>
      <c r="E4734" s="247"/>
      <c r="F4734" s="1272" t="s">
        <v>303</v>
      </c>
      <c r="G4734" s="1283" t="s">
        <v>304</v>
      </c>
      <c r="H4734" s="1283"/>
      <c r="I4734" s="1283"/>
      <c r="J4734" s="1283"/>
      <c r="K4734" s="250">
        <v>1.07</v>
      </c>
      <c r="L4734" s="365"/>
      <c r="O4734" s="336"/>
      <c r="T4734" s="10"/>
      <c r="U4734" s="345"/>
      <c r="V4734" s="345"/>
      <c r="W4734" s="345"/>
      <c r="X4734" s="345"/>
      <c r="Y4734" s="345"/>
    </row>
    <row r="4735" spans="1:26" ht="30" customHeight="1" x14ac:dyDescent="0.25">
      <c r="A4735" s="365"/>
      <c r="B4735" s="578"/>
      <c r="C4735" s="578"/>
      <c r="D4735" s="578"/>
      <c r="E4735" s="247"/>
      <c r="F4735" s="1273"/>
      <c r="G4735" s="1284" t="s">
        <v>438</v>
      </c>
      <c r="H4735" s="1284"/>
      <c r="I4735" s="1284"/>
      <c r="J4735" s="1284"/>
      <c r="K4735" s="250">
        <v>1.08</v>
      </c>
      <c r="L4735" s="365"/>
      <c r="O4735" s="336"/>
      <c r="T4735" s="10"/>
      <c r="Z4735" s="345"/>
    </row>
    <row r="4736" spans="1:26" ht="30" customHeight="1" x14ac:dyDescent="0.25">
      <c r="A4736" s="365"/>
      <c r="B4736" s="365"/>
      <c r="C4736" s="366"/>
      <c r="D4736" s="366"/>
      <c r="E4736" s="366"/>
      <c r="F4736" s="366"/>
      <c r="G4736" s="366"/>
      <c r="H4736" s="366"/>
      <c r="I4736" s="366"/>
      <c r="J4736" s="365" t="s">
        <v>72</v>
      </c>
      <c r="K4736" s="246">
        <f>+K4733*K4734/K4735</f>
        <v>1458.2093750000001</v>
      </c>
      <c r="L4736" s="365" t="s">
        <v>9</v>
      </c>
      <c r="O4736" s="336"/>
      <c r="P4736" s="334"/>
      <c r="Q4736" s="345"/>
      <c r="R4736" s="345"/>
      <c r="S4736" s="345"/>
      <c r="T4736" s="345"/>
    </row>
    <row r="4737" spans="1:26" ht="30" customHeight="1" x14ac:dyDescent="0.25">
      <c r="A4737" s="365"/>
      <c r="B4737" s="365"/>
      <c r="C4737" s="366"/>
      <c r="D4737" s="366"/>
      <c r="E4737" s="366"/>
      <c r="F4737" s="366"/>
      <c r="H4737" s="366"/>
      <c r="I4737" s="553" t="s">
        <v>414</v>
      </c>
      <c r="J4737" s="521">
        <f>VLOOKUP(B4731,'Mil Cost Premiums for PUCs'!$A$4:$R$277,18,FALSE)</f>
        <v>1.1199953840399997</v>
      </c>
      <c r="K4737" s="246">
        <f>+K4736*J4737</f>
        <v>1633.1877689638529</v>
      </c>
      <c r="L4737" s="365" t="s">
        <v>9</v>
      </c>
      <c r="O4737" s="336"/>
      <c r="P4737" s="334"/>
    </row>
    <row r="4738" spans="1:26" ht="30" customHeight="1" x14ac:dyDescent="0.25">
      <c r="A4738" s="844"/>
      <c r="B4738" s="844"/>
      <c r="C4738" s="471"/>
      <c r="D4738" s="471"/>
      <c r="E4738" s="471"/>
      <c r="F4738" s="1278" t="s">
        <v>1148</v>
      </c>
      <c r="G4738" s="1278"/>
      <c r="H4738" s="1278"/>
      <c r="I4738" s="1278"/>
      <c r="J4738" s="987">
        <v>1.0833999999999999</v>
      </c>
      <c r="K4738" s="988">
        <f>K4737*J4738</f>
        <v>1769.3956288954382</v>
      </c>
      <c r="L4738" s="365" t="s">
        <v>9</v>
      </c>
      <c r="O4738" s="336"/>
      <c r="P4738" s="334"/>
      <c r="Q4738" s="335"/>
      <c r="R4738" s="336"/>
      <c r="S4738" s="337"/>
    </row>
    <row r="4739" spans="1:26" s="1114" customFormat="1" ht="75" customHeight="1" x14ac:dyDescent="0.25">
      <c r="A4739" s="1230" t="s">
        <v>307</v>
      </c>
      <c r="B4739" s="1231"/>
      <c r="C4739" s="1231"/>
      <c r="D4739" s="1231"/>
      <c r="E4739" s="1231"/>
      <c r="F4739" s="1231"/>
      <c r="G4739" s="1231"/>
      <c r="H4739" s="1231"/>
      <c r="I4739" s="1231"/>
      <c r="J4739" s="1231"/>
      <c r="K4739" s="1231"/>
      <c r="L4739" s="1232"/>
      <c r="M4739" s="117"/>
      <c r="N4739" s="117"/>
      <c r="O4739" s="655"/>
      <c r="P4739" s="655"/>
      <c r="Q4739" s="655"/>
      <c r="R4739" s="655"/>
      <c r="S4739" s="655"/>
      <c r="T4739" s="655"/>
      <c r="U4739" s="655"/>
      <c r="V4739" s="655"/>
      <c r="W4739" s="655"/>
      <c r="X4739" s="655"/>
      <c r="Y4739" s="655"/>
      <c r="Z4739" s="655"/>
    </row>
    <row r="4740" spans="1:26" ht="30" customHeight="1" x14ac:dyDescent="0.25">
      <c r="A4740" s="1230" t="s">
        <v>308</v>
      </c>
      <c r="B4740" s="1231"/>
      <c r="C4740" s="1232"/>
      <c r="D4740" s="1230" t="s">
        <v>2605</v>
      </c>
      <c r="E4740" s="1231"/>
      <c r="F4740" s="1231"/>
      <c r="G4740" s="1231"/>
      <c r="H4740" s="1231"/>
      <c r="I4740" s="1231"/>
      <c r="J4740" s="1231"/>
      <c r="K4740" s="1231"/>
      <c r="L4740" s="1232"/>
      <c r="O4740" s="336"/>
      <c r="P4740" s="334"/>
    </row>
    <row r="4741" spans="1:26" ht="30" customHeight="1" x14ac:dyDescent="0.25">
      <c r="A4741" s="1230" t="s">
        <v>310</v>
      </c>
      <c r="B4741" s="1231"/>
      <c r="C4741" s="1232"/>
      <c r="D4741" s="1230" t="s">
        <v>2606</v>
      </c>
      <c r="E4741" s="1231"/>
      <c r="F4741" s="1231"/>
      <c r="G4741" s="1231"/>
      <c r="H4741" s="1231"/>
      <c r="I4741" s="1231"/>
      <c r="J4741" s="1231"/>
      <c r="K4741" s="1231"/>
      <c r="L4741" s="1232"/>
      <c r="M4741" s="54"/>
      <c r="O4741" s="336"/>
      <c r="P4741" s="334"/>
    </row>
    <row r="4742" spans="1:26" ht="30" customHeight="1" x14ac:dyDescent="0.25">
      <c r="A4742" s="1230" t="s">
        <v>312</v>
      </c>
      <c r="B4742" s="1231"/>
      <c r="C4742" s="1232"/>
      <c r="D4742" s="1230" t="s">
        <v>2607</v>
      </c>
      <c r="E4742" s="1231"/>
      <c r="F4742" s="1231"/>
      <c r="G4742" s="1231"/>
      <c r="H4742" s="1231"/>
      <c r="I4742" s="1231"/>
      <c r="J4742" s="1231"/>
      <c r="K4742" s="1231"/>
      <c r="L4742" s="1232"/>
      <c r="N4742" s="116"/>
      <c r="O4742" s="336"/>
      <c r="P4742" s="334"/>
    </row>
    <row r="4743" spans="1:26" ht="30" customHeight="1" x14ac:dyDescent="0.25">
      <c r="A4743" s="1230" t="s">
        <v>314</v>
      </c>
      <c r="B4743" s="1231"/>
      <c r="C4743" s="1232"/>
      <c r="D4743" s="1230" t="s">
        <v>2608</v>
      </c>
      <c r="E4743" s="1231"/>
      <c r="F4743" s="1231"/>
      <c r="G4743" s="1231"/>
      <c r="H4743" s="1231"/>
      <c r="I4743" s="1231"/>
      <c r="J4743" s="1231"/>
      <c r="K4743" s="1231"/>
      <c r="L4743" s="1232"/>
      <c r="P4743" s="334"/>
    </row>
    <row r="4744" spans="1:26" ht="30" customHeight="1" x14ac:dyDescent="0.25">
      <c r="A4744" s="1230" t="s">
        <v>316</v>
      </c>
      <c r="B4744" s="1231"/>
      <c r="C4744" s="1232"/>
      <c r="D4744" s="1230" t="s">
        <v>2609</v>
      </c>
      <c r="E4744" s="1231"/>
      <c r="F4744" s="1231"/>
      <c r="G4744" s="1231"/>
      <c r="H4744" s="1231"/>
      <c r="I4744" s="1231"/>
      <c r="J4744" s="1231"/>
      <c r="K4744" s="1231"/>
      <c r="L4744" s="1232"/>
      <c r="P4744" s="334"/>
    </row>
    <row r="4745" spans="1:26" ht="30" customHeight="1" x14ac:dyDescent="0.25">
      <c r="A4745" s="1230" t="s">
        <v>318</v>
      </c>
      <c r="B4745" s="1231"/>
      <c r="C4745" s="1232"/>
      <c r="D4745" s="1230" t="s">
        <v>2250</v>
      </c>
      <c r="E4745" s="1231"/>
      <c r="F4745" s="1231"/>
      <c r="G4745" s="1231"/>
      <c r="H4745" s="1231"/>
      <c r="I4745" s="1231"/>
      <c r="J4745" s="1231"/>
      <c r="K4745" s="1231"/>
      <c r="L4745" s="1232"/>
      <c r="O4745" s="543"/>
      <c r="P4745" s="334"/>
    </row>
    <row r="4746" spans="1:26" ht="30" customHeight="1" x14ac:dyDescent="0.25">
      <c r="A4746" s="1230" t="s">
        <v>320</v>
      </c>
      <c r="B4746" s="1231"/>
      <c r="C4746" s="1232"/>
      <c r="D4746" s="1230" t="s">
        <v>2531</v>
      </c>
      <c r="E4746" s="1231"/>
      <c r="F4746" s="1231"/>
      <c r="G4746" s="1231"/>
      <c r="H4746" s="1231"/>
      <c r="I4746" s="1231"/>
      <c r="J4746" s="1231"/>
      <c r="K4746" s="1231"/>
      <c r="L4746" s="1232"/>
      <c r="M4746" s="10"/>
      <c r="N4746" s="54"/>
      <c r="P4746" s="334"/>
    </row>
    <row r="4747" spans="1:26" ht="30" customHeight="1" x14ac:dyDescent="0.25">
      <c r="A4747" s="1230" t="s">
        <v>322</v>
      </c>
      <c r="B4747" s="1231"/>
      <c r="C4747" s="1232"/>
      <c r="D4747" s="1230" t="s">
        <v>323</v>
      </c>
      <c r="E4747" s="1231"/>
      <c r="F4747" s="1231"/>
      <c r="G4747" s="1231"/>
      <c r="H4747" s="1231"/>
      <c r="I4747" s="1231"/>
      <c r="J4747" s="1231"/>
      <c r="K4747" s="1231"/>
      <c r="L4747" s="1232"/>
      <c r="M4747" s="10"/>
      <c r="N4747" s="57"/>
      <c r="P4747" s="334"/>
    </row>
    <row r="4748" spans="1:26" ht="45" customHeight="1" thickBot="1" x14ac:dyDescent="0.3">
      <c r="A4748" s="1291" t="s">
        <v>350</v>
      </c>
      <c r="B4748" s="1292"/>
      <c r="C4748" s="1293"/>
      <c r="D4748" s="1291" t="s">
        <v>3488</v>
      </c>
      <c r="E4748" s="1292"/>
      <c r="F4748" s="1292"/>
      <c r="G4748" s="1292"/>
      <c r="H4748" s="1292"/>
      <c r="I4748" s="1292"/>
      <c r="J4748" s="1292"/>
      <c r="K4748" s="1292"/>
      <c r="L4748" s="1293"/>
      <c r="P4748" s="334"/>
    </row>
    <row r="4749" spans="1:26" ht="30" customHeight="1" thickBot="1" x14ac:dyDescent="0.3">
      <c r="A4749" s="1180"/>
      <c r="B4749" s="1181"/>
      <c r="C4749" s="1181"/>
      <c r="D4749" s="1181"/>
      <c r="E4749" s="1181"/>
      <c r="F4749" s="1181"/>
      <c r="G4749" s="1181"/>
      <c r="H4749" s="1181"/>
      <c r="I4749" s="1181"/>
      <c r="J4749" s="1181"/>
      <c r="K4749" s="1181"/>
      <c r="L4749" s="1182"/>
      <c r="N4749" s="10"/>
      <c r="P4749" s="334"/>
    </row>
    <row r="4750" spans="1:26" ht="30" customHeight="1" x14ac:dyDescent="0.25">
      <c r="A4750" s="327" t="s">
        <v>5</v>
      </c>
      <c r="B4750" s="328">
        <v>8514</v>
      </c>
      <c r="C4750" s="1251" t="s">
        <v>2610</v>
      </c>
      <c r="D4750" s="1252"/>
      <c r="E4750" s="331" t="s">
        <v>8</v>
      </c>
      <c r="F4750" s="332" t="s">
        <v>205</v>
      </c>
      <c r="G4750" s="342" t="s">
        <v>7</v>
      </c>
      <c r="H4750" s="156">
        <v>50000</v>
      </c>
      <c r="I4750" s="331" t="s">
        <v>10</v>
      </c>
      <c r="J4750" s="1220" t="s">
        <v>3388</v>
      </c>
      <c r="K4750" s="1220"/>
      <c r="L4750" s="1221"/>
      <c r="P4750" s="334"/>
    </row>
    <row r="4751" spans="1:26" ht="30" customHeight="1" x14ac:dyDescent="0.25">
      <c r="A4751" s="359" t="s">
        <v>295</v>
      </c>
      <c r="B4751" s="1554" t="s">
        <v>326</v>
      </c>
      <c r="C4751" s="1554"/>
      <c r="D4751" s="1554"/>
      <c r="E4751" s="577" t="s">
        <v>116</v>
      </c>
      <c r="F4751" s="577" t="s">
        <v>117</v>
      </c>
      <c r="G4751" s="1194" t="s">
        <v>118</v>
      </c>
      <c r="H4751" s="1195"/>
      <c r="I4751" s="356" t="s">
        <v>296</v>
      </c>
      <c r="J4751" s="356"/>
      <c r="K4751" s="1236" t="s">
        <v>285</v>
      </c>
      <c r="L4751" s="1237"/>
      <c r="N4751" s="54"/>
      <c r="P4751" s="334"/>
    </row>
    <row r="4752" spans="1:26" ht="30" customHeight="1" x14ac:dyDescent="0.25">
      <c r="A4752" s="369" t="s">
        <v>2034</v>
      </c>
      <c r="B4752" s="1407" t="s">
        <v>2611</v>
      </c>
      <c r="C4752" s="1407"/>
      <c r="D4752" s="1407"/>
      <c r="E4752" s="213">
        <v>525</v>
      </c>
      <c r="F4752" s="961" t="s">
        <v>205</v>
      </c>
      <c r="G4752" s="214"/>
      <c r="H4752" s="957"/>
      <c r="I4752" s="369">
        <v>1.07</v>
      </c>
      <c r="J4752" s="961"/>
      <c r="K4752" s="246">
        <f>E4752*I4752</f>
        <v>561.75</v>
      </c>
      <c r="L4752" s="396" t="s">
        <v>205</v>
      </c>
      <c r="P4752" s="334"/>
    </row>
    <row r="4753" spans="1:19" ht="30" customHeight="1" x14ac:dyDescent="0.25">
      <c r="A4753" s="835"/>
      <c r="B4753" s="847"/>
      <c r="C4753" s="847"/>
      <c r="D4753" s="847"/>
      <c r="E4753" s="231"/>
      <c r="F4753" s="1388" t="s">
        <v>303</v>
      </c>
      <c r="G4753" s="1624" t="s">
        <v>304</v>
      </c>
      <c r="H4753" s="1624"/>
      <c r="I4753" s="1624"/>
      <c r="J4753" s="1624"/>
      <c r="K4753" s="319">
        <v>1.07</v>
      </c>
      <c r="L4753" s="365"/>
      <c r="P4753" s="334"/>
    </row>
    <row r="4754" spans="1:19" ht="30" customHeight="1" x14ac:dyDescent="0.25">
      <c r="A4754" s="835"/>
      <c r="B4754" s="847"/>
      <c r="C4754" s="847"/>
      <c r="D4754" s="847"/>
      <c r="E4754" s="231"/>
      <c r="F4754" s="1388"/>
      <c r="G4754" s="1284" t="s">
        <v>438</v>
      </c>
      <c r="H4754" s="1284"/>
      <c r="I4754" s="1284"/>
      <c r="J4754" s="1284"/>
      <c r="K4754" s="319">
        <v>1.08</v>
      </c>
      <c r="L4754" s="365"/>
      <c r="P4754" s="334"/>
    </row>
    <row r="4755" spans="1:19" ht="30" customHeight="1" x14ac:dyDescent="0.25">
      <c r="A4755" s="835"/>
      <c r="B4755" s="1510" t="s">
        <v>2612</v>
      </c>
      <c r="C4755" s="1510"/>
      <c r="D4755" s="1510"/>
      <c r="E4755" s="840"/>
      <c r="F4755" s="840"/>
      <c r="G4755" s="840"/>
      <c r="H4755" s="840"/>
      <c r="I4755" s="840"/>
      <c r="J4755" s="835" t="s">
        <v>72</v>
      </c>
      <c r="K4755" s="320">
        <f>+K4752*K4753/K4754</f>
        <v>556.54861111111109</v>
      </c>
      <c r="L4755" s="365" t="s">
        <v>205</v>
      </c>
      <c r="O4755" s="384"/>
      <c r="P4755" s="334"/>
    </row>
    <row r="4756" spans="1:19" ht="30" customHeight="1" x14ac:dyDescent="0.25">
      <c r="A4756" s="835"/>
      <c r="B4756" s="1510"/>
      <c r="C4756" s="1510"/>
      <c r="D4756" s="1510"/>
      <c r="E4756" s="840"/>
      <c r="F4756" s="840"/>
      <c r="G4756" s="842" t="s">
        <v>306</v>
      </c>
      <c r="H4756" s="840"/>
      <c r="I4756" s="840"/>
      <c r="J4756" s="986">
        <f>VLOOKUP(B4750,'Mil Cost Premiums for PUCs'!$A$4:$R$277,18,FALSE)</f>
        <v>1.1199953840399997</v>
      </c>
      <c r="K4756" s="320">
        <f>+K4755*J4756</f>
        <v>623.3318754383173</v>
      </c>
      <c r="L4756" s="365" t="s">
        <v>205</v>
      </c>
      <c r="P4756" s="334"/>
    </row>
    <row r="4757" spans="1:19" ht="30" customHeight="1" thickBot="1" x14ac:dyDescent="0.3">
      <c r="A4757" s="844"/>
      <c r="B4757" s="844"/>
      <c r="C4757" s="471"/>
      <c r="D4757" s="471"/>
      <c r="E4757" s="471"/>
      <c r="F4757" s="1278" t="s">
        <v>1148</v>
      </c>
      <c r="G4757" s="1278"/>
      <c r="H4757" s="1278"/>
      <c r="I4757" s="1278"/>
      <c r="J4757" s="987">
        <v>1.0833999999999999</v>
      </c>
      <c r="K4757" s="1060">
        <f>K4756*J4757</f>
        <v>675.31775384987293</v>
      </c>
      <c r="L4757" s="369" t="s">
        <v>205</v>
      </c>
      <c r="O4757" s="336"/>
      <c r="P4757" s="334"/>
      <c r="Q4757" s="335"/>
      <c r="R4757" s="336"/>
      <c r="S4757" s="337"/>
    </row>
    <row r="4758" spans="1:19" ht="30" customHeight="1" thickBot="1" x14ac:dyDescent="0.3">
      <c r="A4758" s="1305"/>
      <c r="B4758" s="1306"/>
      <c r="C4758" s="1306"/>
      <c r="D4758" s="1306"/>
      <c r="E4758" s="1306"/>
      <c r="F4758" s="1306"/>
      <c r="G4758" s="1306"/>
      <c r="H4758" s="1306"/>
      <c r="I4758" s="1306"/>
      <c r="J4758" s="1306"/>
      <c r="K4758" s="1306"/>
      <c r="L4758" s="1307"/>
      <c r="M4758" s="116"/>
      <c r="N4758" s="128"/>
      <c r="P4758" s="334"/>
      <c r="Q4758" s="335"/>
      <c r="R4758" s="336"/>
      <c r="S4758" s="337"/>
    </row>
    <row r="4759" spans="1:19" ht="30" customHeight="1" x14ac:dyDescent="0.25">
      <c r="A4759" s="349" t="s">
        <v>5</v>
      </c>
      <c r="B4759" s="350">
        <v>8521</v>
      </c>
      <c r="C4759" s="1470" t="s">
        <v>2613</v>
      </c>
      <c r="D4759" s="1471"/>
      <c r="E4759" s="351" t="s">
        <v>8</v>
      </c>
      <c r="F4759" s="352" t="s">
        <v>9</v>
      </c>
      <c r="G4759" s="353" t="s">
        <v>74</v>
      </c>
      <c r="H4759" s="50">
        <v>10242</v>
      </c>
      <c r="I4759" s="351" t="s">
        <v>10</v>
      </c>
      <c r="J4759" s="1220" t="s">
        <v>3388</v>
      </c>
      <c r="K4759" s="1220"/>
      <c r="L4759" s="1221"/>
      <c r="P4759" s="334"/>
      <c r="Q4759" s="335"/>
      <c r="R4759" s="336"/>
      <c r="S4759" s="337"/>
    </row>
    <row r="4760" spans="1:19" ht="30" customHeight="1" x14ac:dyDescent="0.25">
      <c r="A4760" s="359" t="s">
        <v>295</v>
      </c>
      <c r="B4760" s="1222" t="s">
        <v>326</v>
      </c>
      <c r="C4760" s="1235"/>
      <c r="D4760" s="1223"/>
      <c r="E4760" s="577" t="s">
        <v>116</v>
      </c>
      <c r="F4760" s="577" t="s">
        <v>117</v>
      </c>
      <c r="G4760" s="1194" t="s">
        <v>118</v>
      </c>
      <c r="H4760" s="1195"/>
      <c r="I4760" s="356" t="s">
        <v>296</v>
      </c>
      <c r="J4760" s="356"/>
      <c r="K4760" s="1236" t="s">
        <v>285</v>
      </c>
      <c r="L4760" s="1237"/>
      <c r="P4760" s="334"/>
      <c r="Q4760" s="335"/>
      <c r="R4760" s="336"/>
      <c r="S4760" s="337"/>
    </row>
    <row r="4761" spans="1:19" ht="30" customHeight="1" x14ac:dyDescent="0.25">
      <c r="A4761" s="365" t="s">
        <v>529</v>
      </c>
      <c r="B4761" s="366" t="s">
        <v>2614</v>
      </c>
      <c r="C4761" s="562"/>
      <c r="D4761" s="563"/>
      <c r="E4761" s="716">
        <v>84.5</v>
      </c>
      <c r="F4761" s="534" t="s">
        <v>2615</v>
      </c>
      <c r="G4761" s="689">
        <v>35</v>
      </c>
      <c r="H4761" s="984" t="s">
        <v>2616</v>
      </c>
      <c r="I4761" s="365">
        <v>1.05</v>
      </c>
      <c r="J4761" s="365"/>
      <c r="K4761" s="752">
        <f>+E4761/G4761*I4761</f>
        <v>2.5350000000000001</v>
      </c>
      <c r="L4761" s="396" t="s">
        <v>9</v>
      </c>
      <c r="P4761" s="334"/>
      <c r="Q4761" s="335"/>
      <c r="R4761" s="336"/>
      <c r="S4761" s="337"/>
    </row>
    <row r="4762" spans="1:19" ht="30" customHeight="1" x14ac:dyDescent="0.25">
      <c r="A4762" s="365" t="s">
        <v>529</v>
      </c>
      <c r="B4762" s="1214" t="s">
        <v>2617</v>
      </c>
      <c r="C4762" s="1215"/>
      <c r="D4762" s="1216"/>
      <c r="E4762" s="7">
        <v>171</v>
      </c>
      <c r="F4762" s="534" t="s">
        <v>2615</v>
      </c>
      <c r="G4762" s="689">
        <v>35</v>
      </c>
      <c r="H4762" s="984" t="s">
        <v>2616</v>
      </c>
      <c r="I4762" s="365">
        <v>1.05</v>
      </c>
      <c r="J4762" s="365"/>
      <c r="K4762" s="752">
        <f>+E4762/G4762*I4762</f>
        <v>5.1300000000000008</v>
      </c>
      <c r="L4762" s="396" t="s">
        <v>9</v>
      </c>
      <c r="M4762" s="54"/>
      <c r="P4762" s="334"/>
      <c r="Q4762" s="335"/>
      <c r="R4762" s="336"/>
      <c r="S4762" s="337"/>
    </row>
    <row r="4763" spans="1:19" ht="30" customHeight="1" x14ac:dyDescent="0.25">
      <c r="A4763" s="365" t="s">
        <v>529</v>
      </c>
      <c r="B4763" s="366" t="s">
        <v>2618</v>
      </c>
      <c r="C4763" s="658"/>
      <c r="D4763" s="659"/>
      <c r="E4763" s="7">
        <v>740</v>
      </c>
      <c r="F4763" s="534" t="s">
        <v>2615</v>
      </c>
      <c r="G4763" s="689">
        <v>35</v>
      </c>
      <c r="H4763" s="984" t="s">
        <v>2616</v>
      </c>
      <c r="I4763" s="365">
        <v>1.05</v>
      </c>
      <c r="J4763" s="365"/>
      <c r="K4763" s="752">
        <f>+E4763/G4763*I4763</f>
        <v>22.2</v>
      </c>
      <c r="L4763" s="396" t="s">
        <v>9</v>
      </c>
      <c r="M4763" s="57"/>
      <c r="P4763" s="334"/>
      <c r="Q4763" s="335"/>
      <c r="R4763" s="336"/>
      <c r="S4763" s="337"/>
    </row>
    <row r="4764" spans="1:19" ht="30" customHeight="1" x14ac:dyDescent="0.25">
      <c r="A4764" s="365" t="s">
        <v>529</v>
      </c>
      <c r="B4764" s="366" t="s">
        <v>2619</v>
      </c>
      <c r="C4764" s="658"/>
      <c r="D4764" s="659"/>
      <c r="E4764" s="7">
        <v>20.45</v>
      </c>
      <c r="F4764" s="534" t="s">
        <v>2615</v>
      </c>
      <c r="G4764" s="689">
        <v>35</v>
      </c>
      <c r="H4764" s="984" t="s">
        <v>2616</v>
      </c>
      <c r="I4764" s="365">
        <v>1.05</v>
      </c>
      <c r="J4764" s="365"/>
      <c r="K4764" s="752">
        <f>+E4764/G4764*I4764</f>
        <v>0.61350000000000005</v>
      </c>
      <c r="L4764" s="396" t="s">
        <v>9</v>
      </c>
      <c r="P4764" s="334"/>
      <c r="Q4764" s="335"/>
      <c r="R4764" s="336"/>
      <c r="S4764" s="337"/>
    </row>
    <row r="4765" spans="1:19" ht="30" customHeight="1" x14ac:dyDescent="0.25">
      <c r="A4765" s="365" t="s">
        <v>529</v>
      </c>
      <c r="B4765" s="366" t="s">
        <v>2620</v>
      </c>
      <c r="C4765" s="658"/>
      <c r="D4765" s="659"/>
      <c r="E4765" s="7">
        <v>187</v>
      </c>
      <c r="F4765" s="534" t="s">
        <v>2615</v>
      </c>
      <c r="G4765" s="689">
        <v>35</v>
      </c>
      <c r="H4765" s="984" t="s">
        <v>2616</v>
      </c>
      <c r="I4765" s="365">
        <v>1.05</v>
      </c>
      <c r="J4765" s="365"/>
      <c r="K4765" s="752">
        <f>+E4765/G4765*I4765</f>
        <v>5.61</v>
      </c>
      <c r="L4765" s="396" t="s">
        <v>9</v>
      </c>
      <c r="M4765" s="10"/>
      <c r="O4765" s="554"/>
      <c r="P4765" s="334"/>
      <c r="Q4765" s="335"/>
      <c r="R4765" s="336"/>
      <c r="S4765" s="337"/>
    </row>
    <row r="4766" spans="1:19" ht="30" customHeight="1" x14ac:dyDescent="0.25">
      <c r="A4766" s="366"/>
      <c r="B4766" s="1269" t="s">
        <v>2621</v>
      </c>
      <c r="C4766" s="1269"/>
      <c r="D4766" s="1269"/>
      <c r="E4766" s="247"/>
      <c r="F4766" s="365"/>
      <c r="G4766" s="365"/>
      <c r="H4766" s="365"/>
      <c r="I4766" s="365"/>
      <c r="J4766" s="365" t="s">
        <v>343</v>
      </c>
      <c r="K4766" s="259">
        <f>SUM(K4761:K4765)</f>
        <v>36.088500000000003</v>
      </c>
      <c r="L4766" s="365" t="s">
        <v>9</v>
      </c>
      <c r="O4766" s="635"/>
      <c r="P4766" s="334"/>
      <c r="Q4766" s="335"/>
      <c r="R4766" s="336"/>
      <c r="S4766" s="337"/>
    </row>
    <row r="4767" spans="1:19" ht="30" customHeight="1" x14ac:dyDescent="0.25">
      <c r="A4767" s="365"/>
      <c r="B4767" s="578"/>
      <c r="C4767" s="578"/>
      <c r="D4767" s="578"/>
      <c r="E4767" s="247"/>
      <c r="F4767" s="1272" t="s">
        <v>303</v>
      </c>
      <c r="G4767" s="1283" t="s">
        <v>304</v>
      </c>
      <c r="H4767" s="1283"/>
      <c r="I4767" s="1283"/>
      <c r="J4767" s="1283"/>
      <c r="K4767" s="250">
        <v>1.07</v>
      </c>
      <c r="L4767" s="365"/>
      <c r="M4767" s="54"/>
      <c r="O4767" s="336"/>
      <c r="P4767" s="334"/>
      <c r="Q4767" s="335"/>
      <c r="R4767" s="336"/>
      <c r="S4767" s="337"/>
    </row>
    <row r="4768" spans="1:19" ht="30" customHeight="1" x14ac:dyDescent="0.25">
      <c r="A4768" s="365"/>
      <c r="B4768" s="578"/>
      <c r="C4768" s="578"/>
      <c r="D4768" s="578"/>
      <c r="E4768" s="247"/>
      <c r="F4768" s="1273"/>
      <c r="G4768" s="1284" t="s">
        <v>438</v>
      </c>
      <c r="H4768" s="1284"/>
      <c r="I4768" s="1284"/>
      <c r="J4768" s="1284"/>
      <c r="K4768" s="250">
        <v>1.08</v>
      </c>
      <c r="L4768" s="365"/>
      <c r="O4768" s="336"/>
      <c r="P4768" s="334"/>
      <c r="Q4768" s="335"/>
      <c r="R4768" s="336"/>
      <c r="S4768" s="337"/>
    </row>
    <row r="4769" spans="1:19" ht="30" customHeight="1" x14ac:dyDescent="0.25">
      <c r="A4769" s="366"/>
      <c r="B4769" s="365"/>
      <c r="C4769" s="366"/>
      <c r="D4769" s="366"/>
      <c r="E4769" s="366"/>
      <c r="F4769" s="366"/>
      <c r="G4769" s="366"/>
      <c r="H4769" s="366"/>
      <c r="I4769" s="366"/>
      <c r="J4769" s="365" t="s">
        <v>72</v>
      </c>
      <c r="K4769" s="246">
        <f>+K4766*K4767/K4768</f>
        <v>35.754347222222222</v>
      </c>
      <c r="L4769" s="365" t="s">
        <v>9</v>
      </c>
      <c r="N4769" s="129"/>
      <c r="O4769" s="336"/>
      <c r="P4769" s="334"/>
      <c r="Q4769" s="335"/>
      <c r="R4769" s="336"/>
      <c r="S4769" s="337"/>
    </row>
    <row r="4770" spans="1:19" ht="30" customHeight="1" x14ac:dyDescent="0.25">
      <c r="A4770" s="366"/>
      <c r="B4770" s="365"/>
      <c r="C4770" s="366"/>
      <c r="D4770" s="366"/>
      <c r="E4770" s="366"/>
      <c r="F4770" s="366"/>
      <c r="G4770" s="398" t="s">
        <v>414</v>
      </c>
      <c r="H4770" s="366"/>
      <c r="I4770" s="366"/>
      <c r="J4770" s="521">
        <f>VLOOKUP(B4759,'Mil Cost Premiums for PUCs'!$A$4:$R$277,18,FALSE)</f>
        <v>1.1199953840399997</v>
      </c>
      <c r="K4770" s="246">
        <f>+K4769*J4770</f>
        <v>40.044703848252276</v>
      </c>
      <c r="L4770" s="365" t="s">
        <v>9</v>
      </c>
      <c r="N4770" s="130"/>
      <c r="O4770" s="336"/>
      <c r="P4770" s="334"/>
      <c r="Q4770" s="335"/>
      <c r="R4770" s="336"/>
      <c r="S4770" s="337"/>
    </row>
    <row r="4771" spans="1:19" ht="30" customHeight="1" x14ac:dyDescent="0.25">
      <c r="A4771" s="844"/>
      <c r="B4771" s="844"/>
      <c r="C4771" s="471"/>
      <c r="D4771" s="471"/>
      <c r="E4771" s="471"/>
      <c r="F4771" s="1278" t="s">
        <v>1148</v>
      </c>
      <c r="G4771" s="1278"/>
      <c r="H4771" s="1278"/>
      <c r="I4771" s="1278"/>
      <c r="J4771" s="987">
        <v>1.0833999999999999</v>
      </c>
      <c r="K4771" s="1060">
        <f>K4770*J4771</f>
        <v>43.384432149196513</v>
      </c>
      <c r="L4771" s="365" t="s">
        <v>9</v>
      </c>
      <c r="O4771" s="336"/>
      <c r="P4771" s="334"/>
      <c r="Q4771" s="335"/>
      <c r="R4771" s="336"/>
      <c r="S4771" s="337"/>
    </row>
    <row r="4772" spans="1:19" ht="75" customHeight="1" x14ac:dyDescent="0.25">
      <c r="A4772" s="1230" t="s">
        <v>307</v>
      </c>
      <c r="B4772" s="1231"/>
      <c r="C4772" s="1231"/>
      <c r="D4772" s="1231"/>
      <c r="E4772" s="1231"/>
      <c r="F4772" s="1231"/>
      <c r="G4772" s="1231"/>
      <c r="H4772" s="1231"/>
      <c r="I4772" s="1231"/>
      <c r="J4772" s="1231"/>
      <c r="K4772" s="1231"/>
      <c r="L4772" s="1232"/>
      <c r="O4772" s="336"/>
      <c r="P4772" s="334"/>
      <c r="Q4772" s="335"/>
      <c r="R4772" s="336"/>
      <c r="S4772" s="337"/>
    </row>
    <row r="4773" spans="1:19" ht="30" customHeight="1" x14ac:dyDescent="0.25">
      <c r="A4773" s="1230" t="s">
        <v>308</v>
      </c>
      <c r="B4773" s="1231"/>
      <c r="C4773" s="1232"/>
      <c r="D4773" s="1230" t="s">
        <v>2622</v>
      </c>
      <c r="E4773" s="1231"/>
      <c r="F4773" s="1231"/>
      <c r="G4773" s="1231"/>
      <c r="H4773" s="1231"/>
      <c r="I4773" s="1231"/>
      <c r="J4773" s="1231"/>
      <c r="K4773" s="1231"/>
      <c r="L4773" s="1232"/>
      <c r="N4773" s="10"/>
      <c r="O4773" s="336"/>
      <c r="P4773" s="334"/>
      <c r="Q4773" s="335"/>
      <c r="R4773" s="336"/>
      <c r="S4773" s="337"/>
    </row>
    <row r="4774" spans="1:19" ht="30" customHeight="1" x14ac:dyDescent="0.25">
      <c r="A4774" s="1230" t="s">
        <v>310</v>
      </c>
      <c r="B4774" s="1231"/>
      <c r="C4774" s="1232"/>
      <c r="D4774" s="1230" t="s">
        <v>2623</v>
      </c>
      <c r="E4774" s="1231"/>
      <c r="F4774" s="1231"/>
      <c r="G4774" s="1231"/>
      <c r="H4774" s="1231"/>
      <c r="I4774" s="1231"/>
      <c r="J4774" s="1231"/>
      <c r="K4774" s="1231"/>
      <c r="L4774" s="1232"/>
      <c r="M4774" s="215"/>
      <c r="N4774" s="10"/>
      <c r="O4774" s="336"/>
      <c r="P4774" s="334"/>
      <c r="Q4774" s="335"/>
      <c r="R4774" s="336"/>
      <c r="S4774" s="337"/>
    </row>
    <row r="4775" spans="1:19" ht="30" customHeight="1" x14ac:dyDescent="0.25">
      <c r="A4775" s="1230" t="s">
        <v>312</v>
      </c>
      <c r="B4775" s="1231"/>
      <c r="C4775" s="1232"/>
      <c r="D4775" s="1230" t="s">
        <v>2624</v>
      </c>
      <c r="E4775" s="1231"/>
      <c r="F4775" s="1231"/>
      <c r="G4775" s="1231"/>
      <c r="H4775" s="1231"/>
      <c r="I4775" s="1231"/>
      <c r="J4775" s="1231"/>
      <c r="K4775" s="1231"/>
      <c r="L4775" s="1232"/>
      <c r="O4775" s="867"/>
      <c r="P4775" s="334"/>
      <c r="Q4775" s="335"/>
      <c r="R4775" s="336"/>
      <c r="S4775" s="337"/>
    </row>
    <row r="4776" spans="1:19" ht="30" customHeight="1" x14ac:dyDescent="0.25">
      <c r="A4776" s="1230" t="s">
        <v>314</v>
      </c>
      <c r="B4776" s="1231"/>
      <c r="C4776" s="1232"/>
      <c r="D4776" s="1230" t="s">
        <v>2625</v>
      </c>
      <c r="E4776" s="1231"/>
      <c r="F4776" s="1231"/>
      <c r="G4776" s="1231"/>
      <c r="H4776" s="1231"/>
      <c r="I4776" s="1231"/>
      <c r="J4776" s="1231"/>
      <c r="K4776" s="1231"/>
      <c r="L4776" s="1232"/>
      <c r="O4776" s="336"/>
      <c r="P4776" s="334"/>
      <c r="Q4776" s="335"/>
      <c r="R4776" s="336"/>
      <c r="S4776" s="337"/>
    </row>
    <row r="4777" spans="1:19" ht="30" customHeight="1" x14ac:dyDescent="0.25">
      <c r="A4777" s="1230" t="s">
        <v>316</v>
      </c>
      <c r="B4777" s="1231"/>
      <c r="C4777" s="1232"/>
      <c r="D4777" s="1230" t="s">
        <v>2609</v>
      </c>
      <c r="E4777" s="1231"/>
      <c r="F4777" s="1231"/>
      <c r="G4777" s="1231"/>
      <c r="H4777" s="1231"/>
      <c r="I4777" s="1231"/>
      <c r="J4777" s="1231"/>
      <c r="K4777" s="1231"/>
      <c r="L4777" s="1232"/>
      <c r="N4777" s="131"/>
      <c r="O4777" s="336"/>
      <c r="P4777" s="334"/>
      <c r="Q4777" s="335"/>
      <c r="R4777" s="336"/>
      <c r="S4777" s="337"/>
    </row>
    <row r="4778" spans="1:19" ht="30" customHeight="1" x14ac:dyDescent="0.25">
      <c r="A4778" s="1230" t="s">
        <v>318</v>
      </c>
      <c r="B4778" s="1231"/>
      <c r="C4778" s="1232"/>
      <c r="D4778" s="1230" t="s">
        <v>2250</v>
      </c>
      <c r="E4778" s="1231"/>
      <c r="F4778" s="1231"/>
      <c r="G4778" s="1231"/>
      <c r="H4778" s="1231"/>
      <c r="I4778" s="1231"/>
      <c r="J4778" s="1231"/>
      <c r="K4778" s="1231"/>
      <c r="L4778" s="1232"/>
      <c r="P4778" s="334"/>
      <c r="Q4778" s="335"/>
      <c r="R4778" s="336"/>
      <c r="S4778" s="337"/>
    </row>
    <row r="4779" spans="1:19" ht="30" customHeight="1" x14ac:dyDescent="0.25">
      <c r="A4779" s="1230" t="s">
        <v>320</v>
      </c>
      <c r="B4779" s="1231"/>
      <c r="C4779" s="1232"/>
      <c r="D4779" s="1230" t="s">
        <v>2626</v>
      </c>
      <c r="E4779" s="1231"/>
      <c r="F4779" s="1231"/>
      <c r="G4779" s="1231"/>
      <c r="H4779" s="1231"/>
      <c r="I4779" s="1231"/>
      <c r="J4779" s="1231"/>
      <c r="K4779" s="1231"/>
      <c r="L4779" s="1232"/>
      <c r="N4779" s="54"/>
      <c r="O4779" s="336"/>
      <c r="P4779" s="334"/>
      <c r="Q4779" s="335"/>
      <c r="R4779" s="336"/>
      <c r="S4779" s="337"/>
    </row>
    <row r="4780" spans="1:19" ht="30" customHeight="1" x14ac:dyDescent="0.25">
      <c r="A4780" s="1230" t="s">
        <v>322</v>
      </c>
      <c r="B4780" s="1231"/>
      <c r="C4780" s="1232"/>
      <c r="D4780" s="1230" t="s">
        <v>323</v>
      </c>
      <c r="E4780" s="1231"/>
      <c r="F4780" s="1231"/>
      <c r="G4780" s="1231"/>
      <c r="H4780" s="1231"/>
      <c r="I4780" s="1231"/>
      <c r="J4780" s="1231"/>
      <c r="K4780" s="1231"/>
      <c r="L4780" s="1232"/>
      <c r="O4780" s="336"/>
      <c r="P4780" s="334"/>
      <c r="Q4780" s="335"/>
      <c r="R4780" s="336"/>
      <c r="S4780" s="337"/>
    </row>
    <row r="4781" spans="1:19" ht="60" customHeight="1" thickBot="1" x14ac:dyDescent="0.3">
      <c r="A4781" s="1291" t="s">
        <v>350</v>
      </c>
      <c r="B4781" s="1292"/>
      <c r="C4781" s="1293"/>
      <c r="D4781" s="1291" t="s">
        <v>3457</v>
      </c>
      <c r="E4781" s="1292"/>
      <c r="F4781" s="1292"/>
      <c r="G4781" s="1292"/>
      <c r="H4781" s="1292"/>
      <c r="I4781" s="1292"/>
      <c r="J4781" s="1292"/>
      <c r="K4781" s="1292"/>
      <c r="L4781" s="1293"/>
      <c r="N4781" s="10"/>
      <c r="O4781" s="336"/>
      <c r="P4781" s="334"/>
      <c r="Q4781" s="335"/>
      <c r="R4781" s="336"/>
      <c r="S4781" s="337"/>
    </row>
    <row r="4782" spans="1:19" ht="30" customHeight="1" thickBot="1" x14ac:dyDescent="0.3">
      <c r="A4782" s="1180"/>
      <c r="B4782" s="1181"/>
      <c r="C4782" s="1181"/>
      <c r="D4782" s="1181"/>
      <c r="E4782" s="1181"/>
      <c r="F4782" s="1181"/>
      <c r="G4782" s="1181"/>
      <c r="H4782" s="1181"/>
      <c r="I4782" s="1181"/>
      <c r="J4782" s="1181"/>
      <c r="K4782" s="1181"/>
      <c r="L4782" s="1182"/>
      <c r="N4782" s="10"/>
      <c r="O4782" s="336"/>
      <c r="P4782" s="334"/>
      <c r="Q4782" s="335"/>
      <c r="R4782" s="336"/>
      <c r="S4782" s="337"/>
    </row>
    <row r="4783" spans="1:19" ht="30" customHeight="1" x14ac:dyDescent="0.25">
      <c r="A4783" s="327" t="s">
        <v>5</v>
      </c>
      <c r="B4783" s="328">
        <v>8522</v>
      </c>
      <c r="C4783" s="1218" t="s">
        <v>2627</v>
      </c>
      <c r="D4783" s="1219"/>
      <c r="E4783" s="331" t="s">
        <v>8</v>
      </c>
      <c r="F4783" s="332" t="s">
        <v>9</v>
      </c>
      <c r="G4783" s="338" t="s">
        <v>1982</v>
      </c>
      <c r="H4783" s="176">
        <v>8634</v>
      </c>
      <c r="I4783" s="331" t="s">
        <v>10</v>
      </c>
      <c r="J4783" s="1220" t="s">
        <v>3388</v>
      </c>
      <c r="K4783" s="1220"/>
      <c r="L4783" s="1221"/>
      <c r="O4783" s="336"/>
      <c r="P4783" s="334"/>
      <c r="Q4783" s="335"/>
      <c r="R4783" s="336"/>
      <c r="S4783" s="337"/>
    </row>
    <row r="4784" spans="1:19" ht="30" customHeight="1" x14ac:dyDescent="0.25">
      <c r="A4784" s="359" t="s">
        <v>295</v>
      </c>
      <c r="B4784" s="1222" t="s">
        <v>326</v>
      </c>
      <c r="C4784" s="1235"/>
      <c r="D4784" s="1223"/>
      <c r="E4784" s="577" t="s">
        <v>116</v>
      </c>
      <c r="F4784" s="577" t="s">
        <v>117</v>
      </c>
      <c r="G4784" s="1194" t="s">
        <v>118</v>
      </c>
      <c r="H4784" s="1195"/>
      <c r="I4784" s="356" t="s">
        <v>296</v>
      </c>
      <c r="J4784" s="356"/>
      <c r="K4784" s="1236" t="s">
        <v>285</v>
      </c>
      <c r="L4784" s="1237"/>
      <c r="O4784" s="839"/>
      <c r="P4784" s="334"/>
      <c r="Q4784" s="335"/>
      <c r="R4784" s="336"/>
      <c r="S4784" s="337"/>
    </row>
    <row r="4785" spans="1:21" ht="30" customHeight="1" x14ac:dyDescent="0.25">
      <c r="A4785" s="365" t="s">
        <v>529</v>
      </c>
      <c r="B4785" s="366" t="s">
        <v>2614</v>
      </c>
      <c r="C4785" s="562"/>
      <c r="D4785" s="563"/>
      <c r="E4785" s="716">
        <v>84.5</v>
      </c>
      <c r="F4785" s="534" t="s">
        <v>2615</v>
      </c>
      <c r="G4785" s="689">
        <v>35</v>
      </c>
      <c r="H4785" s="984" t="s">
        <v>2616</v>
      </c>
      <c r="I4785" s="365">
        <v>1.05</v>
      </c>
      <c r="J4785" s="365"/>
      <c r="K4785" s="752">
        <f>+E4785/G4785*I4785</f>
        <v>2.5350000000000001</v>
      </c>
      <c r="L4785" s="396" t="s">
        <v>9</v>
      </c>
      <c r="M4785" s="216"/>
      <c r="O4785" s="839"/>
      <c r="P4785" s="334"/>
      <c r="Q4785" s="335"/>
      <c r="R4785" s="336"/>
      <c r="S4785" s="337"/>
    </row>
    <row r="4786" spans="1:21" ht="30" customHeight="1" x14ac:dyDescent="0.25">
      <c r="A4786" s="365" t="s">
        <v>529</v>
      </c>
      <c r="B4786" s="1214" t="s">
        <v>2617</v>
      </c>
      <c r="C4786" s="1215"/>
      <c r="D4786" s="1216"/>
      <c r="E4786" s="7">
        <v>171</v>
      </c>
      <c r="F4786" s="534" t="s">
        <v>2615</v>
      </c>
      <c r="G4786" s="689">
        <v>35</v>
      </c>
      <c r="H4786" s="984" t="s">
        <v>2616</v>
      </c>
      <c r="I4786" s="365">
        <v>1.05</v>
      </c>
      <c r="J4786" s="365"/>
      <c r="K4786" s="752">
        <f>+E4786/G4786*I4786</f>
        <v>5.1300000000000008</v>
      </c>
      <c r="L4786" s="396" t="s">
        <v>9</v>
      </c>
      <c r="M4786" s="217"/>
      <c r="N4786" s="132"/>
      <c r="O4786" s="336"/>
      <c r="P4786" s="334"/>
      <c r="Q4786" s="335"/>
      <c r="R4786" s="336"/>
      <c r="S4786" s="337"/>
    </row>
    <row r="4787" spans="1:21" ht="30" customHeight="1" x14ac:dyDescent="0.25">
      <c r="A4787" s="365" t="s">
        <v>529</v>
      </c>
      <c r="B4787" s="366" t="s">
        <v>2620</v>
      </c>
      <c r="C4787" s="658"/>
      <c r="D4787" s="659"/>
      <c r="E4787" s="7">
        <v>187</v>
      </c>
      <c r="F4787" s="534" t="s">
        <v>2615</v>
      </c>
      <c r="G4787" s="689">
        <v>35</v>
      </c>
      <c r="H4787" s="984" t="s">
        <v>2616</v>
      </c>
      <c r="I4787" s="365">
        <v>1.05</v>
      </c>
      <c r="J4787" s="365"/>
      <c r="K4787" s="752">
        <f>+E4787/G4787*I4787</f>
        <v>5.61</v>
      </c>
      <c r="L4787" s="396" t="s">
        <v>9</v>
      </c>
      <c r="N4787" s="132"/>
      <c r="O4787" s="336"/>
      <c r="P4787" s="334"/>
      <c r="Q4787" s="335"/>
      <c r="R4787" s="336"/>
      <c r="S4787" s="337"/>
    </row>
    <row r="4788" spans="1:21" ht="30" customHeight="1" x14ac:dyDescent="0.25">
      <c r="A4788" s="366"/>
      <c r="B4788" s="1269" t="s">
        <v>2621</v>
      </c>
      <c r="C4788" s="1269"/>
      <c r="D4788" s="1269"/>
      <c r="E4788" s="247"/>
      <c r="F4788" s="365"/>
      <c r="G4788" s="365"/>
      <c r="H4788" s="365"/>
      <c r="I4788" s="365"/>
      <c r="J4788" s="365" t="s">
        <v>343</v>
      </c>
      <c r="K4788" s="259">
        <f>SUM(K4785:K4787)</f>
        <v>13.275000000000002</v>
      </c>
      <c r="L4788" s="365" t="s">
        <v>9</v>
      </c>
      <c r="M4788" s="10"/>
      <c r="P4788" s="334"/>
      <c r="Q4788" s="335"/>
      <c r="R4788" s="336"/>
      <c r="S4788" s="337"/>
    </row>
    <row r="4789" spans="1:21" ht="30" customHeight="1" x14ac:dyDescent="0.25">
      <c r="A4789" s="365"/>
      <c r="B4789" s="578"/>
      <c r="C4789" s="578"/>
      <c r="D4789" s="578"/>
      <c r="E4789" s="247"/>
      <c r="F4789" s="1272" t="s">
        <v>303</v>
      </c>
      <c r="G4789" s="1283" t="s">
        <v>304</v>
      </c>
      <c r="H4789" s="1283"/>
      <c r="I4789" s="1283"/>
      <c r="J4789" s="1283"/>
      <c r="K4789" s="250">
        <v>1.07</v>
      </c>
      <c r="L4789" s="365"/>
      <c r="M4789" s="10"/>
      <c r="P4789" s="334"/>
      <c r="Q4789" s="335"/>
      <c r="R4789" s="336"/>
      <c r="S4789" s="337"/>
    </row>
    <row r="4790" spans="1:21" ht="30" customHeight="1" x14ac:dyDescent="0.25">
      <c r="A4790" s="365"/>
      <c r="B4790" s="578"/>
      <c r="C4790" s="578"/>
      <c r="D4790" s="578"/>
      <c r="E4790" s="247"/>
      <c r="F4790" s="1273"/>
      <c r="G4790" s="1284" t="s">
        <v>438</v>
      </c>
      <c r="H4790" s="1284"/>
      <c r="I4790" s="1284"/>
      <c r="J4790" s="1284"/>
      <c r="K4790" s="250">
        <v>1.08</v>
      </c>
      <c r="L4790" s="365"/>
      <c r="P4790" s="334"/>
      <c r="Q4790" s="335"/>
      <c r="R4790" s="336"/>
      <c r="S4790" s="337"/>
    </row>
    <row r="4791" spans="1:21" ht="30" customHeight="1" x14ac:dyDescent="0.25">
      <c r="A4791" s="366"/>
      <c r="B4791" s="365"/>
      <c r="C4791" s="366"/>
      <c r="D4791" s="366"/>
      <c r="E4791" s="366"/>
      <c r="F4791" s="366"/>
      <c r="G4791" s="366"/>
      <c r="H4791" s="366"/>
      <c r="I4791" s="366"/>
      <c r="J4791" s="365" t="s">
        <v>72</v>
      </c>
      <c r="K4791" s="246">
        <f>+K4788*K4789/K4790</f>
        <v>13.152083333333335</v>
      </c>
      <c r="L4791" s="365" t="s">
        <v>9</v>
      </c>
      <c r="O4791" s="554"/>
      <c r="P4791" s="334"/>
      <c r="Q4791" s="335"/>
      <c r="R4791" s="336"/>
      <c r="S4791" s="337"/>
    </row>
    <row r="4792" spans="1:21" ht="30" customHeight="1" x14ac:dyDescent="0.25">
      <c r="A4792" s="365"/>
      <c r="B4792" s="365"/>
      <c r="C4792" s="366"/>
      <c r="D4792" s="366"/>
      <c r="E4792" s="366"/>
      <c r="F4792" s="366"/>
      <c r="G4792" s="580" t="s">
        <v>306</v>
      </c>
      <c r="H4792" s="366"/>
      <c r="I4792" s="366"/>
      <c r="J4792" s="521">
        <f>VLOOKUP(B4783,'Mil Cost Premiums for PUCs'!$A$4:$R$277,18,FALSE)</f>
        <v>1.0209999999999999</v>
      </c>
      <c r="K4792" s="246">
        <f>+K4791*J4792</f>
        <v>13.428277083333334</v>
      </c>
      <c r="L4792" s="365" t="s">
        <v>9</v>
      </c>
      <c r="M4792" s="218"/>
      <c r="O4792" s="336"/>
      <c r="P4792" s="334"/>
      <c r="Q4792" s="335"/>
      <c r="R4792" s="336"/>
      <c r="S4792" s="337"/>
    </row>
    <row r="4793" spans="1:21" ht="30" customHeight="1" thickBot="1" x14ac:dyDescent="0.3">
      <c r="A4793" s="844"/>
      <c r="B4793" s="844"/>
      <c r="C4793" s="471"/>
      <c r="D4793" s="471"/>
      <c r="E4793" s="471"/>
      <c r="F4793" s="1278" t="s">
        <v>1148</v>
      </c>
      <c r="G4793" s="1278"/>
      <c r="H4793" s="1278"/>
      <c r="I4793" s="1278"/>
      <c r="J4793" s="987">
        <v>1.0833999999999999</v>
      </c>
      <c r="K4793" s="1060">
        <f>K4792*J4793</f>
        <v>14.548195392083333</v>
      </c>
      <c r="L4793" s="365" t="s">
        <v>9</v>
      </c>
      <c r="O4793" s="336"/>
      <c r="P4793" s="334"/>
      <c r="Q4793" s="335"/>
      <c r="R4793" s="336"/>
      <c r="S4793" s="337"/>
    </row>
    <row r="4794" spans="1:21" ht="30" customHeight="1" thickBot="1" x14ac:dyDescent="0.3">
      <c r="A4794" s="1180"/>
      <c r="B4794" s="1181"/>
      <c r="C4794" s="1181"/>
      <c r="D4794" s="1181"/>
      <c r="E4794" s="1181"/>
      <c r="F4794" s="1181"/>
      <c r="G4794" s="1181"/>
      <c r="H4794" s="1181"/>
      <c r="I4794" s="1181"/>
      <c r="J4794" s="1181"/>
      <c r="K4794" s="1181"/>
      <c r="L4794" s="1182"/>
      <c r="O4794" s="336"/>
      <c r="P4794" s="334"/>
      <c r="Q4794" s="335"/>
      <c r="R4794" s="336"/>
      <c r="S4794" s="337"/>
    </row>
    <row r="4795" spans="1:21" ht="30" customHeight="1" x14ac:dyDescent="0.25">
      <c r="A4795" s="327" t="s">
        <v>5</v>
      </c>
      <c r="B4795" s="328">
        <v>8523</v>
      </c>
      <c r="C4795" s="1294" t="s">
        <v>2628</v>
      </c>
      <c r="D4795" s="1295"/>
      <c r="E4795" s="331" t="s">
        <v>8</v>
      </c>
      <c r="F4795" s="332" t="s">
        <v>9</v>
      </c>
      <c r="G4795" s="342" t="s">
        <v>74</v>
      </c>
      <c r="H4795" s="176">
        <v>9159</v>
      </c>
      <c r="I4795" s="331" t="s">
        <v>10</v>
      </c>
      <c r="J4795" s="1220" t="s">
        <v>3388</v>
      </c>
      <c r="K4795" s="1220"/>
      <c r="L4795" s="1221"/>
      <c r="M4795" s="54"/>
      <c r="N4795" s="10"/>
      <c r="O4795" s="336"/>
      <c r="P4795" s="334"/>
      <c r="Q4795" s="335"/>
      <c r="R4795" s="336"/>
      <c r="S4795" s="337"/>
    </row>
    <row r="4796" spans="1:21" ht="30" customHeight="1" x14ac:dyDescent="0.25">
      <c r="A4796" s="356" t="s">
        <v>295</v>
      </c>
      <c r="B4796" s="1322" t="s">
        <v>326</v>
      </c>
      <c r="C4796" s="1323"/>
      <c r="D4796" s="1324"/>
      <c r="E4796" s="934" t="s">
        <v>116</v>
      </c>
      <c r="F4796" s="934" t="s">
        <v>117</v>
      </c>
      <c r="G4796" s="1614" t="s">
        <v>118</v>
      </c>
      <c r="H4796" s="1615"/>
      <c r="I4796" s="356" t="s">
        <v>296</v>
      </c>
      <c r="J4796" s="356"/>
      <c r="K4796" s="1236" t="s">
        <v>285</v>
      </c>
      <c r="L4796" s="1237"/>
      <c r="N4796" s="130"/>
      <c r="O4796" s="336"/>
      <c r="P4796" s="334"/>
      <c r="Q4796" s="335"/>
      <c r="R4796" s="336"/>
      <c r="S4796" s="337"/>
    </row>
    <row r="4797" spans="1:21" ht="30" customHeight="1" x14ac:dyDescent="0.25">
      <c r="A4797" s="365" t="s">
        <v>529</v>
      </c>
      <c r="B4797" s="1214" t="s">
        <v>2614</v>
      </c>
      <c r="C4797" s="1215"/>
      <c r="D4797" s="1216"/>
      <c r="E4797" s="716">
        <v>84.5</v>
      </c>
      <c r="F4797" s="534" t="s">
        <v>2615</v>
      </c>
      <c r="G4797" s="689">
        <v>35</v>
      </c>
      <c r="H4797" s="984" t="s">
        <v>2616</v>
      </c>
      <c r="I4797" s="365">
        <v>1.05</v>
      </c>
      <c r="J4797" s="365"/>
      <c r="K4797" s="752">
        <f>+E4797/G4797*I4797</f>
        <v>2.5350000000000001</v>
      </c>
      <c r="L4797" s="396" t="s">
        <v>9</v>
      </c>
      <c r="M4797" s="10"/>
      <c r="O4797" s="336"/>
      <c r="Q4797" s="335"/>
      <c r="R4797" s="336"/>
      <c r="S4797" s="337"/>
    </row>
    <row r="4798" spans="1:21" ht="30" customHeight="1" x14ac:dyDescent="0.25">
      <c r="A4798" s="365" t="s">
        <v>529</v>
      </c>
      <c r="B4798" s="1214" t="s">
        <v>2617</v>
      </c>
      <c r="C4798" s="1215"/>
      <c r="D4798" s="1216"/>
      <c r="E4798" s="7">
        <v>171</v>
      </c>
      <c r="F4798" s="534" t="s">
        <v>2615</v>
      </c>
      <c r="G4798" s="689">
        <v>35</v>
      </c>
      <c r="H4798" s="984" t="s">
        <v>2616</v>
      </c>
      <c r="I4798" s="365">
        <v>1.05</v>
      </c>
      <c r="J4798" s="365"/>
      <c r="K4798" s="752">
        <f>+E4798/G4798*I4798</f>
        <v>5.1300000000000008</v>
      </c>
      <c r="L4798" s="396" t="s">
        <v>9</v>
      </c>
      <c r="M4798" s="10"/>
      <c r="O4798" s="336"/>
      <c r="Q4798" s="335"/>
      <c r="R4798" s="336"/>
      <c r="S4798" s="337"/>
      <c r="U4798" s="10"/>
    </row>
    <row r="4799" spans="1:21" ht="30" customHeight="1" x14ac:dyDescent="0.25">
      <c r="A4799" s="365" t="s">
        <v>529</v>
      </c>
      <c r="B4799" s="1214" t="s">
        <v>2618</v>
      </c>
      <c r="C4799" s="1215"/>
      <c r="D4799" s="1216"/>
      <c r="E4799" s="7">
        <v>740</v>
      </c>
      <c r="F4799" s="534" t="s">
        <v>2615</v>
      </c>
      <c r="G4799" s="689">
        <v>35</v>
      </c>
      <c r="H4799" s="984" t="s">
        <v>2616</v>
      </c>
      <c r="I4799" s="365">
        <v>1.05</v>
      </c>
      <c r="J4799" s="365"/>
      <c r="K4799" s="752">
        <f>+E4799/G4799*I4799</f>
        <v>22.2</v>
      </c>
      <c r="L4799" s="396" t="s">
        <v>9</v>
      </c>
      <c r="O4799" s="336"/>
      <c r="Q4799" s="335"/>
      <c r="R4799" s="336"/>
      <c r="S4799" s="337"/>
      <c r="U4799" s="10"/>
    </row>
    <row r="4800" spans="1:21" ht="30" customHeight="1" x14ac:dyDescent="0.25">
      <c r="A4800" s="366"/>
      <c r="B4800" s="1269" t="s">
        <v>2621</v>
      </c>
      <c r="C4800" s="1269"/>
      <c r="D4800" s="1269"/>
      <c r="E4800" s="247"/>
      <c r="F4800" s="365"/>
      <c r="G4800" s="365"/>
      <c r="H4800" s="365"/>
      <c r="I4800" s="365"/>
      <c r="J4800" s="365" t="s">
        <v>343</v>
      </c>
      <c r="K4800" s="259">
        <f>SUM(K4797:K4799)</f>
        <v>29.865000000000002</v>
      </c>
      <c r="L4800" s="365" t="s">
        <v>9</v>
      </c>
      <c r="O4800" s="336"/>
      <c r="T4800" s="10"/>
      <c r="U4800" s="10"/>
    </row>
    <row r="4801" spans="1:21" ht="30" customHeight="1" x14ac:dyDescent="0.25">
      <c r="A4801" s="365"/>
      <c r="B4801" s="578"/>
      <c r="C4801" s="578"/>
      <c r="D4801" s="578"/>
      <c r="E4801" s="247"/>
      <c r="F4801" s="1272" t="s">
        <v>303</v>
      </c>
      <c r="G4801" s="1283" t="s">
        <v>304</v>
      </c>
      <c r="H4801" s="1283"/>
      <c r="I4801" s="1283"/>
      <c r="J4801" s="1283"/>
      <c r="K4801" s="250">
        <v>1.07</v>
      </c>
      <c r="L4801" s="365"/>
      <c r="N4801" s="54"/>
      <c r="O4801" s="336"/>
      <c r="T4801" s="10"/>
      <c r="U4801" s="60"/>
    </row>
    <row r="4802" spans="1:21" ht="30" customHeight="1" x14ac:dyDescent="0.25">
      <c r="A4802" s="365"/>
      <c r="B4802" s="578"/>
      <c r="C4802" s="578"/>
      <c r="D4802" s="578"/>
      <c r="E4802" s="247"/>
      <c r="F4802" s="1273"/>
      <c r="G4802" s="1284" t="s">
        <v>438</v>
      </c>
      <c r="H4802" s="1284"/>
      <c r="I4802" s="1284"/>
      <c r="J4802" s="1284"/>
      <c r="K4802" s="250">
        <v>1.08</v>
      </c>
      <c r="L4802" s="365"/>
      <c r="M4802" s="219"/>
      <c r="O4802" s="336"/>
      <c r="T4802" s="10"/>
      <c r="U4802" s="10"/>
    </row>
    <row r="4803" spans="1:21" ht="30" customHeight="1" x14ac:dyDescent="0.25">
      <c r="A4803" s="366"/>
      <c r="B4803" s="365"/>
      <c r="C4803" s="366"/>
      <c r="D4803" s="366"/>
      <c r="E4803" s="366"/>
      <c r="F4803" s="366"/>
      <c r="G4803" s="366"/>
      <c r="H4803" s="366"/>
      <c r="I4803" s="366"/>
      <c r="J4803" s="365" t="s">
        <v>72</v>
      </c>
      <c r="K4803" s="246">
        <f>+K4800*K4801/K4802</f>
        <v>29.588472222222222</v>
      </c>
      <c r="L4803" s="365" t="s">
        <v>9</v>
      </c>
      <c r="M4803" s="219"/>
      <c r="O4803" s="336"/>
      <c r="T4803" s="60"/>
      <c r="U4803" s="10"/>
    </row>
    <row r="4804" spans="1:21" ht="30" customHeight="1" x14ac:dyDescent="0.25">
      <c r="A4804" s="366"/>
      <c r="B4804" s="365"/>
      <c r="C4804" s="366"/>
      <c r="D4804" s="366"/>
      <c r="E4804" s="366"/>
      <c r="F4804" s="366"/>
      <c r="G4804" s="398" t="s">
        <v>414</v>
      </c>
      <c r="H4804" s="366"/>
      <c r="I4804" s="366"/>
      <c r="J4804" s="521">
        <f>VLOOKUP(B4795,'Mil Cost Premiums for PUCs'!$A$4:$R$277,18,FALSE)</f>
        <v>1.1199953840399997</v>
      </c>
      <c r="K4804" s="246">
        <f>+K4803*J4804</f>
        <v>33.13895230968464</v>
      </c>
      <c r="L4804" s="365" t="s">
        <v>9</v>
      </c>
      <c r="O4804" s="336"/>
      <c r="T4804" s="10"/>
      <c r="U4804" s="10"/>
    </row>
    <row r="4805" spans="1:21" ht="30" customHeight="1" x14ac:dyDescent="0.25">
      <c r="A4805" s="844"/>
      <c r="B4805" s="844"/>
      <c r="C4805" s="471"/>
      <c r="D4805" s="471"/>
      <c r="E4805" s="471"/>
      <c r="F4805" s="1278" t="s">
        <v>1148</v>
      </c>
      <c r="G4805" s="1278"/>
      <c r="H4805" s="1278"/>
      <c r="I4805" s="1278"/>
      <c r="J4805" s="987">
        <v>1.0833999999999999</v>
      </c>
      <c r="K4805" s="1060">
        <f>K4804*J4805</f>
        <v>35.902740932312334</v>
      </c>
      <c r="L4805" s="365" t="s">
        <v>9</v>
      </c>
      <c r="O4805" s="336"/>
      <c r="P4805" s="334"/>
      <c r="Q4805" s="335"/>
      <c r="R4805" s="336"/>
      <c r="S4805" s="337"/>
    </row>
    <row r="4806" spans="1:21" ht="75" customHeight="1" x14ac:dyDescent="0.25">
      <c r="A4806" s="1230" t="s">
        <v>307</v>
      </c>
      <c r="B4806" s="1231"/>
      <c r="C4806" s="1231"/>
      <c r="D4806" s="1231"/>
      <c r="E4806" s="1231"/>
      <c r="F4806" s="1231"/>
      <c r="G4806" s="1231"/>
      <c r="H4806" s="1231"/>
      <c r="I4806" s="1231"/>
      <c r="J4806" s="1231"/>
      <c r="K4806" s="1231"/>
      <c r="L4806" s="1232"/>
      <c r="N4806" s="10"/>
      <c r="O4806" s="336"/>
      <c r="T4806" s="10"/>
      <c r="U4806" s="10"/>
    </row>
    <row r="4807" spans="1:21" ht="30" customHeight="1" x14ac:dyDescent="0.25">
      <c r="A4807" s="1230" t="s">
        <v>308</v>
      </c>
      <c r="B4807" s="1231"/>
      <c r="C4807" s="1232"/>
      <c r="D4807" s="1230" t="s">
        <v>2622</v>
      </c>
      <c r="E4807" s="1231"/>
      <c r="F4807" s="1231"/>
      <c r="G4807" s="1231"/>
      <c r="H4807" s="1231"/>
      <c r="I4807" s="1231"/>
      <c r="J4807" s="1231"/>
      <c r="K4807" s="1231"/>
      <c r="L4807" s="1232"/>
      <c r="N4807" s="10"/>
      <c r="O4807" s="336"/>
      <c r="T4807" s="10"/>
      <c r="U4807" s="10"/>
    </row>
    <row r="4808" spans="1:21" ht="30" customHeight="1" x14ac:dyDescent="0.25">
      <c r="A4808" s="1230" t="s">
        <v>310</v>
      </c>
      <c r="B4808" s="1231"/>
      <c r="C4808" s="1232"/>
      <c r="D4808" s="1230" t="s">
        <v>2623</v>
      </c>
      <c r="E4808" s="1231"/>
      <c r="F4808" s="1231"/>
      <c r="G4808" s="1231"/>
      <c r="H4808" s="1231"/>
      <c r="I4808" s="1231"/>
      <c r="J4808" s="1231"/>
      <c r="K4808" s="1231"/>
      <c r="L4808" s="1232"/>
      <c r="O4808" s="336"/>
      <c r="T4808" s="10"/>
      <c r="U4808" s="10"/>
    </row>
    <row r="4809" spans="1:21" ht="30" customHeight="1" x14ac:dyDescent="0.25">
      <c r="A4809" s="1230" t="s">
        <v>312</v>
      </c>
      <c r="B4809" s="1231"/>
      <c r="C4809" s="1232"/>
      <c r="D4809" s="1230" t="s">
        <v>2629</v>
      </c>
      <c r="E4809" s="1231"/>
      <c r="F4809" s="1231"/>
      <c r="G4809" s="1231"/>
      <c r="H4809" s="1231"/>
      <c r="I4809" s="1231"/>
      <c r="J4809" s="1231"/>
      <c r="K4809" s="1231"/>
      <c r="L4809" s="1232"/>
      <c r="P4809" s="61"/>
      <c r="T4809" s="10"/>
      <c r="U4809" s="10"/>
    </row>
    <row r="4810" spans="1:21" ht="30" customHeight="1" x14ac:dyDescent="0.25">
      <c r="A4810" s="1230" t="s">
        <v>314</v>
      </c>
      <c r="B4810" s="1231"/>
      <c r="C4810" s="1232"/>
      <c r="D4810" s="1230" t="s">
        <v>2630</v>
      </c>
      <c r="E4810" s="1231"/>
      <c r="F4810" s="1231"/>
      <c r="G4810" s="1231"/>
      <c r="H4810" s="1231"/>
      <c r="I4810" s="1231"/>
      <c r="J4810" s="1231"/>
      <c r="K4810" s="1231"/>
      <c r="L4810" s="1232"/>
      <c r="T4810" s="10"/>
      <c r="U4810" s="10"/>
    </row>
    <row r="4811" spans="1:21" ht="30" customHeight="1" x14ac:dyDescent="0.25">
      <c r="A4811" s="1230" t="s">
        <v>316</v>
      </c>
      <c r="B4811" s="1231"/>
      <c r="C4811" s="1232"/>
      <c r="D4811" s="1230" t="s">
        <v>2609</v>
      </c>
      <c r="E4811" s="1231"/>
      <c r="F4811" s="1231"/>
      <c r="G4811" s="1231"/>
      <c r="H4811" s="1231"/>
      <c r="I4811" s="1231"/>
      <c r="J4811" s="1231"/>
      <c r="K4811" s="1231"/>
      <c r="L4811" s="1232"/>
      <c r="M4811" s="10"/>
      <c r="T4811" s="10"/>
      <c r="U4811" s="10"/>
    </row>
    <row r="4812" spans="1:21" ht="30" customHeight="1" x14ac:dyDescent="0.25">
      <c r="A4812" s="1230" t="s">
        <v>318</v>
      </c>
      <c r="B4812" s="1231"/>
      <c r="C4812" s="1232"/>
      <c r="D4812" s="1230" t="s">
        <v>2250</v>
      </c>
      <c r="E4812" s="1231"/>
      <c r="F4812" s="1231"/>
      <c r="G4812" s="1231"/>
      <c r="H4812" s="1231"/>
      <c r="I4812" s="1231"/>
      <c r="J4812" s="1231"/>
      <c r="K4812" s="1231"/>
      <c r="L4812" s="1232"/>
      <c r="M4812" s="217"/>
      <c r="N4812" s="54"/>
      <c r="T4812" s="10"/>
      <c r="U4812" s="10"/>
    </row>
    <row r="4813" spans="1:21" ht="30" customHeight="1" x14ac:dyDescent="0.25">
      <c r="A4813" s="1230" t="s">
        <v>320</v>
      </c>
      <c r="B4813" s="1231"/>
      <c r="C4813" s="1232"/>
      <c r="D4813" s="1230" t="s">
        <v>2626</v>
      </c>
      <c r="E4813" s="1231"/>
      <c r="F4813" s="1231"/>
      <c r="G4813" s="1231"/>
      <c r="H4813" s="1231"/>
      <c r="I4813" s="1231"/>
      <c r="J4813" s="1231"/>
      <c r="K4813" s="1231"/>
      <c r="L4813" s="1232"/>
      <c r="O4813" s="373"/>
      <c r="T4813" s="10"/>
      <c r="U4813" s="10"/>
    </row>
    <row r="4814" spans="1:21" ht="30" customHeight="1" x14ac:dyDescent="0.25">
      <c r="A4814" s="1230" t="s">
        <v>322</v>
      </c>
      <c r="B4814" s="1231"/>
      <c r="C4814" s="1232"/>
      <c r="D4814" s="1230" t="s">
        <v>323</v>
      </c>
      <c r="E4814" s="1231"/>
      <c r="F4814" s="1231"/>
      <c r="G4814" s="1231"/>
      <c r="H4814" s="1231"/>
      <c r="I4814" s="1231"/>
      <c r="J4814" s="1231"/>
      <c r="K4814" s="1231"/>
      <c r="L4814" s="1232"/>
      <c r="O4814" s="867"/>
      <c r="T4814" s="10"/>
      <c r="U4814" s="10"/>
    </row>
    <row r="4815" spans="1:21" ht="45" customHeight="1" thickBot="1" x14ac:dyDescent="0.3">
      <c r="A4815" s="1291" t="s">
        <v>350</v>
      </c>
      <c r="B4815" s="1292"/>
      <c r="C4815" s="1293"/>
      <c r="D4815" s="1291" t="s">
        <v>3458</v>
      </c>
      <c r="E4815" s="1292"/>
      <c r="F4815" s="1292"/>
      <c r="G4815" s="1292"/>
      <c r="H4815" s="1292"/>
      <c r="I4815" s="1292"/>
      <c r="J4815" s="1292"/>
      <c r="K4815" s="1292"/>
      <c r="L4815" s="1293"/>
      <c r="T4815" s="10"/>
    </row>
    <row r="4816" spans="1:21" ht="30" customHeight="1" thickBot="1" x14ac:dyDescent="0.3">
      <c r="A4816" s="1180"/>
      <c r="B4816" s="1181"/>
      <c r="C4816" s="1181"/>
      <c r="D4816" s="1181"/>
      <c r="E4816" s="1181"/>
      <c r="F4816" s="1181"/>
      <c r="G4816" s="1181"/>
      <c r="H4816" s="1181"/>
      <c r="I4816" s="1181"/>
      <c r="J4816" s="1181"/>
      <c r="K4816" s="1181"/>
      <c r="L4816" s="1182"/>
      <c r="P4816" s="334"/>
      <c r="T4816" s="10"/>
    </row>
    <row r="4817" spans="1:19" ht="30" customHeight="1" x14ac:dyDescent="0.25">
      <c r="A4817" s="327" t="s">
        <v>5</v>
      </c>
      <c r="B4817" s="328">
        <v>8524</v>
      </c>
      <c r="C4817" s="1294" t="s">
        <v>2631</v>
      </c>
      <c r="D4817" s="1295"/>
      <c r="E4817" s="331" t="s">
        <v>8</v>
      </c>
      <c r="F4817" s="332" t="s">
        <v>9</v>
      </c>
      <c r="G4817" s="342" t="s">
        <v>74</v>
      </c>
      <c r="H4817" s="156">
        <v>4149</v>
      </c>
      <c r="I4817" s="331" t="s">
        <v>10</v>
      </c>
      <c r="J4817" s="1220" t="s">
        <v>3388</v>
      </c>
      <c r="K4817" s="1220"/>
      <c r="L4817" s="1221"/>
      <c r="M4817" s="54"/>
      <c r="P4817" s="334"/>
    </row>
    <row r="4818" spans="1:19" ht="30" customHeight="1" x14ac:dyDescent="0.25">
      <c r="A4818" s="359" t="s">
        <v>295</v>
      </c>
      <c r="B4818" s="1222" t="s">
        <v>326</v>
      </c>
      <c r="C4818" s="1235"/>
      <c r="D4818" s="1223"/>
      <c r="E4818" s="577" t="s">
        <v>116</v>
      </c>
      <c r="F4818" s="577" t="s">
        <v>117</v>
      </c>
      <c r="G4818" s="1194" t="s">
        <v>118</v>
      </c>
      <c r="H4818" s="1195"/>
      <c r="I4818" s="356" t="s">
        <v>296</v>
      </c>
      <c r="J4818" s="356"/>
      <c r="K4818" s="1236" t="s">
        <v>285</v>
      </c>
      <c r="L4818" s="1237"/>
      <c r="P4818" s="334"/>
    </row>
    <row r="4819" spans="1:19" ht="30" customHeight="1" x14ac:dyDescent="0.25">
      <c r="A4819" s="365" t="s">
        <v>684</v>
      </c>
      <c r="B4819" s="1209" t="s">
        <v>2632</v>
      </c>
      <c r="C4819" s="1210"/>
      <c r="D4819" s="1211"/>
      <c r="E4819" s="7">
        <f>+(4.86+7.37)/2</f>
        <v>6.1150000000000002</v>
      </c>
      <c r="F4819" s="396" t="s">
        <v>205</v>
      </c>
      <c r="G4819" s="20">
        <v>9</v>
      </c>
      <c r="H4819" s="690" t="s">
        <v>584</v>
      </c>
      <c r="I4819" s="365">
        <v>1.05</v>
      </c>
      <c r="J4819" s="396"/>
      <c r="K4819" s="246">
        <f>+E4819*G4819*I4819</f>
        <v>57.786750000000005</v>
      </c>
      <c r="L4819" s="396" t="s">
        <v>9</v>
      </c>
      <c r="P4819" s="334"/>
      <c r="Q4819" s="335"/>
      <c r="R4819" s="336"/>
      <c r="S4819" s="337"/>
    </row>
    <row r="4820" spans="1:19" ht="30" customHeight="1" x14ac:dyDescent="0.25">
      <c r="A4820" s="365"/>
      <c r="B4820" s="578"/>
      <c r="C4820" s="578"/>
      <c r="D4820" s="578"/>
      <c r="E4820" s="247"/>
      <c r="F4820" s="1272" t="s">
        <v>303</v>
      </c>
      <c r="G4820" s="1283" t="s">
        <v>304</v>
      </c>
      <c r="H4820" s="1283"/>
      <c r="I4820" s="1283"/>
      <c r="J4820" s="1283"/>
      <c r="K4820" s="250">
        <v>1.07</v>
      </c>
      <c r="L4820" s="365"/>
      <c r="P4820" s="334"/>
      <c r="Q4820" s="335"/>
      <c r="R4820" s="336"/>
      <c r="S4820" s="337"/>
    </row>
    <row r="4821" spans="1:19" ht="30" customHeight="1" x14ac:dyDescent="0.25">
      <c r="A4821" s="365"/>
      <c r="B4821" s="578"/>
      <c r="C4821" s="578"/>
      <c r="D4821" s="578"/>
      <c r="E4821" s="247"/>
      <c r="F4821" s="1273"/>
      <c r="G4821" s="1284" t="s">
        <v>438</v>
      </c>
      <c r="H4821" s="1284"/>
      <c r="I4821" s="1284"/>
      <c r="J4821" s="1284"/>
      <c r="K4821" s="250">
        <v>1.08</v>
      </c>
      <c r="L4821" s="365"/>
      <c r="M4821" s="10"/>
      <c r="P4821" s="334"/>
      <c r="Q4821" s="335"/>
      <c r="R4821" s="336"/>
      <c r="S4821" s="337"/>
    </row>
    <row r="4822" spans="1:19" ht="30" customHeight="1" x14ac:dyDescent="0.25">
      <c r="A4822" s="755"/>
      <c r="B4822" s="452"/>
      <c r="C4822" s="587"/>
      <c r="D4822" s="391"/>
      <c r="E4822" s="247"/>
      <c r="F4822" s="396"/>
      <c r="G4822" s="661"/>
      <c r="H4822" s="698"/>
      <c r="I4822" s="365"/>
      <c r="J4822" s="365" t="s">
        <v>72</v>
      </c>
      <c r="K4822" s="246">
        <f>+K4819*K4820/K4821</f>
        <v>57.251687500000003</v>
      </c>
      <c r="L4822" s="365" t="s">
        <v>9</v>
      </c>
      <c r="M4822" s="10"/>
      <c r="P4822" s="334"/>
      <c r="Q4822" s="335"/>
      <c r="R4822" s="336"/>
      <c r="S4822" s="337"/>
    </row>
    <row r="4823" spans="1:19" ht="30" customHeight="1" x14ac:dyDescent="0.25">
      <c r="A4823" s="755"/>
      <c r="B4823" s="366"/>
      <c r="C4823" s="366"/>
      <c r="D4823" s="366"/>
      <c r="E4823" s="247"/>
      <c r="F4823" s="366"/>
      <c r="G4823" s="1061" t="s">
        <v>414</v>
      </c>
      <c r="H4823" s="365"/>
      <c r="I4823" s="365"/>
      <c r="J4823" s="521">
        <f>VLOOKUP(B4817,'Mil Cost Premiums for PUCs'!$A$4:$R$277,18,FALSE)</f>
        <v>1.0209999999999999</v>
      </c>
      <c r="K4823" s="246">
        <f>+K4822*J4823</f>
        <v>58.453972937499998</v>
      </c>
      <c r="L4823" s="365" t="s">
        <v>9</v>
      </c>
      <c r="P4823" s="334"/>
      <c r="Q4823" s="335"/>
      <c r="R4823" s="336"/>
      <c r="S4823" s="337"/>
    </row>
    <row r="4824" spans="1:19" ht="30" customHeight="1" x14ac:dyDescent="0.25">
      <c r="A4824" s="844"/>
      <c r="B4824" s="844"/>
      <c r="C4824" s="471"/>
      <c r="D4824" s="471"/>
      <c r="E4824" s="471"/>
      <c r="F4824" s="1278" t="s">
        <v>1148</v>
      </c>
      <c r="G4824" s="1278"/>
      <c r="H4824" s="1278"/>
      <c r="I4824" s="1278"/>
      <c r="J4824" s="987">
        <v>1.0833999999999999</v>
      </c>
      <c r="K4824" s="1060">
        <f>K4823*J4824</f>
        <v>63.329034280487491</v>
      </c>
      <c r="L4824" s="365" t="s">
        <v>9</v>
      </c>
      <c r="O4824" s="336"/>
      <c r="P4824" s="334"/>
      <c r="Q4824" s="335"/>
      <c r="R4824" s="336"/>
      <c r="S4824" s="337"/>
    </row>
    <row r="4825" spans="1:19" ht="75" customHeight="1" x14ac:dyDescent="0.25">
      <c r="A4825" s="1230" t="s">
        <v>307</v>
      </c>
      <c r="B4825" s="1231"/>
      <c r="C4825" s="1231"/>
      <c r="D4825" s="1231"/>
      <c r="E4825" s="1231"/>
      <c r="F4825" s="1231"/>
      <c r="G4825" s="1231"/>
      <c r="H4825" s="1231"/>
      <c r="I4825" s="1231"/>
      <c r="J4825" s="1231"/>
      <c r="K4825" s="1231"/>
      <c r="L4825" s="1232"/>
      <c r="P4825" s="334"/>
      <c r="Q4825" s="335"/>
      <c r="R4825" s="336"/>
      <c r="S4825" s="337"/>
    </row>
    <row r="4826" spans="1:19" ht="30" customHeight="1" x14ac:dyDescent="0.25">
      <c r="A4826" s="1230" t="s">
        <v>308</v>
      </c>
      <c r="B4826" s="1231"/>
      <c r="C4826" s="1232"/>
      <c r="D4826" s="1230" t="s">
        <v>3459</v>
      </c>
      <c r="E4826" s="1231"/>
      <c r="F4826" s="1231"/>
      <c r="G4826" s="1231"/>
      <c r="H4826" s="1231"/>
      <c r="I4826" s="1231"/>
      <c r="J4826" s="1231"/>
      <c r="K4826" s="1231"/>
      <c r="L4826" s="1232"/>
      <c r="P4826" s="334"/>
      <c r="Q4826" s="335"/>
      <c r="R4826" s="336"/>
      <c r="S4826" s="337"/>
    </row>
    <row r="4827" spans="1:19" ht="30" customHeight="1" x14ac:dyDescent="0.25">
      <c r="A4827" s="1230" t="s">
        <v>310</v>
      </c>
      <c r="B4827" s="1231"/>
      <c r="C4827" s="1232"/>
      <c r="D4827" s="1230" t="s">
        <v>3460</v>
      </c>
      <c r="E4827" s="1231"/>
      <c r="F4827" s="1231"/>
      <c r="G4827" s="1231"/>
      <c r="H4827" s="1231"/>
      <c r="I4827" s="1231"/>
      <c r="J4827" s="1231"/>
      <c r="K4827" s="1231"/>
      <c r="L4827" s="1232"/>
      <c r="P4827" s="334"/>
      <c r="Q4827" s="335"/>
      <c r="R4827" s="336"/>
      <c r="S4827" s="337"/>
    </row>
    <row r="4828" spans="1:19" ht="30" customHeight="1" x14ac:dyDescent="0.25">
      <c r="A4828" s="1230" t="s">
        <v>312</v>
      </c>
      <c r="B4828" s="1231"/>
      <c r="C4828" s="1232"/>
      <c r="D4828" s="1230" t="s">
        <v>2633</v>
      </c>
      <c r="E4828" s="1231"/>
      <c r="F4828" s="1231"/>
      <c r="G4828" s="1231"/>
      <c r="H4828" s="1231"/>
      <c r="I4828" s="1231"/>
      <c r="J4828" s="1231"/>
      <c r="K4828" s="1231"/>
      <c r="L4828" s="1232"/>
      <c r="M4828" s="54"/>
      <c r="O4828" s="336"/>
      <c r="P4828" s="334"/>
      <c r="Q4828" s="335"/>
      <c r="R4828" s="336"/>
      <c r="S4828" s="337"/>
    </row>
    <row r="4829" spans="1:19" ht="30" customHeight="1" x14ac:dyDescent="0.25">
      <c r="A4829" s="1230" t="s">
        <v>314</v>
      </c>
      <c r="B4829" s="1231"/>
      <c r="C4829" s="1232"/>
      <c r="D4829" s="1230" t="s">
        <v>2634</v>
      </c>
      <c r="E4829" s="1231"/>
      <c r="F4829" s="1231"/>
      <c r="G4829" s="1231"/>
      <c r="H4829" s="1231"/>
      <c r="I4829" s="1231"/>
      <c r="J4829" s="1231"/>
      <c r="K4829" s="1231"/>
      <c r="L4829" s="1232"/>
      <c r="O4829" s="336"/>
      <c r="P4829" s="334"/>
      <c r="Q4829" s="335"/>
      <c r="R4829" s="336"/>
      <c r="S4829" s="337"/>
    </row>
    <row r="4830" spans="1:19" ht="30" customHeight="1" x14ac:dyDescent="0.25">
      <c r="A4830" s="1230" t="s">
        <v>316</v>
      </c>
      <c r="B4830" s="1231"/>
      <c r="C4830" s="1232"/>
      <c r="D4830" s="1230" t="s">
        <v>2635</v>
      </c>
      <c r="E4830" s="1231"/>
      <c r="F4830" s="1231"/>
      <c r="G4830" s="1231"/>
      <c r="H4830" s="1231"/>
      <c r="I4830" s="1231"/>
      <c r="J4830" s="1231"/>
      <c r="K4830" s="1231"/>
      <c r="L4830" s="1232"/>
      <c r="P4830" s="334"/>
      <c r="Q4830" s="335"/>
      <c r="R4830" s="336"/>
      <c r="S4830" s="337"/>
    </row>
    <row r="4831" spans="1:19" ht="30" customHeight="1" x14ac:dyDescent="0.25">
      <c r="A4831" s="1230" t="s">
        <v>318</v>
      </c>
      <c r="B4831" s="1231"/>
      <c r="C4831" s="1232"/>
      <c r="D4831" s="1230" t="s">
        <v>2250</v>
      </c>
      <c r="E4831" s="1231"/>
      <c r="F4831" s="1231"/>
      <c r="G4831" s="1231"/>
      <c r="H4831" s="1231"/>
      <c r="I4831" s="1231"/>
      <c r="J4831" s="1231"/>
      <c r="K4831" s="1231"/>
      <c r="L4831" s="1232"/>
      <c r="N4831" s="54"/>
      <c r="O4831" s="336"/>
      <c r="P4831" s="334"/>
      <c r="Q4831" s="335"/>
      <c r="R4831" s="336"/>
      <c r="S4831" s="337"/>
    </row>
    <row r="4832" spans="1:19" ht="30" customHeight="1" x14ac:dyDescent="0.25">
      <c r="A4832" s="1230" t="s">
        <v>320</v>
      </c>
      <c r="B4832" s="1231"/>
      <c r="C4832" s="1232"/>
      <c r="D4832" s="1230" t="s">
        <v>2626</v>
      </c>
      <c r="E4832" s="1231"/>
      <c r="F4832" s="1231"/>
      <c r="G4832" s="1231"/>
      <c r="H4832" s="1231"/>
      <c r="I4832" s="1231"/>
      <c r="J4832" s="1231"/>
      <c r="K4832" s="1231"/>
      <c r="L4832" s="1232"/>
      <c r="O4832" s="867"/>
      <c r="P4832" s="334"/>
      <c r="Q4832" s="335"/>
      <c r="R4832" s="336"/>
      <c r="S4832" s="337"/>
    </row>
    <row r="4833" spans="1:19" ht="30" customHeight="1" x14ac:dyDescent="0.25">
      <c r="A4833" s="1230" t="s">
        <v>322</v>
      </c>
      <c r="B4833" s="1231"/>
      <c r="C4833" s="1232"/>
      <c r="D4833" s="1230" t="s">
        <v>323</v>
      </c>
      <c r="E4833" s="1231"/>
      <c r="F4833" s="1231"/>
      <c r="G4833" s="1231"/>
      <c r="H4833" s="1231"/>
      <c r="I4833" s="1231"/>
      <c r="J4833" s="1231"/>
      <c r="K4833" s="1231"/>
      <c r="L4833" s="1232"/>
      <c r="O4833" s="336"/>
      <c r="P4833" s="334"/>
      <c r="Q4833" s="335"/>
      <c r="R4833" s="336"/>
      <c r="S4833" s="337"/>
    </row>
    <row r="4834" spans="1:19" ht="30" customHeight="1" thickBot="1" x14ac:dyDescent="0.3">
      <c r="A4834" s="1291" t="s">
        <v>350</v>
      </c>
      <c r="B4834" s="1292"/>
      <c r="C4834" s="1293"/>
      <c r="D4834" s="1291" t="s">
        <v>3461</v>
      </c>
      <c r="E4834" s="1292"/>
      <c r="F4834" s="1292"/>
      <c r="G4834" s="1292"/>
      <c r="H4834" s="1292"/>
      <c r="I4834" s="1292"/>
      <c r="J4834" s="1292"/>
      <c r="K4834" s="1292"/>
      <c r="L4834" s="1293"/>
      <c r="N4834" s="131"/>
      <c r="O4834" s="336"/>
      <c r="P4834" s="334"/>
      <c r="Q4834" s="335"/>
      <c r="R4834" s="336"/>
      <c r="S4834" s="337"/>
    </row>
    <row r="4835" spans="1:19" ht="30" customHeight="1" thickBot="1" x14ac:dyDescent="0.3">
      <c r="A4835" s="1180"/>
      <c r="B4835" s="1181"/>
      <c r="C4835" s="1181"/>
      <c r="D4835" s="1181"/>
      <c r="E4835" s="1181"/>
      <c r="F4835" s="1181"/>
      <c r="G4835" s="1181"/>
      <c r="H4835" s="1181"/>
      <c r="I4835" s="1181"/>
      <c r="J4835" s="1181"/>
      <c r="K4835" s="1181"/>
      <c r="L4835" s="1182"/>
      <c r="O4835" s="336"/>
      <c r="P4835" s="334"/>
      <c r="Q4835" s="335"/>
      <c r="R4835" s="336"/>
      <c r="S4835" s="337"/>
    </row>
    <row r="4836" spans="1:19" ht="30" customHeight="1" x14ac:dyDescent="0.25">
      <c r="A4836" s="327" t="s">
        <v>5</v>
      </c>
      <c r="B4836" s="328">
        <v>8525</v>
      </c>
      <c r="C4836" s="329" t="s">
        <v>2636</v>
      </c>
      <c r="D4836" s="330"/>
      <c r="E4836" s="331" t="s">
        <v>8</v>
      </c>
      <c r="F4836" s="332" t="s">
        <v>9</v>
      </c>
      <c r="G4836" s="342" t="s">
        <v>74</v>
      </c>
      <c r="H4836" s="190">
        <v>107</v>
      </c>
      <c r="I4836" s="331" t="s">
        <v>10</v>
      </c>
      <c r="J4836" s="1220" t="s">
        <v>3388</v>
      </c>
      <c r="K4836" s="1220"/>
      <c r="L4836" s="1221"/>
      <c r="O4836" s="336"/>
      <c r="P4836" s="334"/>
      <c r="Q4836" s="335"/>
      <c r="R4836" s="336"/>
      <c r="S4836" s="337"/>
    </row>
    <row r="4837" spans="1:19" ht="30" customHeight="1" x14ac:dyDescent="0.25">
      <c r="A4837" s="356" t="s">
        <v>295</v>
      </c>
      <c r="B4837" s="936" t="s">
        <v>326</v>
      </c>
      <c r="C4837" s="937"/>
      <c r="D4837" s="938"/>
      <c r="E4837" s="934" t="s">
        <v>116</v>
      </c>
      <c r="F4837" s="934" t="s">
        <v>117</v>
      </c>
      <c r="G4837" s="1062" t="s">
        <v>118</v>
      </c>
      <c r="H4837" s="812"/>
      <c r="I4837" s="356" t="s">
        <v>296</v>
      </c>
      <c r="J4837" s="356"/>
      <c r="K4837" s="1236" t="s">
        <v>285</v>
      </c>
      <c r="L4837" s="1237"/>
      <c r="O4837" s="336"/>
      <c r="P4837" s="334"/>
      <c r="Q4837" s="335"/>
      <c r="R4837" s="336"/>
      <c r="S4837" s="337"/>
    </row>
    <row r="4838" spans="1:19" ht="30" customHeight="1" x14ac:dyDescent="0.25">
      <c r="A4838" s="365" t="s">
        <v>529</v>
      </c>
      <c r="B4838" s="1209" t="s">
        <v>2637</v>
      </c>
      <c r="C4838" s="1210"/>
      <c r="D4838" s="1211"/>
      <c r="E4838" s="7">
        <f>+(73.5+421)/2</f>
        <v>247.25</v>
      </c>
      <c r="F4838" s="396" t="s">
        <v>205</v>
      </c>
      <c r="G4838" s="20">
        <v>9</v>
      </c>
      <c r="H4838" s="690" t="s">
        <v>584</v>
      </c>
      <c r="I4838" s="365">
        <v>1.05</v>
      </c>
      <c r="J4838" s="396"/>
      <c r="K4838" s="246">
        <f>+E4838*G4838*I4838</f>
        <v>2336.5125000000003</v>
      </c>
      <c r="L4838" s="396" t="s">
        <v>9</v>
      </c>
      <c r="O4838" s="336"/>
      <c r="P4838" s="334"/>
      <c r="Q4838" s="335"/>
      <c r="R4838" s="336"/>
      <c r="S4838" s="337"/>
    </row>
    <row r="4839" spans="1:19" ht="30" customHeight="1" x14ac:dyDescent="0.25">
      <c r="A4839" s="365"/>
      <c r="B4839" s="578"/>
      <c r="C4839" s="578"/>
      <c r="D4839" s="578"/>
      <c r="E4839" s="247"/>
      <c r="F4839" s="1272" t="s">
        <v>303</v>
      </c>
      <c r="G4839" s="1283" t="s">
        <v>304</v>
      </c>
      <c r="H4839" s="1283"/>
      <c r="I4839" s="1283"/>
      <c r="J4839" s="1283"/>
      <c r="K4839" s="250">
        <v>1.07</v>
      </c>
      <c r="L4839" s="365"/>
      <c r="N4839" s="10"/>
      <c r="O4839" s="336"/>
      <c r="P4839" s="334"/>
      <c r="Q4839" s="335"/>
      <c r="R4839" s="336"/>
      <c r="S4839" s="337"/>
    </row>
    <row r="4840" spans="1:19" ht="30" customHeight="1" x14ac:dyDescent="0.25">
      <c r="A4840" s="365"/>
      <c r="B4840" s="578"/>
      <c r="C4840" s="578"/>
      <c r="D4840" s="578"/>
      <c r="E4840" s="247"/>
      <c r="F4840" s="1273"/>
      <c r="G4840" s="1284" t="s">
        <v>585</v>
      </c>
      <c r="H4840" s="1284"/>
      <c r="I4840" s="1284"/>
      <c r="J4840" s="1284"/>
      <c r="K4840" s="250">
        <v>1.08</v>
      </c>
      <c r="L4840" s="365"/>
      <c r="N4840" s="10"/>
      <c r="O4840" s="336"/>
      <c r="P4840" s="334"/>
      <c r="Q4840" s="335"/>
      <c r="R4840" s="336"/>
      <c r="S4840" s="337"/>
    </row>
    <row r="4841" spans="1:19" ht="30" customHeight="1" x14ac:dyDescent="0.25">
      <c r="A4841" s="755"/>
      <c r="B4841" s="452"/>
      <c r="C4841" s="587"/>
      <c r="D4841" s="391"/>
      <c r="E4841" s="247"/>
      <c r="F4841" s="396"/>
      <c r="G4841" s="661"/>
      <c r="H4841" s="698"/>
      <c r="I4841" s="365"/>
      <c r="J4841" s="365" t="s">
        <v>72</v>
      </c>
      <c r="K4841" s="246">
        <f>+K4838*K4839/K4840</f>
        <v>2314.8781250000002</v>
      </c>
      <c r="L4841" s="365" t="s">
        <v>9</v>
      </c>
      <c r="O4841" s="336"/>
      <c r="P4841" s="334"/>
      <c r="Q4841" s="335"/>
      <c r="R4841" s="336"/>
      <c r="S4841" s="337"/>
    </row>
    <row r="4842" spans="1:19" ht="30" customHeight="1" x14ac:dyDescent="0.25">
      <c r="A4842" s="755"/>
      <c r="B4842" s="366"/>
      <c r="C4842" s="366"/>
      <c r="D4842" s="366"/>
      <c r="E4842" s="247"/>
      <c r="F4842" s="365"/>
      <c r="G4842" s="1063" t="s">
        <v>414</v>
      </c>
      <c r="H4842" s="365"/>
      <c r="I4842" s="365"/>
      <c r="J4842" s="521">
        <f>VLOOKUP(B4836,'Mil Cost Premiums for PUCs'!$A$4:$R$277,18,FALSE)</f>
        <v>1.0905505199999999</v>
      </c>
      <c r="K4842" s="246">
        <f>+K4841*J4842</f>
        <v>2524.4915429553748</v>
      </c>
      <c r="L4842" s="365" t="s">
        <v>9</v>
      </c>
      <c r="O4842" s="336"/>
      <c r="P4842" s="334"/>
      <c r="Q4842" s="335"/>
      <c r="R4842" s="336"/>
      <c r="S4842" s="337"/>
    </row>
    <row r="4843" spans="1:19" ht="30" customHeight="1" x14ac:dyDescent="0.25">
      <c r="A4843" s="844"/>
      <c r="B4843" s="844"/>
      <c r="C4843" s="471"/>
      <c r="D4843" s="471"/>
      <c r="E4843" s="471"/>
      <c r="F4843" s="1278" t="s">
        <v>1148</v>
      </c>
      <c r="G4843" s="1278"/>
      <c r="H4843" s="1278"/>
      <c r="I4843" s="1278"/>
      <c r="J4843" s="987">
        <v>1.0833999999999999</v>
      </c>
      <c r="K4843" s="1060">
        <f>K4842*J4843</f>
        <v>2735.0341376378528</v>
      </c>
      <c r="L4843" s="365" t="s">
        <v>9</v>
      </c>
      <c r="O4843" s="336"/>
      <c r="P4843" s="334"/>
      <c r="Q4843" s="335"/>
      <c r="R4843" s="336"/>
      <c r="S4843" s="337"/>
    </row>
    <row r="4844" spans="1:19" ht="75" customHeight="1" x14ac:dyDescent="0.25">
      <c r="A4844" s="1230" t="s">
        <v>307</v>
      </c>
      <c r="B4844" s="1231"/>
      <c r="C4844" s="1231"/>
      <c r="D4844" s="1231"/>
      <c r="E4844" s="1231"/>
      <c r="F4844" s="1231"/>
      <c r="G4844" s="1231"/>
      <c r="H4844" s="1231"/>
      <c r="I4844" s="1231"/>
      <c r="J4844" s="1231"/>
      <c r="K4844" s="1231"/>
      <c r="L4844" s="1232"/>
      <c r="O4844" s="336"/>
      <c r="P4844" s="334"/>
      <c r="Q4844" s="335"/>
      <c r="R4844" s="336"/>
      <c r="S4844" s="337"/>
    </row>
    <row r="4845" spans="1:19" ht="30" customHeight="1" x14ac:dyDescent="0.25">
      <c r="A4845" s="1230" t="s">
        <v>308</v>
      </c>
      <c r="B4845" s="1231"/>
      <c r="C4845" s="1232"/>
      <c r="D4845" s="1230" t="s">
        <v>3462</v>
      </c>
      <c r="E4845" s="1231"/>
      <c r="F4845" s="1231"/>
      <c r="G4845" s="1231"/>
      <c r="H4845" s="1231"/>
      <c r="I4845" s="1231"/>
      <c r="J4845" s="1231"/>
      <c r="K4845" s="1231"/>
      <c r="L4845" s="1232"/>
      <c r="O4845" s="336"/>
      <c r="P4845" s="334"/>
      <c r="Q4845" s="335"/>
      <c r="R4845" s="336"/>
      <c r="S4845" s="337"/>
    </row>
    <row r="4846" spans="1:19" ht="30" customHeight="1" x14ac:dyDescent="0.25">
      <c r="A4846" s="1230" t="s">
        <v>310</v>
      </c>
      <c r="B4846" s="1231"/>
      <c r="C4846" s="1232"/>
      <c r="D4846" s="1230" t="s">
        <v>2606</v>
      </c>
      <c r="E4846" s="1231"/>
      <c r="F4846" s="1231"/>
      <c r="G4846" s="1231"/>
      <c r="H4846" s="1231"/>
      <c r="I4846" s="1231"/>
      <c r="J4846" s="1231"/>
      <c r="K4846" s="1231"/>
      <c r="L4846" s="1232"/>
      <c r="N4846" s="54"/>
      <c r="O4846" s="336"/>
      <c r="P4846" s="334"/>
      <c r="Q4846" s="335"/>
      <c r="R4846" s="336"/>
      <c r="S4846" s="337"/>
    </row>
    <row r="4847" spans="1:19" ht="30" customHeight="1" x14ac:dyDescent="0.25">
      <c r="A4847" s="1230" t="s">
        <v>312</v>
      </c>
      <c r="B4847" s="1231"/>
      <c r="C4847" s="1232"/>
      <c r="D4847" s="1230" t="s">
        <v>2638</v>
      </c>
      <c r="E4847" s="1231"/>
      <c r="F4847" s="1231"/>
      <c r="G4847" s="1231"/>
      <c r="H4847" s="1231"/>
      <c r="I4847" s="1231"/>
      <c r="J4847" s="1231"/>
      <c r="K4847" s="1231"/>
      <c r="L4847" s="1232"/>
      <c r="M4847" s="54"/>
      <c r="O4847" s="336"/>
      <c r="P4847" s="334"/>
      <c r="Q4847" s="335"/>
      <c r="R4847" s="336"/>
      <c r="S4847" s="337"/>
    </row>
    <row r="4848" spans="1:19" ht="30" customHeight="1" x14ac:dyDescent="0.25">
      <c r="A4848" s="1230" t="s">
        <v>314</v>
      </c>
      <c r="B4848" s="1231"/>
      <c r="C4848" s="1232"/>
      <c r="D4848" s="1230" t="s">
        <v>2639</v>
      </c>
      <c r="E4848" s="1231"/>
      <c r="F4848" s="1231"/>
      <c r="G4848" s="1231"/>
      <c r="H4848" s="1231"/>
      <c r="I4848" s="1231"/>
      <c r="J4848" s="1231"/>
      <c r="K4848" s="1231"/>
      <c r="L4848" s="1232"/>
      <c r="O4848" s="336"/>
      <c r="P4848" s="334"/>
      <c r="Q4848" s="335"/>
      <c r="R4848" s="336"/>
      <c r="S4848" s="337"/>
    </row>
    <row r="4849" spans="1:26" ht="30" customHeight="1" x14ac:dyDescent="0.25">
      <c r="A4849" s="1230" t="s">
        <v>316</v>
      </c>
      <c r="B4849" s="1231"/>
      <c r="C4849" s="1232"/>
      <c r="D4849" s="1230" t="s">
        <v>2635</v>
      </c>
      <c r="E4849" s="1231"/>
      <c r="F4849" s="1231"/>
      <c r="G4849" s="1231"/>
      <c r="H4849" s="1231"/>
      <c r="I4849" s="1231"/>
      <c r="J4849" s="1231"/>
      <c r="K4849" s="1231"/>
      <c r="L4849" s="1232"/>
      <c r="O4849" s="336"/>
      <c r="P4849" s="334"/>
      <c r="Q4849" s="335"/>
      <c r="R4849" s="336"/>
      <c r="S4849" s="337"/>
    </row>
    <row r="4850" spans="1:26" ht="30" customHeight="1" x14ac:dyDescent="0.25">
      <c r="A4850" s="1230" t="s">
        <v>318</v>
      </c>
      <c r="B4850" s="1231"/>
      <c r="C4850" s="1232"/>
      <c r="D4850" s="1230" t="s">
        <v>2250</v>
      </c>
      <c r="E4850" s="1231"/>
      <c r="F4850" s="1231"/>
      <c r="G4850" s="1231"/>
      <c r="H4850" s="1231"/>
      <c r="I4850" s="1231"/>
      <c r="J4850" s="1231"/>
      <c r="K4850" s="1231"/>
      <c r="L4850" s="1232"/>
      <c r="M4850" s="218"/>
      <c r="O4850" s="336"/>
      <c r="P4850" s="334"/>
      <c r="Q4850" s="335"/>
      <c r="R4850" s="336"/>
      <c r="S4850" s="337"/>
    </row>
    <row r="4851" spans="1:26" ht="30" customHeight="1" x14ac:dyDescent="0.25">
      <c r="A4851" s="1230" t="s">
        <v>320</v>
      </c>
      <c r="B4851" s="1231"/>
      <c r="C4851" s="1232"/>
      <c r="D4851" s="1230" t="s">
        <v>2531</v>
      </c>
      <c r="E4851" s="1231"/>
      <c r="F4851" s="1231"/>
      <c r="G4851" s="1231"/>
      <c r="H4851" s="1231"/>
      <c r="I4851" s="1231"/>
      <c r="J4851" s="1231"/>
      <c r="K4851" s="1231"/>
      <c r="L4851" s="1232"/>
      <c r="O4851" s="336"/>
      <c r="P4851" s="334"/>
      <c r="Q4851" s="335"/>
      <c r="R4851" s="336"/>
      <c r="S4851" s="337"/>
    </row>
    <row r="4852" spans="1:26" ht="30" customHeight="1" x14ac:dyDescent="0.25">
      <c r="A4852" s="1230" t="s">
        <v>322</v>
      </c>
      <c r="B4852" s="1231"/>
      <c r="C4852" s="1232"/>
      <c r="D4852" s="1230" t="s">
        <v>323</v>
      </c>
      <c r="E4852" s="1231"/>
      <c r="F4852" s="1231"/>
      <c r="G4852" s="1231"/>
      <c r="H4852" s="1231"/>
      <c r="I4852" s="1231"/>
      <c r="J4852" s="1231"/>
      <c r="K4852" s="1231"/>
      <c r="L4852" s="1232"/>
      <c r="O4852" s="336"/>
      <c r="P4852" s="334"/>
      <c r="Q4852" s="335"/>
      <c r="R4852" s="336"/>
      <c r="S4852" s="337"/>
    </row>
    <row r="4853" spans="1:26" ht="45" customHeight="1" thickBot="1" x14ac:dyDescent="0.3">
      <c r="A4853" s="1291" t="s">
        <v>350</v>
      </c>
      <c r="B4853" s="1292"/>
      <c r="C4853" s="1293"/>
      <c r="D4853" s="1291" t="s">
        <v>3463</v>
      </c>
      <c r="E4853" s="1292"/>
      <c r="F4853" s="1292"/>
      <c r="G4853" s="1292"/>
      <c r="H4853" s="1292"/>
      <c r="I4853" s="1292"/>
      <c r="J4853" s="1292"/>
      <c r="K4853" s="1292"/>
      <c r="L4853" s="1293"/>
      <c r="O4853" s="336"/>
      <c r="P4853" s="334"/>
      <c r="Q4853" s="335"/>
      <c r="R4853" s="336"/>
      <c r="S4853" s="337"/>
    </row>
    <row r="4854" spans="1:26" ht="30" customHeight="1" thickBot="1" x14ac:dyDescent="0.3">
      <c r="A4854" s="1180"/>
      <c r="B4854" s="1181"/>
      <c r="C4854" s="1181"/>
      <c r="D4854" s="1181"/>
      <c r="E4854" s="1181"/>
      <c r="F4854" s="1181"/>
      <c r="G4854" s="1181"/>
      <c r="H4854" s="1181"/>
      <c r="I4854" s="1181"/>
      <c r="J4854" s="1181"/>
      <c r="K4854" s="1181"/>
      <c r="L4854" s="1182"/>
      <c r="O4854" s="336"/>
      <c r="P4854" s="334"/>
      <c r="Q4854" s="335"/>
      <c r="R4854" s="336"/>
      <c r="S4854" s="337"/>
    </row>
    <row r="4855" spans="1:26" ht="30" customHeight="1" x14ac:dyDescent="0.25">
      <c r="A4855" s="327" t="s">
        <v>5</v>
      </c>
      <c r="B4855" s="328">
        <v>8526</v>
      </c>
      <c r="C4855" s="1366" t="s">
        <v>2640</v>
      </c>
      <c r="D4855" s="1367"/>
      <c r="E4855" s="331" t="s">
        <v>8</v>
      </c>
      <c r="F4855" s="332" t="s">
        <v>9</v>
      </c>
      <c r="G4855" s="342" t="s">
        <v>74</v>
      </c>
      <c r="H4855" s="156">
        <v>847</v>
      </c>
      <c r="I4855" s="331" t="s">
        <v>10</v>
      </c>
      <c r="J4855" s="1220" t="s">
        <v>3388</v>
      </c>
      <c r="K4855" s="1220"/>
      <c r="L4855" s="1221"/>
      <c r="M4855" s="10"/>
      <c r="N4855" s="54"/>
      <c r="O4855" s="336"/>
      <c r="P4855" s="334"/>
      <c r="Q4855" s="335"/>
      <c r="R4855" s="336"/>
      <c r="S4855" s="337"/>
    </row>
    <row r="4856" spans="1:26" ht="30" customHeight="1" x14ac:dyDescent="0.25">
      <c r="A4856" s="359" t="s">
        <v>295</v>
      </c>
      <c r="B4856" s="1222" t="s">
        <v>326</v>
      </c>
      <c r="C4856" s="1235"/>
      <c r="D4856" s="1223"/>
      <c r="E4856" s="577" t="s">
        <v>116</v>
      </c>
      <c r="F4856" s="577" t="s">
        <v>117</v>
      </c>
      <c r="G4856" s="1194" t="s">
        <v>118</v>
      </c>
      <c r="H4856" s="1195"/>
      <c r="I4856" s="356" t="s">
        <v>296</v>
      </c>
      <c r="J4856" s="356"/>
      <c r="K4856" s="1236" t="s">
        <v>285</v>
      </c>
      <c r="L4856" s="1237"/>
      <c r="M4856" s="10"/>
      <c r="O4856" s="336"/>
      <c r="P4856" s="334"/>
      <c r="Q4856" s="335"/>
      <c r="R4856" s="336"/>
      <c r="S4856" s="337"/>
    </row>
    <row r="4857" spans="1:26" ht="30" customHeight="1" x14ac:dyDescent="0.25">
      <c r="A4857" s="365" t="s">
        <v>529</v>
      </c>
      <c r="B4857" s="1214" t="s">
        <v>2614</v>
      </c>
      <c r="C4857" s="1215"/>
      <c r="D4857" s="1216"/>
      <c r="E4857" s="716">
        <v>84.5</v>
      </c>
      <c r="F4857" s="534" t="s">
        <v>2615</v>
      </c>
      <c r="G4857" s="689">
        <v>35</v>
      </c>
      <c r="H4857" s="354" t="s">
        <v>2641</v>
      </c>
      <c r="I4857" s="365">
        <v>1.05</v>
      </c>
      <c r="J4857" s="365"/>
      <c r="K4857" s="1064">
        <f>+E4857/G4857*I4857</f>
        <v>2.5350000000000001</v>
      </c>
      <c r="L4857" s="396" t="s">
        <v>9</v>
      </c>
      <c r="O4857" s="336"/>
      <c r="P4857" s="334"/>
      <c r="Q4857" s="335"/>
      <c r="R4857" s="336"/>
      <c r="S4857" s="337"/>
    </row>
    <row r="4858" spans="1:26" ht="30" customHeight="1" x14ac:dyDescent="0.25">
      <c r="A4858" s="365" t="s">
        <v>529</v>
      </c>
      <c r="B4858" s="1214" t="s">
        <v>2617</v>
      </c>
      <c r="C4858" s="1215"/>
      <c r="D4858" s="1216"/>
      <c r="E4858" s="7">
        <v>171</v>
      </c>
      <c r="F4858" s="534" t="s">
        <v>2615</v>
      </c>
      <c r="G4858" s="689">
        <v>35</v>
      </c>
      <c r="H4858" s="354" t="s">
        <v>2641</v>
      </c>
      <c r="I4858" s="365">
        <v>1.05</v>
      </c>
      <c r="J4858" s="365"/>
      <c r="K4858" s="1064">
        <f>+E4858/G4858*I4858</f>
        <v>5.1300000000000008</v>
      </c>
      <c r="L4858" s="396" t="s">
        <v>9</v>
      </c>
      <c r="O4858" s="336"/>
      <c r="Q4858" s="335"/>
      <c r="R4858" s="336"/>
      <c r="S4858" s="337"/>
    </row>
    <row r="4859" spans="1:26" ht="30" customHeight="1" x14ac:dyDescent="0.25">
      <c r="A4859" s="365" t="s">
        <v>529</v>
      </c>
      <c r="B4859" s="366" t="s">
        <v>2642</v>
      </c>
      <c r="C4859" s="658"/>
      <c r="D4859" s="659"/>
      <c r="E4859" s="7">
        <v>740</v>
      </c>
      <c r="F4859" s="534" t="s">
        <v>2615</v>
      </c>
      <c r="G4859" s="689">
        <v>35</v>
      </c>
      <c r="H4859" s="354" t="s">
        <v>2641</v>
      </c>
      <c r="I4859" s="365">
        <v>1.05</v>
      </c>
      <c r="J4859" s="365"/>
      <c r="K4859" s="1064">
        <f>+E4859/G4859*I4859</f>
        <v>22.2</v>
      </c>
      <c r="L4859" s="396" t="s">
        <v>9</v>
      </c>
      <c r="O4859" s="336"/>
      <c r="P4859" s="334"/>
      <c r="Q4859" s="335"/>
      <c r="R4859" s="336"/>
      <c r="S4859" s="337"/>
      <c r="U4859" s="340"/>
      <c r="V4859" s="340"/>
      <c r="W4859" s="340"/>
      <c r="X4859" s="340"/>
      <c r="Y4859" s="340"/>
    </row>
    <row r="4860" spans="1:26" ht="30" customHeight="1" x14ac:dyDescent="0.25">
      <c r="A4860" s="366"/>
      <c r="B4860" s="1269" t="s">
        <v>2643</v>
      </c>
      <c r="C4860" s="1269"/>
      <c r="D4860" s="1269"/>
      <c r="E4860" s="247"/>
      <c r="F4860" s="365"/>
      <c r="G4860" s="1375" t="s">
        <v>2644</v>
      </c>
      <c r="H4860" s="1376"/>
      <c r="I4860" s="695"/>
      <c r="J4860" s="365" t="s">
        <v>343</v>
      </c>
      <c r="K4860" s="290">
        <f>SUM(K4857:K4859)</f>
        <v>29.865000000000002</v>
      </c>
      <c r="L4860" s="365" t="s">
        <v>9</v>
      </c>
      <c r="O4860" s="336"/>
      <c r="P4860" s="334"/>
      <c r="Q4860" s="335"/>
      <c r="R4860" s="336"/>
      <c r="S4860" s="337"/>
      <c r="Z4860" s="340"/>
    </row>
    <row r="4861" spans="1:26" ht="30" customHeight="1" x14ac:dyDescent="0.25">
      <c r="A4861" s="365"/>
      <c r="B4861" s="578"/>
      <c r="C4861" s="578"/>
      <c r="D4861" s="578"/>
      <c r="E4861" s="247"/>
      <c r="F4861" s="1272" t="s">
        <v>303</v>
      </c>
      <c r="G4861" s="1283" t="s">
        <v>304</v>
      </c>
      <c r="H4861" s="1283"/>
      <c r="I4861" s="1283"/>
      <c r="J4861" s="1283"/>
      <c r="K4861" s="250">
        <v>1.07</v>
      </c>
      <c r="L4861" s="365"/>
      <c r="M4861" s="54"/>
      <c r="O4861" s="336"/>
      <c r="P4861" s="334"/>
      <c r="Q4861" s="799"/>
      <c r="R4861" s="384"/>
      <c r="S4861" s="800"/>
      <c r="T4861" s="340"/>
    </row>
    <row r="4862" spans="1:26" ht="30" customHeight="1" x14ac:dyDescent="0.25">
      <c r="A4862" s="365"/>
      <c r="B4862" s="578"/>
      <c r="C4862" s="578"/>
      <c r="D4862" s="578"/>
      <c r="E4862" s="247"/>
      <c r="F4862" s="1273"/>
      <c r="G4862" s="1284" t="s">
        <v>438</v>
      </c>
      <c r="H4862" s="1284"/>
      <c r="I4862" s="1284"/>
      <c r="J4862" s="1284"/>
      <c r="K4862" s="250">
        <v>1.08</v>
      </c>
      <c r="L4862" s="365"/>
      <c r="O4862" s="336"/>
      <c r="P4862" s="334"/>
      <c r="Q4862" s="335"/>
      <c r="R4862" s="336"/>
      <c r="S4862" s="337"/>
    </row>
    <row r="4863" spans="1:26" s="340" customFormat="1" ht="30" customHeight="1" x14ac:dyDescent="0.25">
      <c r="A4863" s="366"/>
      <c r="B4863" s="1375"/>
      <c r="C4863" s="1376"/>
      <c r="D4863" s="1377"/>
      <c r="E4863" s="366"/>
      <c r="F4863" s="366"/>
      <c r="G4863" s="366"/>
      <c r="H4863" s="366"/>
      <c r="I4863" s="366"/>
      <c r="J4863" s="365" t="s">
        <v>72</v>
      </c>
      <c r="K4863" s="290">
        <f>+K4860*K4861/K4862</f>
        <v>29.588472222222222</v>
      </c>
      <c r="L4863" s="365" t="s">
        <v>9</v>
      </c>
      <c r="M4863" s="11"/>
      <c r="N4863" s="11"/>
      <c r="O4863" s="336"/>
      <c r="P4863" s="334"/>
      <c r="Q4863" s="335"/>
      <c r="R4863" s="336"/>
      <c r="S4863" s="337"/>
      <c r="T4863" s="334"/>
      <c r="U4863" s="334"/>
      <c r="V4863" s="334"/>
      <c r="W4863" s="334"/>
      <c r="X4863" s="334"/>
      <c r="Y4863" s="334"/>
      <c r="Z4863" s="334"/>
    </row>
    <row r="4864" spans="1:26" ht="30" customHeight="1" x14ac:dyDescent="0.25">
      <c r="A4864" s="366"/>
      <c r="B4864" s="486"/>
      <c r="C4864" s="567"/>
      <c r="D4864" s="567"/>
      <c r="E4864" s="366"/>
      <c r="F4864" s="366"/>
      <c r="G4864" s="398" t="s">
        <v>414</v>
      </c>
      <c r="H4864" s="366"/>
      <c r="I4864" s="366"/>
      <c r="J4864" s="521">
        <f>VLOOKUP(B4855,'Mil Cost Premiums for PUCs'!$A$4:$R$277,18,FALSE)</f>
        <v>1.0905505199999999</v>
      </c>
      <c r="K4864" s="290">
        <f>+K4863*J4864</f>
        <v>32.267723767949995</v>
      </c>
      <c r="L4864" s="365" t="s">
        <v>9</v>
      </c>
      <c r="N4864" s="10"/>
      <c r="O4864" s="336"/>
      <c r="P4864" s="334"/>
      <c r="Q4864" s="335"/>
      <c r="R4864" s="336"/>
      <c r="S4864" s="337"/>
    </row>
    <row r="4865" spans="1:19" ht="30" customHeight="1" x14ac:dyDescent="0.25">
      <c r="A4865" s="844"/>
      <c r="B4865" s="844"/>
      <c r="C4865" s="471"/>
      <c r="D4865" s="471"/>
      <c r="E4865" s="471"/>
      <c r="F4865" s="1278" t="s">
        <v>1148</v>
      </c>
      <c r="G4865" s="1278"/>
      <c r="H4865" s="1278"/>
      <c r="I4865" s="1278"/>
      <c r="J4865" s="987">
        <v>1.0833999999999999</v>
      </c>
      <c r="K4865" s="1060">
        <f>K4864*J4865</f>
        <v>34.958851930197021</v>
      </c>
      <c r="L4865" s="365" t="s">
        <v>9</v>
      </c>
      <c r="O4865" s="336"/>
      <c r="P4865" s="334"/>
      <c r="Q4865" s="335"/>
      <c r="R4865" s="336"/>
      <c r="S4865" s="337"/>
    </row>
    <row r="4866" spans="1:19" ht="75" customHeight="1" x14ac:dyDescent="0.25">
      <c r="A4866" s="1230" t="s">
        <v>307</v>
      </c>
      <c r="B4866" s="1231"/>
      <c r="C4866" s="1231"/>
      <c r="D4866" s="1231"/>
      <c r="E4866" s="1231"/>
      <c r="F4866" s="1231"/>
      <c r="G4866" s="1231"/>
      <c r="H4866" s="1231"/>
      <c r="I4866" s="1231"/>
      <c r="J4866" s="1231"/>
      <c r="K4866" s="1231"/>
      <c r="L4866" s="1232"/>
      <c r="N4866" s="10"/>
      <c r="O4866" s="336"/>
      <c r="P4866" s="334"/>
      <c r="Q4866" s="335"/>
      <c r="R4866" s="336"/>
      <c r="S4866" s="337"/>
    </row>
    <row r="4867" spans="1:19" ht="30" customHeight="1" x14ac:dyDescent="0.25">
      <c r="A4867" s="1230" t="s">
        <v>308</v>
      </c>
      <c r="B4867" s="1231"/>
      <c r="C4867" s="1232"/>
      <c r="D4867" s="1230" t="s">
        <v>2645</v>
      </c>
      <c r="E4867" s="1231"/>
      <c r="F4867" s="1231"/>
      <c r="G4867" s="1231"/>
      <c r="H4867" s="1231"/>
      <c r="I4867" s="1231"/>
      <c r="J4867" s="1231"/>
      <c r="K4867" s="1231"/>
      <c r="L4867" s="1232"/>
      <c r="O4867" s="336"/>
      <c r="P4867" s="334"/>
      <c r="Q4867" s="335"/>
      <c r="R4867" s="336"/>
      <c r="S4867" s="337"/>
    </row>
    <row r="4868" spans="1:19" ht="30" customHeight="1" x14ac:dyDescent="0.25">
      <c r="A4868" s="1230" t="s">
        <v>310</v>
      </c>
      <c r="B4868" s="1231"/>
      <c r="C4868" s="1232"/>
      <c r="D4868" s="1230" t="s">
        <v>2646</v>
      </c>
      <c r="E4868" s="1231"/>
      <c r="F4868" s="1231"/>
      <c r="G4868" s="1231"/>
      <c r="H4868" s="1231"/>
      <c r="I4868" s="1231"/>
      <c r="J4868" s="1231"/>
      <c r="K4868" s="1231"/>
      <c r="L4868" s="1232"/>
      <c r="O4868" s="384"/>
      <c r="P4868" s="334"/>
      <c r="Q4868" s="335"/>
      <c r="R4868" s="336"/>
      <c r="S4868" s="337"/>
    </row>
    <row r="4869" spans="1:19" ht="30" customHeight="1" x14ac:dyDescent="0.25">
      <c r="A4869" s="1230" t="s">
        <v>312</v>
      </c>
      <c r="B4869" s="1231"/>
      <c r="C4869" s="1232"/>
      <c r="D4869" s="1230" t="s">
        <v>2647</v>
      </c>
      <c r="E4869" s="1231"/>
      <c r="F4869" s="1231"/>
      <c r="G4869" s="1231"/>
      <c r="H4869" s="1231"/>
      <c r="I4869" s="1231"/>
      <c r="J4869" s="1231"/>
      <c r="K4869" s="1231"/>
      <c r="L4869" s="1232"/>
      <c r="O4869" s="336"/>
      <c r="P4869" s="334"/>
      <c r="Q4869" s="335"/>
      <c r="R4869" s="336"/>
      <c r="S4869" s="337"/>
    </row>
    <row r="4870" spans="1:19" ht="30" customHeight="1" x14ac:dyDescent="0.25">
      <c r="A4870" s="1230" t="s">
        <v>314</v>
      </c>
      <c r="B4870" s="1231"/>
      <c r="C4870" s="1232"/>
      <c r="D4870" s="1230" t="s">
        <v>2648</v>
      </c>
      <c r="E4870" s="1231"/>
      <c r="F4870" s="1231"/>
      <c r="G4870" s="1231"/>
      <c r="H4870" s="1231"/>
      <c r="I4870" s="1231"/>
      <c r="J4870" s="1231"/>
      <c r="K4870" s="1231"/>
      <c r="L4870" s="1232"/>
      <c r="N4870" s="61"/>
      <c r="O4870" s="336"/>
      <c r="P4870" s="334"/>
      <c r="Q4870" s="335"/>
      <c r="R4870" s="336"/>
      <c r="S4870" s="337"/>
    </row>
    <row r="4871" spans="1:19" ht="30" customHeight="1" x14ac:dyDescent="0.25">
      <c r="A4871" s="1230" t="s">
        <v>316</v>
      </c>
      <c r="B4871" s="1231"/>
      <c r="C4871" s="1232"/>
      <c r="D4871" s="1230" t="s">
        <v>2649</v>
      </c>
      <c r="E4871" s="1231"/>
      <c r="F4871" s="1231"/>
      <c r="G4871" s="1231"/>
      <c r="H4871" s="1231"/>
      <c r="I4871" s="1231"/>
      <c r="J4871" s="1231"/>
      <c r="K4871" s="1231"/>
      <c r="L4871" s="1232"/>
      <c r="M4871" s="54"/>
      <c r="O4871" s="336"/>
      <c r="P4871" s="334"/>
      <c r="Q4871" s="335"/>
      <c r="R4871" s="336"/>
      <c r="S4871" s="337"/>
    </row>
    <row r="4872" spans="1:19" ht="30" customHeight="1" x14ac:dyDescent="0.25">
      <c r="A4872" s="1230" t="s">
        <v>318</v>
      </c>
      <c r="B4872" s="1231"/>
      <c r="C4872" s="1232"/>
      <c r="D4872" s="1230" t="s">
        <v>2250</v>
      </c>
      <c r="E4872" s="1231"/>
      <c r="F4872" s="1231"/>
      <c r="G4872" s="1231"/>
      <c r="H4872" s="1231"/>
      <c r="I4872" s="1231"/>
      <c r="J4872" s="1231"/>
      <c r="K4872" s="1231"/>
      <c r="L4872" s="1232"/>
      <c r="N4872" s="116"/>
      <c r="O4872" s="336"/>
      <c r="P4872" s="334"/>
      <c r="Q4872" s="335"/>
      <c r="R4872" s="336"/>
      <c r="S4872" s="337"/>
    </row>
    <row r="4873" spans="1:19" ht="30" customHeight="1" x14ac:dyDescent="0.25">
      <c r="A4873" s="1230" t="s">
        <v>320</v>
      </c>
      <c r="B4873" s="1231"/>
      <c r="C4873" s="1232"/>
      <c r="D4873" s="1230" t="s">
        <v>2650</v>
      </c>
      <c r="E4873" s="1231"/>
      <c r="F4873" s="1231"/>
      <c r="G4873" s="1231"/>
      <c r="H4873" s="1231"/>
      <c r="I4873" s="1231"/>
      <c r="J4873" s="1231"/>
      <c r="K4873" s="1231"/>
      <c r="L4873" s="1232"/>
      <c r="O4873" s="336"/>
      <c r="P4873" s="334"/>
      <c r="Q4873" s="335"/>
      <c r="R4873" s="336"/>
      <c r="S4873" s="337"/>
    </row>
    <row r="4874" spans="1:19" ht="30" customHeight="1" x14ac:dyDescent="0.25">
      <c r="A4874" s="1230" t="s">
        <v>322</v>
      </c>
      <c r="B4874" s="1231"/>
      <c r="C4874" s="1232"/>
      <c r="D4874" s="1230" t="s">
        <v>323</v>
      </c>
      <c r="E4874" s="1231"/>
      <c r="F4874" s="1231"/>
      <c r="G4874" s="1231"/>
      <c r="H4874" s="1231"/>
      <c r="I4874" s="1231"/>
      <c r="J4874" s="1231"/>
      <c r="K4874" s="1231"/>
      <c r="L4874" s="1232"/>
      <c r="O4874" s="336"/>
      <c r="P4874" s="334"/>
      <c r="Q4874" s="335"/>
      <c r="R4874" s="336"/>
      <c r="S4874" s="337"/>
    </row>
    <row r="4875" spans="1:19" ht="60" customHeight="1" thickBot="1" x14ac:dyDescent="0.3">
      <c r="A4875" s="1291" t="s">
        <v>350</v>
      </c>
      <c r="B4875" s="1292"/>
      <c r="C4875" s="1293"/>
      <c r="D4875" s="1291" t="s">
        <v>3464</v>
      </c>
      <c r="E4875" s="1292"/>
      <c r="F4875" s="1292"/>
      <c r="G4875" s="1292"/>
      <c r="H4875" s="1292"/>
      <c r="I4875" s="1292"/>
      <c r="J4875" s="1292"/>
      <c r="K4875" s="1292"/>
      <c r="L4875" s="1293"/>
      <c r="O4875" s="336"/>
      <c r="P4875" s="334"/>
      <c r="Q4875" s="335"/>
      <c r="R4875" s="336"/>
      <c r="S4875" s="337"/>
    </row>
    <row r="4876" spans="1:19" ht="30" customHeight="1" thickBot="1" x14ac:dyDescent="0.3">
      <c r="A4876" s="1180"/>
      <c r="B4876" s="1181"/>
      <c r="C4876" s="1181"/>
      <c r="D4876" s="1181"/>
      <c r="E4876" s="1181"/>
      <c r="F4876" s="1181"/>
      <c r="G4876" s="1181"/>
      <c r="H4876" s="1181"/>
      <c r="I4876" s="1181"/>
      <c r="J4876" s="1181"/>
      <c r="K4876" s="1181"/>
      <c r="L4876" s="1182"/>
      <c r="O4876" s="336"/>
      <c r="P4876" s="334"/>
      <c r="Q4876" s="335"/>
      <c r="R4876" s="336"/>
      <c r="S4876" s="337"/>
    </row>
    <row r="4877" spans="1:19" ht="30" customHeight="1" x14ac:dyDescent="0.25">
      <c r="A4877" s="327" t="s">
        <v>5</v>
      </c>
      <c r="B4877" s="328">
        <v>8531</v>
      </c>
      <c r="C4877" s="1218" t="s">
        <v>2651</v>
      </c>
      <c r="D4877" s="1219"/>
      <c r="E4877" s="331" t="s">
        <v>8</v>
      </c>
      <c r="F4877" s="332" t="s">
        <v>205</v>
      </c>
      <c r="G4877" s="342" t="s">
        <v>74</v>
      </c>
      <c r="H4877" s="248">
        <v>90927</v>
      </c>
      <c r="I4877" s="331" t="s">
        <v>10</v>
      </c>
      <c r="J4877" s="1220" t="s">
        <v>281</v>
      </c>
      <c r="K4877" s="1220"/>
      <c r="L4877" s="1221"/>
      <c r="O4877" s="336"/>
      <c r="P4877" s="334"/>
      <c r="Q4877" s="335"/>
      <c r="R4877" s="336"/>
      <c r="S4877" s="337"/>
    </row>
    <row r="4878" spans="1:19" ht="30" customHeight="1" x14ac:dyDescent="0.25">
      <c r="A4878" s="356" t="s">
        <v>282</v>
      </c>
      <c r="B4878" s="1163" t="s">
        <v>13</v>
      </c>
      <c r="C4878" s="1163"/>
      <c r="D4878" s="1163"/>
      <c r="E4878" s="357" t="s">
        <v>283</v>
      </c>
      <c r="F4878" s="546" t="s">
        <v>116</v>
      </c>
      <c r="G4878" s="356"/>
      <c r="H4878" s="356"/>
      <c r="I4878" s="1276" t="s">
        <v>284</v>
      </c>
      <c r="J4878" s="1277"/>
      <c r="K4878" s="1236" t="s">
        <v>285</v>
      </c>
      <c r="L4878" s="1237"/>
      <c r="O4878" s="336"/>
      <c r="P4878" s="334"/>
      <c r="Q4878" s="335"/>
      <c r="R4878" s="336"/>
      <c r="S4878" s="337"/>
    </row>
    <row r="4879" spans="1:19" ht="30" customHeight="1" x14ac:dyDescent="0.25">
      <c r="A4879" s="367" t="s">
        <v>286</v>
      </c>
      <c r="B4879" s="1164" t="s">
        <v>2651</v>
      </c>
      <c r="C4879" s="1164"/>
      <c r="D4879" s="1164"/>
      <c r="E4879" s="547">
        <v>170000</v>
      </c>
      <c r="F4879" s="240">
        <v>62</v>
      </c>
      <c r="G4879" s="548"/>
      <c r="H4879" s="549"/>
      <c r="I4879" s="1302" t="s">
        <v>288</v>
      </c>
      <c r="J4879" s="1303"/>
      <c r="K4879" s="240">
        <f>+F4879</f>
        <v>62</v>
      </c>
      <c r="L4879" s="367" t="s">
        <v>205</v>
      </c>
      <c r="N4879" s="54"/>
      <c r="O4879" s="336"/>
      <c r="P4879" s="334"/>
      <c r="Q4879" s="335"/>
      <c r="R4879" s="336"/>
      <c r="S4879" s="337"/>
    </row>
    <row r="4880" spans="1:19" ht="30" customHeight="1" thickBot="1" x14ac:dyDescent="0.3">
      <c r="A4880" s="369"/>
      <c r="B4880" s="1407"/>
      <c r="C4880" s="1407"/>
      <c r="D4880" s="1407"/>
      <c r="E4880" s="913"/>
      <c r="F4880" s="914"/>
      <c r="G4880" s="914"/>
      <c r="H4880" s="915"/>
      <c r="I4880" s="371"/>
      <c r="J4880" s="358" t="s">
        <v>72</v>
      </c>
      <c r="K4880" s="137">
        <f>+K4879</f>
        <v>62</v>
      </c>
      <c r="L4880" s="369" t="s">
        <v>205</v>
      </c>
      <c r="M4880" s="10"/>
      <c r="O4880" s="336"/>
      <c r="P4880" s="334"/>
      <c r="Q4880" s="335"/>
      <c r="R4880" s="336"/>
      <c r="S4880" s="337"/>
    </row>
    <row r="4881" spans="1:19" ht="30" customHeight="1" thickBot="1" x14ac:dyDescent="0.3">
      <c r="A4881" s="1305"/>
      <c r="B4881" s="1306"/>
      <c r="C4881" s="1306"/>
      <c r="D4881" s="1306"/>
      <c r="E4881" s="1306"/>
      <c r="F4881" s="1306"/>
      <c r="G4881" s="1306"/>
      <c r="H4881" s="1306"/>
      <c r="I4881" s="1306"/>
      <c r="J4881" s="1306"/>
      <c r="K4881" s="1306"/>
      <c r="L4881" s="1307"/>
      <c r="M4881" s="10"/>
      <c r="O4881" s="336"/>
      <c r="P4881" s="334"/>
      <c r="Q4881" s="335"/>
      <c r="R4881" s="336"/>
      <c r="S4881" s="337"/>
    </row>
    <row r="4882" spans="1:19" ht="30" customHeight="1" x14ac:dyDescent="0.25">
      <c r="A4882" s="349" t="s">
        <v>5</v>
      </c>
      <c r="B4882" s="350">
        <v>8541</v>
      </c>
      <c r="C4882" s="1165" t="s">
        <v>2652</v>
      </c>
      <c r="D4882" s="1166"/>
      <c r="E4882" s="351" t="s">
        <v>8</v>
      </c>
      <c r="F4882" s="352" t="s">
        <v>76</v>
      </c>
      <c r="G4882" s="740" t="s">
        <v>7</v>
      </c>
      <c r="H4882" s="321">
        <v>1</v>
      </c>
      <c r="I4882" s="351" t="s">
        <v>10</v>
      </c>
      <c r="J4882" s="1628" t="s">
        <v>2517</v>
      </c>
      <c r="K4882" s="1628"/>
      <c r="L4882" s="1628"/>
      <c r="M4882" s="115"/>
      <c r="O4882" s="336"/>
      <c r="P4882" s="334"/>
      <c r="Q4882" s="335"/>
      <c r="R4882" s="336"/>
      <c r="S4882" s="337"/>
    </row>
    <row r="4883" spans="1:19" ht="30" customHeight="1" x14ac:dyDescent="0.25">
      <c r="A4883" s="356"/>
      <c r="B4883" s="1163" t="s">
        <v>13</v>
      </c>
      <c r="C4883" s="1163"/>
      <c r="D4883" s="1163"/>
      <c r="E4883" s="356" t="s">
        <v>576</v>
      </c>
      <c r="F4883" s="357" t="s">
        <v>15</v>
      </c>
      <c r="H4883" s="356" t="s">
        <v>119</v>
      </c>
      <c r="I4883" s="1276" t="s">
        <v>539</v>
      </c>
      <c r="J4883" s="1615"/>
      <c r="K4883" s="1194" t="s">
        <v>285</v>
      </c>
      <c r="L4883" s="1195"/>
      <c r="O4883" s="336"/>
      <c r="P4883" s="334"/>
      <c r="Q4883" s="335"/>
      <c r="R4883" s="336"/>
      <c r="S4883" s="337"/>
    </row>
    <row r="4884" spans="1:19" ht="30" customHeight="1" x14ac:dyDescent="0.25">
      <c r="A4884" s="360"/>
      <c r="B4884" s="1406" t="s">
        <v>2652</v>
      </c>
      <c r="C4884" s="1406"/>
      <c r="D4884" s="1406"/>
      <c r="E4884" s="363"/>
      <c r="F4884" s="367" t="s">
        <v>2653</v>
      </c>
      <c r="G4884" s="338"/>
      <c r="H4884" s="729"/>
      <c r="I4884" s="1631"/>
      <c r="J4884" s="1255"/>
      <c r="K4884" s="363"/>
      <c r="L4884" s="360"/>
      <c r="M4884" s="115"/>
      <c r="O4884" s="336"/>
      <c r="P4884" s="334"/>
      <c r="Q4884" s="335"/>
      <c r="R4884" s="336"/>
      <c r="S4884" s="337"/>
    </row>
    <row r="4885" spans="1:19" ht="30" customHeight="1" x14ac:dyDescent="0.25">
      <c r="A4885" s="360"/>
      <c r="B4885" s="1632" t="s">
        <v>2654</v>
      </c>
      <c r="C4885" s="1447"/>
      <c r="D4885" s="1448"/>
      <c r="E4885" s="1065">
        <v>861067</v>
      </c>
      <c r="F4885" s="360">
        <v>1</v>
      </c>
      <c r="G4885" s="366"/>
      <c r="H4885" s="732">
        <v>0.86</v>
      </c>
      <c r="I4885" s="1302">
        <f>+'2022 MILCON Inflation Table'!F16</f>
        <v>1.0945893340593744</v>
      </c>
      <c r="J4885" s="1303"/>
      <c r="K4885" s="363">
        <f t="shared" ref="K4885:K4892" si="64">+E4885/H4885*I4885</f>
        <v>1095947.3885005852</v>
      </c>
      <c r="L4885" s="360" t="s">
        <v>76</v>
      </c>
      <c r="M4885" s="61"/>
      <c r="O4885" s="336"/>
      <c r="P4885" s="334"/>
      <c r="Q4885" s="335"/>
      <c r="R4885" s="336"/>
      <c r="S4885" s="337"/>
    </row>
    <row r="4886" spans="1:19" ht="30" customHeight="1" x14ac:dyDescent="0.25">
      <c r="A4886" s="360"/>
      <c r="B4886" s="1630" t="s">
        <v>2655</v>
      </c>
      <c r="C4886" s="1477"/>
      <c r="D4886" s="1478"/>
      <c r="E4886" s="1065">
        <v>1257469</v>
      </c>
      <c r="F4886" s="360">
        <v>1</v>
      </c>
      <c r="G4886" s="366"/>
      <c r="H4886" s="1066">
        <v>0.88</v>
      </c>
      <c r="I4886" s="1302">
        <v>1.1446000000000001</v>
      </c>
      <c r="J4886" s="1303"/>
      <c r="K4886" s="363">
        <f t="shared" si="64"/>
        <v>1635567.0652272727</v>
      </c>
      <c r="L4886" s="360" t="s">
        <v>76</v>
      </c>
      <c r="O4886" s="336"/>
      <c r="P4886" s="334"/>
      <c r="Q4886" s="335"/>
      <c r="R4886" s="336"/>
      <c r="S4886" s="337"/>
    </row>
    <row r="4887" spans="1:19" ht="30" customHeight="1" x14ac:dyDescent="0.25">
      <c r="A4887" s="360"/>
      <c r="B4887" s="1629" t="s">
        <v>2656</v>
      </c>
      <c r="C4887" s="1167"/>
      <c r="D4887" s="1168"/>
      <c r="E4887" s="291">
        <v>261930.52</v>
      </c>
      <c r="F4887" s="360">
        <v>1</v>
      </c>
      <c r="G4887" s="366"/>
      <c r="H4887" s="732">
        <v>0.97</v>
      </c>
      <c r="I4887" s="1302">
        <f>+'2022 MILCON Inflation Table'!$F$13</f>
        <v>1.2561273320332946</v>
      </c>
      <c r="J4887" s="1303"/>
      <c r="K4887" s="363">
        <f t="shared" si="64"/>
        <v>339193.90233576653</v>
      </c>
      <c r="L4887" s="360" t="s">
        <v>76</v>
      </c>
      <c r="M4887" s="116"/>
      <c r="O4887" s="336"/>
      <c r="P4887" s="334"/>
      <c r="Q4887" s="335"/>
      <c r="R4887" s="336"/>
      <c r="S4887" s="337"/>
    </row>
    <row r="4888" spans="1:19" ht="30" customHeight="1" x14ac:dyDescent="0.25">
      <c r="A4888" s="360"/>
      <c r="B4888" s="1629" t="s">
        <v>2657</v>
      </c>
      <c r="C4888" s="1167"/>
      <c r="D4888" s="1168"/>
      <c r="E4888" s="291">
        <v>298999</v>
      </c>
      <c r="F4888" s="360">
        <v>1</v>
      </c>
      <c r="G4888" s="366"/>
      <c r="H4888" s="732">
        <v>0.99</v>
      </c>
      <c r="I4888" s="1302">
        <v>1.0946</v>
      </c>
      <c r="J4888" s="1303"/>
      <c r="K4888" s="363">
        <f t="shared" si="64"/>
        <v>330590.2074747475</v>
      </c>
      <c r="L4888" s="360" t="s">
        <v>76</v>
      </c>
      <c r="N4888" s="10"/>
      <c r="O4888" s="336"/>
      <c r="P4888" s="334"/>
      <c r="Q4888" s="335"/>
      <c r="R4888" s="336"/>
      <c r="S4888" s="337"/>
    </row>
    <row r="4889" spans="1:19" ht="30" customHeight="1" x14ac:dyDescent="0.25">
      <c r="A4889" s="360"/>
      <c r="B4889" s="1629" t="s">
        <v>2658</v>
      </c>
      <c r="C4889" s="1167"/>
      <c r="D4889" s="1168"/>
      <c r="E4889" s="291">
        <v>300175</v>
      </c>
      <c r="F4889" s="360">
        <v>1</v>
      </c>
      <c r="G4889" s="366"/>
      <c r="H4889" s="732">
        <v>0.95</v>
      </c>
      <c r="I4889" s="1302">
        <v>1</v>
      </c>
      <c r="J4889" s="1303"/>
      <c r="K4889" s="363">
        <f t="shared" si="64"/>
        <v>315973.68421052635</v>
      </c>
      <c r="L4889" s="360" t="s">
        <v>76</v>
      </c>
      <c r="N4889" s="78"/>
      <c r="O4889" s="336"/>
      <c r="P4889" s="334"/>
      <c r="Q4889" s="335"/>
      <c r="R4889" s="336"/>
      <c r="S4889" s="337"/>
    </row>
    <row r="4890" spans="1:19" ht="30" customHeight="1" x14ac:dyDescent="0.25">
      <c r="A4890" s="360"/>
      <c r="B4890" s="1629" t="s">
        <v>2659</v>
      </c>
      <c r="C4890" s="1167"/>
      <c r="D4890" s="1168"/>
      <c r="E4890" s="291">
        <v>185433</v>
      </c>
      <c r="F4890" s="360">
        <v>1</v>
      </c>
      <c r="G4890" s="366"/>
      <c r="H4890" s="732">
        <v>0.86</v>
      </c>
      <c r="I4890" s="1302">
        <f>+'2022 MILCON Inflation Table'!F13</f>
        <v>1.2561273320332946</v>
      </c>
      <c r="J4890" s="1303"/>
      <c r="K4890" s="363">
        <f t="shared" si="64"/>
        <v>270845.88321038365</v>
      </c>
      <c r="L4890" s="360" t="s">
        <v>76</v>
      </c>
      <c r="O4890" s="336"/>
      <c r="P4890" s="334"/>
      <c r="Q4890" s="335"/>
      <c r="R4890" s="336"/>
      <c r="S4890" s="337"/>
    </row>
    <row r="4891" spans="1:19" ht="30" customHeight="1" x14ac:dyDescent="0.25">
      <c r="A4891" s="360"/>
      <c r="B4891" s="1629" t="s">
        <v>2660</v>
      </c>
      <c r="C4891" s="1167"/>
      <c r="D4891" s="1168"/>
      <c r="E4891" s="291">
        <v>208000</v>
      </c>
      <c r="F4891" s="360">
        <v>1</v>
      </c>
      <c r="G4891" s="366"/>
      <c r="H4891" s="732">
        <v>0.89</v>
      </c>
      <c r="I4891" s="1302">
        <f>+'2022 MILCON Inflation Table'!F13</f>
        <v>1.2561273320332946</v>
      </c>
      <c r="J4891" s="1303"/>
      <c r="K4891" s="363">
        <f t="shared" si="64"/>
        <v>293566.83714935422</v>
      </c>
      <c r="L4891" s="360" t="s">
        <v>76</v>
      </c>
      <c r="O4891" s="336"/>
      <c r="P4891" s="334"/>
      <c r="Q4891" s="335"/>
      <c r="R4891" s="336"/>
      <c r="S4891" s="337"/>
    </row>
    <row r="4892" spans="1:19" ht="30" customHeight="1" x14ac:dyDescent="0.25">
      <c r="A4892" s="360"/>
      <c r="B4892" s="1629" t="s">
        <v>2661</v>
      </c>
      <c r="C4892" s="1167"/>
      <c r="D4892" s="1168"/>
      <c r="E4892" s="292">
        <v>352295.85</v>
      </c>
      <c r="F4892" s="360">
        <v>1</v>
      </c>
      <c r="G4892" s="366"/>
      <c r="H4892" s="732">
        <v>1.24</v>
      </c>
      <c r="I4892" s="1302">
        <v>1</v>
      </c>
      <c r="J4892" s="1303"/>
      <c r="K4892" s="363">
        <f t="shared" si="64"/>
        <v>284109.55645161291</v>
      </c>
      <c r="L4892" s="360" t="s">
        <v>76</v>
      </c>
      <c r="O4892" s="336"/>
      <c r="P4892" s="334"/>
      <c r="Q4892" s="335"/>
      <c r="R4892" s="336"/>
      <c r="S4892" s="337"/>
    </row>
    <row r="4893" spans="1:19" ht="30" customHeight="1" x14ac:dyDescent="0.25">
      <c r="A4893" s="365"/>
      <c r="B4893" s="1067"/>
      <c r="C4893" s="578"/>
      <c r="D4893" s="578"/>
      <c r="E4893" s="378"/>
      <c r="F4893" s="360"/>
      <c r="G4893" s="246"/>
      <c r="H4893" s="366" t="s">
        <v>2662</v>
      </c>
      <c r="I4893" s="366"/>
      <c r="J4893" s="732"/>
      <c r="K4893" s="243">
        <f>AVERAGE(K4885:K4892)</f>
        <v>570724.31557003129</v>
      </c>
      <c r="L4893" s="360" t="s">
        <v>76</v>
      </c>
      <c r="O4893" s="336"/>
      <c r="P4893" s="334"/>
      <c r="Q4893" s="335"/>
      <c r="R4893" s="336"/>
      <c r="S4893" s="337"/>
    </row>
    <row r="4894" spans="1:19" ht="30" customHeight="1" thickBot="1" x14ac:dyDescent="0.3">
      <c r="A4894" s="365"/>
      <c r="B4894" s="1209" t="s">
        <v>2663</v>
      </c>
      <c r="C4894" s="1210"/>
      <c r="D4894" s="1211"/>
      <c r="E4894" s="452"/>
      <c r="F4894" s="587"/>
      <c r="H4894" s="587"/>
      <c r="I4894" s="815" t="s">
        <v>414</v>
      </c>
      <c r="J4894" s="521">
        <f>VLOOKUP(B4882,'Mil Cost Premiums for PUCs'!$A$4:$R$277,18,FALSE)</f>
        <v>1.0905505199999999</v>
      </c>
      <c r="K4894" s="243">
        <f>+K4893*J4894</f>
        <v>622403.69912154169</v>
      </c>
      <c r="L4894" s="365" t="s">
        <v>76</v>
      </c>
      <c r="M4894" s="54"/>
      <c r="O4894" s="336"/>
      <c r="P4894" s="334"/>
      <c r="Q4894" s="335"/>
      <c r="R4894" s="336"/>
      <c r="S4894" s="337"/>
    </row>
    <row r="4895" spans="1:19" ht="30" customHeight="1" thickBot="1" x14ac:dyDescent="0.3">
      <c r="A4895" s="1180"/>
      <c r="B4895" s="1181"/>
      <c r="C4895" s="1181"/>
      <c r="D4895" s="1181"/>
      <c r="E4895" s="1181"/>
      <c r="F4895" s="1181"/>
      <c r="G4895" s="1181"/>
      <c r="H4895" s="1181"/>
      <c r="I4895" s="1181"/>
      <c r="J4895" s="1181"/>
      <c r="K4895" s="1181"/>
      <c r="L4895" s="1182"/>
      <c r="O4895" s="336"/>
      <c r="P4895" s="334"/>
      <c r="Q4895" s="335"/>
      <c r="R4895" s="336"/>
      <c r="S4895" s="337"/>
    </row>
    <row r="4896" spans="1:19" ht="30" customHeight="1" x14ac:dyDescent="0.25">
      <c r="A4896" s="327" t="s">
        <v>5</v>
      </c>
      <c r="B4896" s="328">
        <v>8601</v>
      </c>
      <c r="C4896" s="1251" t="s">
        <v>2664</v>
      </c>
      <c r="D4896" s="1252"/>
      <c r="E4896" s="331" t="s">
        <v>8</v>
      </c>
      <c r="F4896" s="332" t="s">
        <v>333</v>
      </c>
      <c r="G4896" s="342" t="s">
        <v>74</v>
      </c>
      <c r="H4896" s="185">
        <v>4.8</v>
      </c>
      <c r="I4896" s="331" t="s">
        <v>10</v>
      </c>
      <c r="J4896" s="1220" t="s">
        <v>294</v>
      </c>
      <c r="K4896" s="1220"/>
      <c r="L4896" s="1221"/>
      <c r="O4896" s="336"/>
      <c r="P4896" s="334"/>
      <c r="Q4896" s="335"/>
      <c r="R4896" s="336"/>
      <c r="S4896" s="337"/>
    </row>
    <row r="4897" spans="1:20" ht="30" customHeight="1" x14ac:dyDescent="0.25">
      <c r="A4897" s="359" t="s">
        <v>295</v>
      </c>
      <c r="B4897" s="1222" t="s">
        <v>326</v>
      </c>
      <c r="C4897" s="1235"/>
      <c r="D4897" s="1223"/>
      <c r="E4897" s="577" t="s">
        <v>116</v>
      </c>
      <c r="F4897" s="577" t="s">
        <v>117</v>
      </c>
      <c r="G4897" s="1194" t="s">
        <v>118</v>
      </c>
      <c r="H4897" s="1195"/>
      <c r="I4897" s="356" t="s">
        <v>296</v>
      </c>
      <c r="J4897" s="356"/>
      <c r="K4897" s="581" t="s">
        <v>285</v>
      </c>
      <c r="L4897" s="382"/>
      <c r="O4897" s="336"/>
      <c r="P4897" s="334"/>
      <c r="Q4897" s="335"/>
      <c r="R4897" s="336"/>
      <c r="S4897" s="337"/>
    </row>
    <row r="4898" spans="1:20" ht="30" customHeight="1" x14ac:dyDescent="0.25">
      <c r="A4898" s="365" t="s">
        <v>529</v>
      </c>
      <c r="B4898" s="1209" t="s">
        <v>2665</v>
      </c>
      <c r="C4898" s="1210"/>
      <c r="D4898" s="1211"/>
      <c r="E4898" s="7">
        <f>+(135+169)/2</f>
        <v>152</v>
      </c>
      <c r="F4898" s="396" t="s">
        <v>40</v>
      </c>
      <c r="G4898" s="20">
        <v>5280</v>
      </c>
      <c r="H4898" s="984" t="s">
        <v>2666</v>
      </c>
      <c r="I4898" s="365">
        <v>1.23</v>
      </c>
      <c r="J4898" s="396"/>
      <c r="K4898" s="246">
        <f>+E4898*G4898*I4898</f>
        <v>987148.79999999993</v>
      </c>
      <c r="L4898" s="396" t="s">
        <v>333</v>
      </c>
      <c r="O4898" s="336"/>
      <c r="P4898" s="334"/>
      <c r="Q4898" s="335"/>
      <c r="R4898" s="336"/>
      <c r="S4898" s="337"/>
    </row>
    <row r="4899" spans="1:20" ht="30" customHeight="1" x14ac:dyDescent="0.25">
      <c r="A4899" s="755"/>
      <c r="B4899" s="1214" t="s">
        <v>2667</v>
      </c>
      <c r="C4899" s="1215"/>
      <c r="D4899" s="1216"/>
      <c r="E4899" s="247"/>
      <c r="F4899" s="365"/>
      <c r="G4899" s="365"/>
      <c r="H4899" s="365"/>
      <c r="I4899" s="365"/>
      <c r="J4899" s="365"/>
      <c r="K4899" s="247">
        <f>+K4898*0.75</f>
        <v>740361.6</v>
      </c>
      <c r="L4899" s="365" t="s">
        <v>333</v>
      </c>
      <c r="O4899" s="336"/>
      <c r="P4899" s="334"/>
      <c r="Q4899" s="335"/>
      <c r="R4899" s="336"/>
      <c r="S4899" s="337"/>
    </row>
    <row r="4900" spans="1:20" ht="30" customHeight="1" x14ac:dyDescent="0.25">
      <c r="A4900" s="365"/>
      <c r="B4900" s="578"/>
      <c r="C4900" s="578"/>
      <c r="D4900" s="578"/>
      <c r="E4900" s="247"/>
      <c r="F4900" s="1272" t="s">
        <v>303</v>
      </c>
      <c r="G4900" s="1283" t="s">
        <v>304</v>
      </c>
      <c r="H4900" s="1283"/>
      <c r="I4900" s="1283"/>
      <c r="J4900" s="1283"/>
      <c r="K4900" s="250">
        <v>1.06</v>
      </c>
      <c r="L4900" s="365"/>
      <c r="O4900" s="336"/>
      <c r="P4900" s="334"/>
      <c r="Q4900" s="335"/>
      <c r="R4900" s="336"/>
      <c r="S4900" s="337"/>
    </row>
    <row r="4901" spans="1:20" ht="30" customHeight="1" x14ac:dyDescent="0.25">
      <c r="A4901" s="365"/>
      <c r="B4901" s="578"/>
      <c r="C4901" s="578"/>
      <c r="D4901" s="578"/>
      <c r="E4901" s="247"/>
      <c r="F4901" s="1273"/>
      <c r="G4901" s="1284" t="s">
        <v>305</v>
      </c>
      <c r="H4901" s="1284"/>
      <c r="I4901" s="1284"/>
      <c r="J4901" s="1284"/>
      <c r="K4901" s="250">
        <v>1.06</v>
      </c>
      <c r="L4901" s="365"/>
      <c r="O4901" s="336"/>
      <c r="P4901" s="334"/>
      <c r="Q4901" s="335"/>
      <c r="R4901" s="336"/>
      <c r="S4901" s="337"/>
    </row>
    <row r="4902" spans="1:20" ht="30" customHeight="1" x14ac:dyDescent="0.25">
      <c r="A4902" s="365"/>
      <c r="B4902" s="365"/>
      <c r="C4902" s="366"/>
      <c r="D4902" s="366"/>
      <c r="E4902" s="366"/>
      <c r="F4902" s="366"/>
      <c r="G4902" s="366"/>
      <c r="H4902" s="366"/>
      <c r="I4902" s="366"/>
      <c r="J4902" s="365" t="s">
        <v>72</v>
      </c>
      <c r="K4902" s="246">
        <f>+K4899*K4900/K4901</f>
        <v>740361.6</v>
      </c>
      <c r="L4902" s="365" t="s">
        <v>333</v>
      </c>
      <c r="O4902" s="336"/>
      <c r="P4902" s="334"/>
      <c r="Q4902" s="335"/>
      <c r="R4902" s="336"/>
      <c r="S4902" s="337"/>
    </row>
    <row r="4903" spans="1:20" ht="30" customHeight="1" thickBot="1" x14ac:dyDescent="0.3">
      <c r="A4903" s="365"/>
      <c r="B4903" s="365"/>
      <c r="C4903" s="366"/>
      <c r="D4903" s="366"/>
      <c r="E4903" s="366"/>
      <c r="F4903" s="366"/>
      <c r="G4903" s="580" t="s">
        <v>306</v>
      </c>
      <c r="H4903" s="366"/>
      <c r="I4903" s="366"/>
      <c r="J4903" s="521">
        <f>VLOOKUP(B4896,'Mil Cost Premiums for PUCs'!$A$4:$R$277,18,FALSE)</f>
        <v>1.1199953840399997</v>
      </c>
      <c r="K4903" s="246">
        <f>+K4902*J4903</f>
        <v>829201.5745204686</v>
      </c>
      <c r="L4903" s="365" t="s">
        <v>333</v>
      </c>
      <c r="M4903" s="10"/>
      <c r="O4903" s="336"/>
      <c r="P4903" s="334"/>
      <c r="Q4903" s="335"/>
      <c r="R4903" s="336"/>
      <c r="S4903" s="337"/>
    </row>
    <row r="4904" spans="1:20" ht="30" customHeight="1" thickBot="1" x14ac:dyDescent="0.3">
      <c r="A4904" s="1180"/>
      <c r="B4904" s="1181"/>
      <c r="C4904" s="1181"/>
      <c r="D4904" s="1181"/>
      <c r="E4904" s="1181"/>
      <c r="F4904" s="1181"/>
      <c r="G4904" s="1181"/>
      <c r="H4904" s="1181"/>
      <c r="I4904" s="1181"/>
      <c r="J4904" s="1181"/>
      <c r="K4904" s="1181"/>
      <c r="L4904" s="1182"/>
      <c r="M4904" s="78"/>
      <c r="N4904" s="54"/>
      <c r="O4904" s="336"/>
      <c r="P4904" s="334"/>
      <c r="Q4904" s="335"/>
      <c r="R4904" s="336"/>
      <c r="S4904" s="337"/>
    </row>
    <row r="4905" spans="1:20" ht="30" customHeight="1" x14ac:dyDescent="0.25">
      <c r="A4905" s="349" t="s">
        <v>5</v>
      </c>
      <c r="B4905" s="349">
        <v>8611</v>
      </c>
      <c r="C4905" s="1151" t="s">
        <v>2668</v>
      </c>
      <c r="D4905" s="1152"/>
      <c r="E4905" s="351" t="s">
        <v>8</v>
      </c>
      <c r="F4905" s="352" t="s">
        <v>40</v>
      </c>
      <c r="G4905" s="342" t="s">
        <v>74</v>
      </c>
      <c r="H4905" s="50">
        <v>209</v>
      </c>
      <c r="I4905" s="351" t="s">
        <v>10</v>
      </c>
      <c r="J4905" s="1185" t="s">
        <v>2669</v>
      </c>
      <c r="K4905" s="1185"/>
      <c r="L4905" s="1532"/>
      <c r="M4905" s="116"/>
      <c r="O4905" s="336"/>
      <c r="P4905" s="334"/>
      <c r="Q4905" s="335"/>
      <c r="R4905" s="336"/>
      <c r="S4905" s="337"/>
    </row>
    <row r="4906" spans="1:20" ht="30" customHeight="1" x14ac:dyDescent="0.25">
      <c r="A4906" s="356"/>
      <c r="B4906" s="1163" t="s">
        <v>13</v>
      </c>
      <c r="C4906" s="1163"/>
      <c r="D4906" s="1163"/>
      <c r="E4906" s="356" t="s">
        <v>116</v>
      </c>
      <c r="F4906" s="356" t="s">
        <v>117</v>
      </c>
      <c r="G4906" s="1194" t="s">
        <v>118</v>
      </c>
      <c r="H4906" s="1195"/>
      <c r="I4906" s="356" t="s">
        <v>119</v>
      </c>
      <c r="J4906" s="356" t="s">
        <v>120</v>
      </c>
      <c r="K4906" s="1236" t="s">
        <v>72</v>
      </c>
      <c r="L4906" s="1237"/>
      <c r="M4906" s="54"/>
      <c r="N4906" s="54"/>
      <c r="S4906" s="10"/>
      <c r="T4906" s="10"/>
    </row>
    <row r="4907" spans="1:20" ht="30" customHeight="1" thickBot="1" x14ac:dyDescent="0.3">
      <c r="A4907" s="360"/>
      <c r="B4907" s="1248" t="s">
        <v>2668</v>
      </c>
      <c r="C4907" s="1248"/>
      <c r="D4907" s="1248"/>
      <c r="E4907" s="485">
        <v>13196.24</v>
      </c>
      <c r="F4907" s="486" t="s">
        <v>40</v>
      </c>
      <c r="G4907" s="1183"/>
      <c r="H4907" s="1184"/>
      <c r="I4907" s="486"/>
      <c r="J4907" s="845">
        <v>1.0833999999999999</v>
      </c>
      <c r="K4907" s="488">
        <f>E4907*J4907</f>
        <v>14296.806415999999</v>
      </c>
      <c r="L4907" s="486" t="s">
        <v>40</v>
      </c>
      <c r="M4907" s="54"/>
      <c r="N4907" s="54"/>
      <c r="S4907" s="10"/>
      <c r="T4907" s="10"/>
    </row>
    <row r="4908" spans="1:20" ht="30" customHeight="1" thickBot="1" x14ac:dyDescent="0.3">
      <c r="A4908" s="1180"/>
      <c r="B4908" s="1181"/>
      <c r="C4908" s="1181"/>
      <c r="D4908" s="1181"/>
      <c r="E4908" s="1181"/>
      <c r="F4908" s="1181"/>
      <c r="G4908" s="1181"/>
      <c r="H4908" s="1181"/>
      <c r="I4908" s="1181"/>
      <c r="J4908" s="1181"/>
      <c r="K4908" s="1181"/>
      <c r="L4908" s="1182"/>
      <c r="O4908" s="336"/>
      <c r="P4908" s="334"/>
      <c r="Q4908" s="335"/>
      <c r="R4908" s="336"/>
      <c r="S4908" s="337"/>
    </row>
    <row r="4909" spans="1:20" ht="30" customHeight="1" x14ac:dyDescent="0.25">
      <c r="A4909" s="349" t="s">
        <v>5</v>
      </c>
      <c r="B4909" s="350">
        <v>8612</v>
      </c>
      <c r="C4909" s="1151" t="s">
        <v>2670</v>
      </c>
      <c r="D4909" s="1152"/>
      <c r="E4909" s="351" t="s">
        <v>8</v>
      </c>
      <c r="F4909" s="352" t="s">
        <v>76</v>
      </c>
      <c r="G4909" s="740" t="s">
        <v>7</v>
      </c>
      <c r="H4909" s="50">
        <v>1</v>
      </c>
      <c r="I4909" s="351" t="s">
        <v>10</v>
      </c>
      <c r="J4909" s="1185" t="s">
        <v>294</v>
      </c>
      <c r="K4909" s="1185"/>
      <c r="L4909" s="1532"/>
      <c r="O4909" s="336"/>
      <c r="P4909" s="334"/>
      <c r="Q4909" s="335"/>
      <c r="R4909" s="336"/>
      <c r="S4909" s="337"/>
    </row>
    <row r="4910" spans="1:20" ht="30" customHeight="1" x14ac:dyDescent="0.25">
      <c r="A4910" s="359" t="s">
        <v>295</v>
      </c>
      <c r="B4910" s="1222" t="s">
        <v>326</v>
      </c>
      <c r="C4910" s="1235"/>
      <c r="D4910" s="1223"/>
      <c r="E4910" s="577" t="s">
        <v>116</v>
      </c>
      <c r="F4910" s="577" t="s">
        <v>117</v>
      </c>
      <c r="G4910" s="1194" t="s">
        <v>118</v>
      </c>
      <c r="H4910" s="1195"/>
      <c r="I4910" s="356" t="s">
        <v>296</v>
      </c>
      <c r="J4910" s="356"/>
      <c r="K4910" s="1236" t="s">
        <v>285</v>
      </c>
      <c r="L4910" s="1237"/>
      <c r="O4910" s="336"/>
      <c r="P4910" s="334"/>
      <c r="Q4910" s="335"/>
      <c r="R4910" s="336"/>
      <c r="S4910" s="337"/>
    </row>
    <row r="4911" spans="1:20" ht="30" customHeight="1" x14ac:dyDescent="0.25">
      <c r="A4911" s="365" t="s">
        <v>2671</v>
      </c>
      <c r="B4911" s="1209" t="s">
        <v>2672</v>
      </c>
      <c r="C4911" s="1210"/>
      <c r="D4911" s="1211"/>
      <c r="E4911" s="7">
        <v>140000</v>
      </c>
      <c r="F4911" s="396" t="s">
        <v>76</v>
      </c>
      <c r="G4911" s="20"/>
      <c r="H4911" s="690"/>
      <c r="I4911" s="706">
        <v>1.17</v>
      </c>
      <c r="J4911" s="396"/>
      <c r="K4911" s="246">
        <f>+E4911*I4911</f>
        <v>163800</v>
      </c>
      <c r="L4911" s="396" t="s">
        <v>76</v>
      </c>
      <c r="O4911" s="336"/>
      <c r="P4911" s="334"/>
      <c r="Q4911" s="335"/>
      <c r="R4911" s="336"/>
      <c r="S4911" s="337"/>
    </row>
    <row r="4912" spans="1:20" ht="30" customHeight="1" x14ac:dyDescent="0.25">
      <c r="A4912" s="365"/>
      <c r="B4912" s="578"/>
      <c r="C4912" s="578"/>
      <c r="D4912" s="578"/>
      <c r="E4912" s="247"/>
      <c r="F4912" s="1272" t="s">
        <v>303</v>
      </c>
      <c r="G4912" s="1283" t="s">
        <v>304</v>
      </c>
      <c r="H4912" s="1283"/>
      <c r="I4912" s="1283"/>
      <c r="J4912" s="1283"/>
      <c r="K4912" s="250">
        <v>1.06</v>
      </c>
      <c r="L4912" s="365"/>
      <c r="O4912" s="336"/>
      <c r="P4912" s="334"/>
      <c r="Q4912" s="335"/>
      <c r="R4912" s="336"/>
      <c r="S4912" s="337"/>
    </row>
    <row r="4913" spans="1:19" ht="30" customHeight="1" x14ac:dyDescent="0.25">
      <c r="A4913" s="365"/>
      <c r="B4913" s="578"/>
      <c r="C4913" s="578"/>
      <c r="D4913" s="578"/>
      <c r="E4913" s="247"/>
      <c r="F4913" s="1273"/>
      <c r="G4913" s="1284" t="s">
        <v>305</v>
      </c>
      <c r="H4913" s="1284"/>
      <c r="I4913" s="1284"/>
      <c r="J4913" s="1284"/>
      <c r="K4913" s="250">
        <v>1.06</v>
      </c>
      <c r="L4913" s="365"/>
      <c r="O4913" s="336"/>
      <c r="P4913" s="334"/>
      <c r="Q4913" s="335"/>
      <c r="R4913" s="336"/>
      <c r="S4913" s="337"/>
    </row>
    <row r="4914" spans="1:19" ht="30" customHeight="1" x14ac:dyDescent="0.25">
      <c r="A4914" s="755"/>
      <c r="B4914" s="452"/>
      <c r="C4914" s="587"/>
      <c r="D4914" s="391"/>
      <c r="E4914" s="247"/>
      <c r="F4914" s="396"/>
      <c r="G4914" s="661"/>
      <c r="H4914" s="698"/>
      <c r="I4914" s="365"/>
      <c r="J4914" s="365" t="s">
        <v>72</v>
      </c>
      <c r="K4914" s="246">
        <f>+K4911*K4912/K4913</f>
        <v>163800</v>
      </c>
      <c r="L4914" s="365" t="s">
        <v>76</v>
      </c>
      <c r="O4914" s="336"/>
      <c r="P4914" s="334"/>
      <c r="Q4914" s="335"/>
      <c r="R4914" s="336"/>
      <c r="S4914" s="337"/>
    </row>
    <row r="4915" spans="1:19" ht="30" customHeight="1" thickBot="1" x14ac:dyDescent="0.3">
      <c r="A4915" s="365"/>
      <c r="B4915" s="365"/>
      <c r="C4915" s="366"/>
      <c r="D4915" s="366"/>
      <c r="E4915" s="366"/>
      <c r="F4915" s="366"/>
      <c r="G4915" s="580" t="s">
        <v>306</v>
      </c>
      <c r="H4915" s="366"/>
      <c r="I4915" s="366"/>
      <c r="J4915" s="521">
        <f>VLOOKUP(B4909,'Mil Cost Premiums for PUCs'!$A$4:$R$277,18,FALSE)</f>
        <v>1.0905505199999999</v>
      </c>
      <c r="K4915" s="246">
        <f>+K4914*J4915</f>
        <v>178632.17517599999</v>
      </c>
      <c r="L4915" s="365" t="s">
        <v>76</v>
      </c>
      <c r="N4915" s="10"/>
      <c r="O4915" s="336"/>
      <c r="P4915" s="334"/>
      <c r="Q4915" s="335"/>
      <c r="R4915" s="336"/>
      <c r="S4915" s="337"/>
    </row>
    <row r="4916" spans="1:19" ht="30" customHeight="1" thickBot="1" x14ac:dyDescent="0.3">
      <c r="A4916" s="1180"/>
      <c r="B4916" s="1181"/>
      <c r="C4916" s="1181"/>
      <c r="D4916" s="1181"/>
      <c r="E4916" s="1181"/>
      <c r="F4916" s="1181"/>
      <c r="G4916" s="1181"/>
      <c r="H4916" s="1181"/>
      <c r="I4916" s="1181"/>
      <c r="J4916" s="1181"/>
      <c r="K4916" s="1181"/>
      <c r="L4916" s="1182"/>
      <c r="N4916" s="10"/>
      <c r="O4916" s="336"/>
      <c r="P4916" s="334"/>
      <c r="Q4916" s="335"/>
      <c r="R4916" s="336"/>
      <c r="S4916" s="337"/>
    </row>
    <row r="4917" spans="1:19" ht="30" customHeight="1" x14ac:dyDescent="0.25">
      <c r="A4917" s="327" t="s">
        <v>5</v>
      </c>
      <c r="B4917" s="328">
        <v>8711</v>
      </c>
      <c r="C4917" s="1251" t="s">
        <v>2673</v>
      </c>
      <c r="D4917" s="1252"/>
      <c r="E4917" s="331" t="s">
        <v>8</v>
      </c>
      <c r="F4917" s="332" t="s">
        <v>40</v>
      </c>
      <c r="G4917" s="342" t="s">
        <v>74</v>
      </c>
      <c r="H4917" s="156">
        <v>13841</v>
      </c>
      <c r="I4917" s="331" t="s">
        <v>10</v>
      </c>
      <c r="J4917" s="1220" t="s">
        <v>3388</v>
      </c>
      <c r="K4917" s="1220"/>
      <c r="L4917" s="1221"/>
      <c r="N4917" s="10"/>
      <c r="O4917" s="336"/>
      <c r="P4917" s="334"/>
      <c r="Q4917" s="335"/>
      <c r="R4917" s="336"/>
      <c r="S4917" s="337"/>
    </row>
    <row r="4918" spans="1:19" ht="30" customHeight="1" x14ac:dyDescent="0.25">
      <c r="A4918" s="359" t="s">
        <v>295</v>
      </c>
      <c r="B4918" s="1222" t="s">
        <v>326</v>
      </c>
      <c r="C4918" s="1235"/>
      <c r="D4918" s="1223"/>
      <c r="E4918" s="577" t="s">
        <v>116</v>
      </c>
      <c r="F4918" s="577" t="s">
        <v>117</v>
      </c>
      <c r="G4918" s="1194" t="s">
        <v>118</v>
      </c>
      <c r="H4918" s="1195"/>
      <c r="I4918" s="356" t="s">
        <v>296</v>
      </c>
      <c r="J4918" s="356"/>
      <c r="K4918" s="1236" t="s">
        <v>285</v>
      </c>
      <c r="L4918" s="1237"/>
      <c r="N4918" s="10"/>
      <c r="O4918" s="336"/>
      <c r="P4918" s="334"/>
      <c r="Q4918" s="335"/>
      <c r="R4918" s="336"/>
      <c r="S4918" s="337"/>
    </row>
    <row r="4919" spans="1:19" ht="30" customHeight="1" x14ac:dyDescent="0.25">
      <c r="A4919" s="365"/>
      <c r="B4919" s="1214" t="s">
        <v>2674</v>
      </c>
      <c r="C4919" s="1215"/>
      <c r="D4919" s="1216"/>
      <c r="E4919" s="716"/>
      <c r="F4919" s="396"/>
      <c r="G4919" s="689"/>
      <c r="H4919" s="690"/>
      <c r="I4919" s="365"/>
      <c r="J4919" s="365"/>
      <c r="K4919" s="752"/>
      <c r="L4919" s="396"/>
      <c r="O4919" s="336"/>
      <c r="P4919" s="334"/>
      <c r="Q4919" s="335"/>
      <c r="R4919" s="336"/>
      <c r="S4919" s="337"/>
    </row>
    <row r="4920" spans="1:19" ht="30" customHeight="1" x14ac:dyDescent="0.25">
      <c r="A4920" s="365" t="s">
        <v>2675</v>
      </c>
      <c r="B4920" s="1214" t="s">
        <v>2676</v>
      </c>
      <c r="C4920" s="1215"/>
      <c r="D4920" s="1216"/>
      <c r="E4920" s="7">
        <f>+(14.95+18.3)/2</f>
        <v>16.625</v>
      </c>
      <c r="F4920" s="396" t="s">
        <v>40</v>
      </c>
      <c r="G4920" s="689"/>
      <c r="H4920" s="690"/>
      <c r="I4920" s="706">
        <v>1.04</v>
      </c>
      <c r="J4920" s="365"/>
      <c r="K4920" s="752">
        <f>+E4920*I4920</f>
        <v>17.29</v>
      </c>
      <c r="L4920" s="396" t="s">
        <v>40</v>
      </c>
      <c r="O4920" s="336"/>
      <c r="P4920" s="334"/>
      <c r="Q4920" s="335"/>
      <c r="R4920" s="336"/>
      <c r="S4920" s="337"/>
    </row>
    <row r="4921" spans="1:19" ht="30" customHeight="1" x14ac:dyDescent="0.25">
      <c r="A4921" s="365" t="s">
        <v>2675</v>
      </c>
      <c r="B4921" s="1214" t="s">
        <v>2677</v>
      </c>
      <c r="C4921" s="1215"/>
      <c r="D4921" s="1216"/>
      <c r="E4921" s="7">
        <f>+(17.35+20.95)/2</f>
        <v>19.149999999999999</v>
      </c>
      <c r="F4921" s="396" t="s">
        <v>40</v>
      </c>
      <c r="G4921" s="689"/>
      <c r="H4921" s="690"/>
      <c r="I4921" s="706">
        <v>1.04</v>
      </c>
      <c r="J4921" s="365"/>
      <c r="K4921" s="752">
        <f>+E4921*I4921</f>
        <v>19.916</v>
      </c>
      <c r="L4921" s="396" t="s">
        <v>40</v>
      </c>
      <c r="M4921" s="54"/>
      <c r="O4921" s="336"/>
      <c r="P4921" s="334"/>
      <c r="Q4921" s="335"/>
      <c r="R4921" s="336"/>
      <c r="S4921" s="337"/>
    </row>
    <row r="4922" spans="1:19" ht="30" customHeight="1" x14ac:dyDescent="0.25">
      <c r="A4922" s="365"/>
      <c r="B4922" s="561"/>
      <c r="C4922" s="562"/>
      <c r="D4922" s="563"/>
      <c r="E4922" s="7"/>
      <c r="F4922" s="396"/>
      <c r="G4922" s="689"/>
      <c r="H4922" s="690"/>
      <c r="I4922" s="365"/>
      <c r="J4922" s="486" t="s">
        <v>2678</v>
      </c>
      <c r="K4922" s="752">
        <f>AVERAGE(K4920:K4921)</f>
        <v>18.603000000000002</v>
      </c>
      <c r="L4922" s="396" t="s">
        <v>40</v>
      </c>
      <c r="O4922" s="336"/>
      <c r="P4922" s="334"/>
      <c r="Q4922" s="335"/>
      <c r="R4922" s="336"/>
      <c r="S4922" s="337"/>
    </row>
    <row r="4923" spans="1:19" ht="30" customHeight="1" x14ac:dyDescent="0.25">
      <c r="A4923" s="927" t="s">
        <v>339</v>
      </c>
      <c r="B4923" s="1214" t="s">
        <v>2679</v>
      </c>
      <c r="C4923" s="1215"/>
      <c r="D4923" s="1216"/>
      <c r="E4923" s="7">
        <v>7.25</v>
      </c>
      <c r="F4923" s="396" t="s">
        <v>40</v>
      </c>
      <c r="G4923" s="689"/>
      <c r="H4923" s="690"/>
      <c r="I4923" s="365">
        <v>1.05</v>
      </c>
      <c r="J4923" s="365"/>
      <c r="K4923" s="752">
        <f>+E4923*I4923</f>
        <v>7.6125000000000007</v>
      </c>
      <c r="L4923" s="396" t="s">
        <v>40</v>
      </c>
      <c r="N4923" s="54"/>
      <c r="O4923" s="336"/>
      <c r="P4923" s="334"/>
      <c r="Q4923" s="335"/>
      <c r="R4923" s="336"/>
      <c r="S4923" s="337"/>
    </row>
    <row r="4924" spans="1:19" ht="30" customHeight="1" x14ac:dyDescent="0.25">
      <c r="A4924" s="366"/>
      <c r="B4924" s="1269"/>
      <c r="C4924" s="1269"/>
      <c r="D4924" s="1269"/>
      <c r="E4924" s="247"/>
      <c r="F4924" s="365"/>
      <c r="G4924" s="365"/>
      <c r="H4924" s="365"/>
      <c r="I4924" s="365"/>
      <c r="J4924" s="365" t="s">
        <v>343</v>
      </c>
      <c r="K4924" s="259">
        <f>SUM(K4922:K4923)</f>
        <v>26.215500000000002</v>
      </c>
      <c r="L4924" s="365" t="s">
        <v>40</v>
      </c>
      <c r="O4924" s="336"/>
      <c r="P4924" s="334"/>
      <c r="Q4924" s="335"/>
      <c r="R4924" s="336"/>
      <c r="S4924" s="337"/>
    </row>
    <row r="4925" spans="1:19" ht="30" customHeight="1" x14ac:dyDescent="0.25">
      <c r="A4925" s="365"/>
      <c r="B4925" s="578"/>
      <c r="C4925" s="578"/>
      <c r="D4925" s="578"/>
      <c r="E4925" s="247"/>
      <c r="F4925" s="1272" t="s">
        <v>303</v>
      </c>
      <c r="G4925" s="1283" t="s">
        <v>304</v>
      </c>
      <c r="H4925" s="1283"/>
      <c r="I4925" s="1283"/>
      <c r="J4925" s="1283"/>
      <c r="K4925" s="250">
        <v>1.07</v>
      </c>
      <c r="L4925" s="365"/>
      <c r="N4925" s="131"/>
      <c r="O4925" s="867"/>
      <c r="P4925" s="334"/>
      <c r="Q4925" s="335"/>
      <c r="R4925" s="336"/>
      <c r="S4925" s="337"/>
    </row>
    <row r="4926" spans="1:19" ht="30" customHeight="1" x14ac:dyDescent="0.25">
      <c r="A4926" s="365"/>
      <c r="B4926" s="578"/>
      <c r="C4926" s="578"/>
      <c r="D4926" s="578"/>
      <c r="E4926" s="247"/>
      <c r="F4926" s="1273"/>
      <c r="G4926" s="1284" t="s">
        <v>438</v>
      </c>
      <c r="H4926" s="1284"/>
      <c r="I4926" s="1284"/>
      <c r="J4926" s="1284"/>
      <c r="K4926" s="250">
        <v>1.08</v>
      </c>
      <c r="L4926" s="365"/>
      <c r="O4926" s="336"/>
      <c r="P4926" s="334"/>
      <c r="Q4926" s="335"/>
      <c r="R4926" s="336"/>
      <c r="S4926" s="337"/>
    </row>
    <row r="4927" spans="1:19" ht="30" customHeight="1" x14ac:dyDescent="0.25">
      <c r="A4927" s="366"/>
      <c r="B4927" s="365"/>
      <c r="C4927" s="366"/>
      <c r="D4927" s="366"/>
      <c r="E4927" s="366"/>
      <c r="F4927" s="366"/>
      <c r="G4927" s="366"/>
      <c r="H4927" s="366"/>
      <c r="I4927" s="366"/>
      <c r="J4927" s="365" t="s">
        <v>72</v>
      </c>
      <c r="K4927" s="246">
        <f>+K4924*K4925/K4926</f>
        <v>25.972763888888892</v>
      </c>
      <c r="L4927" s="365" t="s">
        <v>40</v>
      </c>
      <c r="O4927" s="336"/>
      <c r="P4927" s="334"/>
      <c r="Q4927" s="335"/>
      <c r="R4927" s="336"/>
      <c r="S4927" s="337"/>
    </row>
    <row r="4928" spans="1:19" ht="30" customHeight="1" x14ac:dyDescent="0.25">
      <c r="A4928" s="365"/>
      <c r="B4928" s="365"/>
      <c r="C4928" s="366"/>
      <c r="D4928" s="366"/>
      <c r="E4928" s="366"/>
      <c r="F4928" s="366"/>
      <c r="G4928" s="580" t="s">
        <v>306</v>
      </c>
      <c r="H4928" s="366"/>
      <c r="I4928" s="366"/>
      <c r="J4928" s="521">
        <f>VLOOKUP(B4917,'Mil Cost Premiums for PUCs'!$A$4:$R$277,18,FALSE)</f>
        <v>1.0905505199999999</v>
      </c>
      <c r="K4928" s="246">
        <f>+K4927*J4928</f>
        <v>28.324611164865001</v>
      </c>
      <c r="L4928" s="365" t="s">
        <v>40</v>
      </c>
      <c r="N4928" s="10"/>
      <c r="O4928" s="336"/>
      <c r="P4928" s="334"/>
      <c r="Q4928" s="335"/>
      <c r="R4928" s="336"/>
      <c r="S4928" s="337"/>
    </row>
    <row r="4929" spans="1:19" ht="30" customHeight="1" thickBot="1" x14ac:dyDescent="0.3">
      <c r="A4929" s="844"/>
      <c r="B4929" s="844"/>
      <c r="C4929" s="471"/>
      <c r="D4929" s="471"/>
      <c r="E4929" s="471"/>
      <c r="F4929" s="1278" t="s">
        <v>1148</v>
      </c>
      <c r="G4929" s="1278"/>
      <c r="H4929" s="1278"/>
      <c r="I4929" s="1278"/>
      <c r="J4929" s="987">
        <v>1.0833999999999999</v>
      </c>
      <c r="K4929" s="1060">
        <f>K4928*J4929</f>
        <v>30.686883736014739</v>
      </c>
      <c r="L4929" s="365" t="s">
        <v>40</v>
      </c>
      <c r="O4929" s="336"/>
      <c r="P4929" s="334"/>
      <c r="Q4929" s="335"/>
      <c r="R4929" s="336"/>
      <c r="S4929" s="337"/>
    </row>
    <row r="4930" spans="1:19" ht="30" customHeight="1" thickBot="1" x14ac:dyDescent="0.3">
      <c r="A4930" s="1180"/>
      <c r="B4930" s="1181"/>
      <c r="C4930" s="1181"/>
      <c r="D4930" s="1181"/>
      <c r="E4930" s="1181"/>
      <c r="F4930" s="1181"/>
      <c r="G4930" s="1181"/>
      <c r="H4930" s="1181"/>
      <c r="I4930" s="1181"/>
      <c r="J4930" s="1181"/>
      <c r="K4930" s="1181"/>
      <c r="L4930" s="1182"/>
      <c r="O4930" s="336"/>
      <c r="P4930" s="334"/>
      <c r="Q4930" s="335"/>
      <c r="R4930" s="336"/>
      <c r="S4930" s="337"/>
    </row>
    <row r="4931" spans="1:19" ht="30" customHeight="1" x14ac:dyDescent="0.25">
      <c r="A4931" s="327" t="s">
        <v>5</v>
      </c>
      <c r="B4931" s="328">
        <v>8712</v>
      </c>
      <c r="C4931" s="1251" t="s">
        <v>2680</v>
      </c>
      <c r="D4931" s="1252"/>
      <c r="E4931" s="331" t="s">
        <v>8</v>
      </c>
      <c r="F4931" s="332" t="s">
        <v>40</v>
      </c>
      <c r="G4931" s="342" t="s">
        <v>74</v>
      </c>
      <c r="H4931" s="176">
        <v>919</v>
      </c>
      <c r="I4931" s="331" t="s">
        <v>10</v>
      </c>
      <c r="J4931" s="1220" t="s">
        <v>3388</v>
      </c>
      <c r="K4931" s="1220"/>
      <c r="L4931" s="1221"/>
      <c r="M4931" s="10"/>
      <c r="O4931" s="336"/>
      <c r="P4931" s="334"/>
      <c r="Q4931" s="335"/>
      <c r="R4931" s="336"/>
      <c r="S4931" s="337"/>
    </row>
    <row r="4932" spans="1:19" ht="30" customHeight="1" x14ac:dyDescent="0.25">
      <c r="A4932" s="359" t="s">
        <v>295</v>
      </c>
      <c r="B4932" s="1222" t="s">
        <v>326</v>
      </c>
      <c r="C4932" s="1235"/>
      <c r="D4932" s="1223"/>
      <c r="E4932" s="577" t="s">
        <v>116</v>
      </c>
      <c r="F4932" s="577" t="s">
        <v>117</v>
      </c>
      <c r="G4932" s="1194" t="s">
        <v>118</v>
      </c>
      <c r="H4932" s="1195"/>
      <c r="I4932" s="356" t="s">
        <v>296</v>
      </c>
      <c r="J4932" s="356"/>
      <c r="K4932" s="1236" t="s">
        <v>285</v>
      </c>
      <c r="L4932" s="1237"/>
      <c r="M4932" s="10"/>
      <c r="O4932" s="336"/>
      <c r="P4932" s="334"/>
      <c r="Q4932" s="335"/>
      <c r="R4932" s="336"/>
      <c r="S4932" s="337"/>
    </row>
    <row r="4933" spans="1:19" ht="30" customHeight="1" x14ac:dyDescent="0.25">
      <c r="A4933" s="365" t="s">
        <v>533</v>
      </c>
      <c r="B4933" s="1209" t="s">
        <v>2681</v>
      </c>
      <c r="C4933" s="1210"/>
      <c r="D4933" s="1211"/>
      <c r="E4933" s="7">
        <v>15.05</v>
      </c>
      <c r="F4933" s="396" t="s">
        <v>205</v>
      </c>
      <c r="G4933" s="20">
        <v>8</v>
      </c>
      <c r="H4933" s="690" t="s">
        <v>2682</v>
      </c>
      <c r="I4933" s="706">
        <v>1</v>
      </c>
      <c r="J4933" s="396"/>
      <c r="K4933" s="246">
        <f>+E4933*G4933*I4933</f>
        <v>120.4</v>
      </c>
      <c r="L4933" s="396" t="s">
        <v>40</v>
      </c>
      <c r="M4933" s="10"/>
      <c r="O4933" s="336"/>
      <c r="P4933" s="334"/>
      <c r="Q4933" s="335"/>
      <c r="R4933" s="336"/>
      <c r="S4933" s="337"/>
    </row>
    <row r="4934" spans="1:19" ht="30" customHeight="1" x14ac:dyDescent="0.25">
      <c r="A4934" s="755"/>
      <c r="B4934" s="1214" t="s">
        <v>2683</v>
      </c>
      <c r="C4934" s="1215"/>
      <c r="D4934" s="1216"/>
      <c r="E4934" s="247"/>
      <c r="F4934" s="396"/>
      <c r="G4934" s="661"/>
      <c r="H4934" s="698"/>
      <c r="I4934" s="365"/>
      <c r="J4934" s="365"/>
      <c r="K4934" s="247">
        <f>+K4933*2</f>
        <v>240.8</v>
      </c>
      <c r="L4934" s="365" t="s">
        <v>40</v>
      </c>
      <c r="M4934" s="10"/>
      <c r="O4934" s="336"/>
      <c r="P4934" s="334"/>
      <c r="Q4934" s="335"/>
      <c r="R4934" s="336"/>
      <c r="S4934" s="337"/>
    </row>
    <row r="4935" spans="1:19" ht="30" customHeight="1" x14ac:dyDescent="0.25">
      <c r="A4935" s="755"/>
      <c r="B4935" s="1214" t="s">
        <v>2684</v>
      </c>
      <c r="C4935" s="1215"/>
      <c r="D4935" s="1216"/>
      <c r="E4935" s="247"/>
      <c r="F4935" s="365"/>
      <c r="G4935" s="365"/>
      <c r="H4935" s="365"/>
      <c r="I4935" s="365"/>
      <c r="J4935" s="365"/>
      <c r="K4935" s="247"/>
      <c r="L4935" s="365"/>
      <c r="P4935" s="334"/>
      <c r="Q4935" s="335"/>
      <c r="R4935" s="336"/>
      <c r="S4935" s="337"/>
    </row>
    <row r="4936" spans="1:19" ht="30" customHeight="1" x14ac:dyDescent="0.25">
      <c r="A4936" s="365"/>
      <c r="B4936" s="578"/>
      <c r="C4936" s="578"/>
      <c r="D4936" s="578"/>
      <c r="E4936" s="247"/>
      <c r="F4936" s="1272" t="s">
        <v>303</v>
      </c>
      <c r="G4936" s="1283" t="s">
        <v>304</v>
      </c>
      <c r="H4936" s="1283"/>
      <c r="I4936" s="1283"/>
      <c r="J4936" s="1283"/>
      <c r="K4936" s="250">
        <v>1.07</v>
      </c>
      <c r="L4936" s="365"/>
      <c r="P4936" s="334"/>
      <c r="Q4936" s="335"/>
      <c r="R4936" s="336"/>
      <c r="S4936" s="337"/>
    </row>
    <row r="4937" spans="1:19" ht="30" customHeight="1" x14ac:dyDescent="0.25">
      <c r="A4937" s="365"/>
      <c r="B4937" s="578"/>
      <c r="C4937" s="578"/>
      <c r="D4937" s="578"/>
      <c r="E4937" s="247"/>
      <c r="F4937" s="1273"/>
      <c r="G4937" s="1284" t="s">
        <v>438</v>
      </c>
      <c r="H4937" s="1284"/>
      <c r="I4937" s="1284"/>
      <c r="J4937" s="1284"/>
      <c r="K4937" s="250">
        <v>1.08</v>
      </c>
      <c r="L4937" s="365"/>
      <c r="P4937" s="334"/>
      <c r="Q4937" s="335"/>
      <c r="R4937" s="336"/>
      <c r="S4937" s="337"/>
    </row>
    <row r="4938" spans="1:19" ht="30" customHeight="1" x14ac:dyDescent="0.25">
      <c r="A4938" s="365"/>
      <c r="B4938" s="365"/>
      <c r="C4938" s="366"/>
      <c r="D4938" s="366"/>
      <c r="E4938" s="366"/>
      <c r="F4938" s="366"/>
      <c r="G4938" s="366"/>
      <c r="H4938" s="366"/>
      <c r="I4938" s="366"/>
      <c r="J4938" s="366" t="s">
        <v>72</v>
      </c>
      <c r="K4938" s="246">
        <f>+K4934*K4936/K4937</f>
        <v>238.57037037037037</v>
      </c>
      <c r="L4938" s="365" t="s">
        <v>40</v>
      </c>
      <c r="P4938" s="334"/>
      <c r="Q4938" s="335"/>
      <c r="R4938" s="336"/>
      <c r="S4938" s="337"/>
    </row>
    <row r="4939" spans="1:19" ht="30" customHeight="1" x14ac:dyDescent="0.25">
      <c r="A4939" s="365"/>
      <c r="B4939" s="365"/>
      <c r="C4939" s="366"/>
      <c r="D4939" s="366"/>
      <c r="E4939" s="366"/>
      <c r="F4939" s="366"/>
      <c r="G4939" s="580" t="s">
        <v>306</v>
      </c>
      <c r="H4939" s="366"/>
      <c r="I4939" s="366"/>
      <c r="J4939" s="521">
        <f>VLOOKUP(B4931,'Mil Cost Premiums for PUCs'!$A$4:$R$277,18,FALSE)</f>
        <v>1.0209999999999999</v>
      </c>
      <c r="K4939" s="246">
        <f>+K4938*J4939</f>
        <v>243.58034814814812</v>
      </c>
      <c r="L4939" s="365" t="s">
        <v>40</v>
      </c>
      <c r="M4939" s="54"/>
      <c r="P4939" s="334"/>
      <c r="Q4939" s="335"/>
      <c r="R4939" s="336"/>
      <c r="S4939" s="337"/>
    </row>
    <row r="4940" spans="1:19" ht="30" customHeight="1" thickBot="1" x14ac:dyDescent="0.3">
      <c r="A4940" s="844"/>
      <c r="B4940" s="844"/>
      <c r="C4940" s="471"/>
      <c r="D4940" s="471"/>
      <c r="E4940" s="471"/>
      <c r="F4940" s="1278" t="s">
        <v>1148</v>
      </c>
      <c r="G4940" s="1278"/>
      <c r="H4940" s="1278"/>
      <c r="I4940" s="1278"/>
      <c r="J4940" s="987">
        <v>1.0833999999999999</v>
      </c>
      <c r="K4940" s="1060">
        <f>K4939*J4940</f>
        <v>263.89494918370366</v>
      </c>
      <c r="L4940" s="365" t="s">
        <v>40</v>
      </c>
      <c r="O4940" s="336"/>
      <c r="P4940" s="334"/>
      <c r="Q4940" s="335"/>
      <c r="R4940" s="336"/>
      <c r="S4940" s="337"/>
    </row>
    <row r="4941" spans="1:19" ht="30" customHeight="1" thickBot="1" x14ac:dyDescent="0.3">
      <c r="A4941" s="1180"/>
      <c r="B4941" s="1181"/>
      <c r="C4941" s="1181"/>
      <c r="D4941" s="1181"/>
      <c r="E4941" s="1181"/>
      <c r="F4941" s="1181"/>
      <c r="G4941" s="1181"/>
      <c r="H4941" s="1181"/>
      <c r="I4941" s="1181"/>
      <c r="J4941" s="1181"/>
      <c r="K4941" s="1181"/>
      <c r="L4941" s="1182"/>
      <c r="P4941" s="334"/>
      <c r="Q4941" s="335"/>
      <c r="R4941" s="336"/>
      <c r="S4941" s="337"/>
    </row>
    <row r="4942" spans="1:19" ht="30" customHeight="1" x14ac:dyDescent="0.25">
      <c r="A4942" s="327" t="s">
        <v>5</v>
      </c>
      <c r="B4942" s="328">
        <v>8713</v>
      </c>
      <c r="C4942" s="1251" t="s">
        <v>2685</v>
      </c>
      <c r="D4942" s="1252"/>
      <c r="E4942" s="331" t="s">
        <v>8</v>
      </c>
      <c r="F4942" s="332" t="s">
        <v>76</v>
      </c>
      <c r="G4942" s="333" t="s">
        <v>7</v>
      </c>
      <c r="H4942" s="176">
        <v>1</v>
      </c>
      <c r="I4942" s="331" t="s">
        <v>10</v>
      </c>
      <c r="J4942" s="1220" t="s">
        <v>1567</v>
      </c>
      <c r="K4942" s="1220"/>
      <c r="L4942" s="1221"/>
      <c r="M4942" s="218"/>
      <c r="P4942" s="334"/>
      <c r="Q4942" s="335"/>
      <c r="R4942" s="336"/>
      <c r="S4942" s="337"/>
    </row>
    <row r="4943" spans="1:19" ht="30" customHeight="1" x14ac:dyDescent="0.25">
      <c r="A4943" s="356" t="s">
        <v>12</v>
      </c>
      <c r="B4943" s="1163" t="s">
        <v>13</v>
      </c>
      <c r="C4943" s="1163"/>
      <c r="D4943" s="1163"/>
      <c r="E4943" s="356" t="s">
        <v>14</v>
      </c>
      <c r="F4943" s="356" t="s">
        <v>15</v>
      </c>
      <c r="G4943" s="356" t="s">
        <v>16</v>
      </c>
      <c r="H4943" s="356" t="s">
        <v>17</v>
      </c>
      <c r="I4943" s="356" t="s">
        <v>18</v>
      </c>
      <c r="J4943" s="359" t="s">
        <v>19</v>
      </c>
      <c r="K4943" s="359" t="s">
        <v>20</v>
      </c>
      <c r="L4943" s="359"/>
      <c r="P4943" s="334"/>
      <c r="Q4943" s="335"/>
      <c r="R4943" s="336"/>
      <c r="S4943" s="337"/>
    </row>
    <row r="4944" spans="1:19" ht="30" customHeight="1" x14ac:dyDescent="0.25">
      <c r="A4944" s="732" t="s">
        <v>2686</v>
      </c>
      <c r="B4944" s="1245" t="s">
        <v>2687</v>
      </c>
      <c r="C4944" s="1245"/>
      <c r="D4944" s="1245"/>
      <c r="E4944" s="732">
        <v>796</v>
      </c>
      <c r="F4944" s="360" t="s">
        <v>40</v>
      </c>
      <c r="G4944" s="363">
        <v>11692.03</v>
      </c>
      <c r="H4944" s="363">
        <v>11915.6</v>
      </c>
      <c r="I4944" s="363">
        <v>1986.51</v>
      </c>
      <c r="J4944" s="363">
        <v>13980.15</v>
      </c>
      <c r="K4944" s="363">
        <v>25594.14</v>
      </c>
      <c r="L4944" s="360" t="s">
        <v>76</v>
      </c>
      <c r="O4944" s="336"/>
      <c r="P4944" s="334"/>
      <c r="Q4944" s="335"/>
      <c r="R4944" s="336"/>
      <c r="S4944" s="337"/>
    </row>
    <row r="4945" spans="1:19" ht="30" customHeight="1" x14ac:dyDescent="0.25">
      <c r="A4945" s="732" t="s">
        <v>2688</v>
      </c>
      <c r="B4945" s="1164" t="s">
        <v>2689</v>
      </c>
      <c r="C4945" s="1164"/>
      <c r="D4945" s="1164"/>
      <c r="E4945" s="732">
        <v>1.62</v>
      </c>
      <c r="F4945" s="360" t="s">
        <v>2690</v>
      </c>
      <c r="G4945" s="363">
        <v>0</v>
      </c>
      <c r="H4945" s="363">
        <v>5506.29</v>
      </c>
      <c r="I4945" s="363">
        <v>7154.4</v>
      </c>
      <c r="J4945" s="363">
        <v>6969.63</v>
      </c>
      <c r="K4945" s="363">
        <v>12660.7</v>
      </c>
      <c r="L4945" s="360" t="s">
        <v>76</v>
      </c>
      <c r="M4945" s="10"/>
      <c r="O4945" s="336"/>
      <c r="P4945" s="334"/>
      <c r="Q4945" s="335"/>
      <c r="R4945" s="336"/>
      <c r="S4945" s="337"/>
    </row>
    <row r="4946" spans="1:19" ht="30" customHeight="1" x14ac:dyDescent="0.25">
      <c r="A4946" s="732" t="s">
        <v>2691</v>
      </c>
      <c r="B4946" s="1164" t="s">
        <v>2692</v>
      </c>
      <c r="C4946" s="1164"/>
      <c r="D4946" s="1164"/>
      <c r="E4946" s="386">
        <v>3131.15</v>
      </c>
      <c r="F4946" s="360" t="s">
        <v>9</v>
      </c>
      <c r="G4946" s="363">
        <v>0</v>
      </c>
      <c r="H4946" s="363">
        <v>41197.71</v>
      </c>
      <c r="I4946" s="363">
        <v>0</v>
      </c>
      <c r="J4946" s="363">
        <v>19436.39</v>
      </c>
      <c r="K4946" s="363">
        <v>41197.71</v>
      </c>
      <c r="L4946" s="360" t="s">
        <v>76</v>
      </c>
      <c r="O4946" s="336"/>
      <c r="P4946" s="334"/>
      <c r="Q4946" s="335"/>
      <c r="R4946" s="336"/>
      <c r="S4946" s="337"/>
    </row>
    <row r="4947" spans="1:19" ht="30" customHeight="1" x14ac:dyDescent="0.25">
      <c r="A4947" s="732" t="s">
        <v>2693</v>
      </c>
      <c r="B4947" s="1164" t="s">
        <v>2694</v>
      </c>
      <c r="C4947" s="1164"/>
      <c r="D4947" s="1164"/>
      <c r="E4947" s="386">
        <v>1004.61</v>
      </c>
      <c r="F4947" s="360" t="s">
        <v>25</v>
      </c>
      <c r="G4947" s="363">
        <v>0</v>
      </c>
      <c r="H4947" s="363">
        <v>149307.88</v>
      </c>
      <c r="I4947" s="363">
        <v>0</v>
      </c>
      <c r="J4947" s="363">
        <v>70440.960000000006</v>
      </c>
      <c r="K4947" s="363">
        <v>149307.88</v>
      </c>
      <c r="L4947" s="360" t="s">
        <v>76</v>
      </c>
      <c r="O4947" s="336"/>
      <c r="P4947" s="334"/>
      <c r="Q4947" s="335"/>
      <c r="R4947" s="336"/>
      <c r="S4947" s="337"/>
    </row>
    <row r="4948" spans="1:19" ht="30" customHeight="1" x14ac:dyDescent="0.25">
      <c r="A4948" s="732" t="s">
        <v>2695</v>
      </c>
      <c r="B4948" s="1164" t="s">
        <v>2696</v>
      </c>
      <c r="C4948" s="1164"/>
      <c r="D4948" s="1164"/>
      <c r="E4948" s="386">
        <v>20092.23</v>
      </c>
      <c r="F4948" s="360" t="s">
        <v>25</v>
      </c>
      <c r="G4948" s="363">
        <v>0</v>
      </c>
      <c r="H4948" s="363">
        <v>182860.02</v>
      </c>
      <c r="I4948" s="363">
        <v>106861.03</v>
      </c>
      <c r="J4948" s="363">
        <v>151570.04</v>
      </c>
      <c r="K4948" s="363">
        <v>289721.05</v>
      </c>
      <c r="L4948" s="360" t="s">
        <v>76</v>
      </c>
      <c r="O4948" s="336"/>
      <c r="P4948" s="334"/>
      <c r="Q4948" s="335"/>
      <c r="R4948" s="336"/>
      <c r="S4948" s="337"/>
    </row>
    <row r="4949" spans="1:19" ht="30" customHeight="1" x14ac:dyDescent="0.25">
      <c r="A4949" s="732" t="s">
        <v>2697</v>
      </c>
      <c r="B4949" s="1164" t="s">
        <v>2698</v>
      </c>
      <c r="C4949" s="1164"/>
      <c r="D4949" s="1164"/>
      <c r="E4949" s="386">
        <v>20092.23</v>
      </c>
      <c r="F4949" s="360" t="s">
        <v>25</v>
      </c>
      <c r="G4949" s="363">
        <v>1193868.69</v>
      </c>
      <c r="H4949" s="363">
        <v>123285.71</v>
      </c>
      <c r="I4949" s="363">
        <v>317295.07</v>
      </c>
      <c r="J4949" s="363">
        <v>981593.46</v>
      </c>
      <c r="K4949" s="363">
        <v>1634449.47</v>
      </c>
      <c r="L4949" s="360" t="s">
        <v>76</v>
      </c>
      <c r="O4949" s="336"/>
      <c r="P4949" s="334"/>
      <c r="Q4949" s="335"/>
      <c r="R4949" s="336"/>
      <c r="S4949" s="337"/>
    </row>
    <row r="4950" spans="1:19" ht="30" customHeight="1" x14ac:dyDescent="0.25">
      <c r="A4950" s="732" t="s">
        <v>2699</v>
      </c>
      <c r="B4950" s="1164" t="s">
        <v>2700</v>
      </c>
      <c r="C4950" s="1164"/>
      <c r="D4950" s="1164"/>
      <c r="E4950" s="386">
        <v>2009.22</v>
      </c>
      <c r="F4950" s="360" t="s">
        <v>25</v>
      </c>
      <c r="G4950" s="363">
        <v>0</v>
      </c>
      <c r="H4950" s="363">
        <v>7033.07</v>
      </c>
      <c r="I4950" s="363">
        <v>822.01</v>
      </c>
      <c r="J4950" s="363">
        <v>3820.39</v>
      </c>
      <c r="K4950" s="363">
        <v>7855.07</v>
      </c>
      <c r="L4950" s="360" t="s">
        <v>76</v>
      </c>
      <c r="N4950" s="54"/>
      <c r="O4950" s="336"/>
      <c r="P4950" s="334"/>
      <c r="Q4950" s="335"/>
      <c r="R4950" s="336"/>
      <c r="S4950" s="337"/>
    </row>
    <row r="4951" spans="1:19" ht="30" customHeight="1" x14ac:dyDescent="0.25">
      <c r="A4951" s="732" t="s">
        <v>2701</v>
      </c>
      <c r="B4951" s="1164" t="s">
        <v>2702</v>
      </c>
      <c r="C4951" s="1164"/>
      <c r="D4951" s="1164"/>
      <c r="E4951" s="386">
        <v>18083</v>
      </c>
      <c r="F4951" s="360" t="s">
        <v>25</v>
      </c>
      <c r="G4951" s="363">
        <v>0</v>
      </c>
      <c r="H4951" s="363">
        <v>17499.95</v>
      </c>
      <c r="I4951" s="363">
        <v>45868.03</v>
      </c>
      <c r="J4951" s="363">
        <v>36284.83</v>
      </c>
      <c r="K4951" s="363">
        <v>63367.97</v>
      </c>
      <c r="L4951" s="360" t="s">
        <v>76</v>
      </c>
      <c r="O4951" s="336"/>
      <c r="P4951" s="334"/>
      <c r="Q4951" s="335"/>
      <c r="R4951" s="336"/>
      <c r="S4951" s="337"/>
    </row>
    <row r="4952" spans="1:19" ht="30" customHeight="1" x14ac:dyDescent="0.25">
      <c r="A4952" s="732" t="s">
        <v>2703</v>
      </c>
      <c r="B4952" s="1164" t="s">
        <v>2704</v>
      </c>
      <c r="C4952" s="1164"/>
      <c r="D4952" s="1164"/>
      <c r="E4952" s="386">
        <v>928</v>
      </c>
      <c r="F4952" s="360" t="s">
        <v>40</v>
      </c>
      <c r="G4952" s="363">
        <v>4690.68</v>
      </c>
      <c r="H4952" s="363">
        <v>7509.46</v>
      </c>
      <c r="I4952" s="363">
        <v>4176.2700000000004</v>
      </c>
      <c r="J4952" s="363">
        <v>8961.18</v>
      </c>
      <c r="K4952" s="363">
        <v>16376.41</v>
      </c>
      <c r="L4952" s="360" t="s">
        <v>76</v>
      </c>
      <c r="O4952" s="336"/>
      <c r="P4952" s="334"/>
      <c r="Q4952" s="335"/>
      <c r="R4952" s="336"/>
      <c r="S4952" s="337"/>
    </row>
    <row r="4953" spans="1:19" ht="30" customHeight="1" x14ac:dyDescent="0.25">
      <c r="A4953" s="732" t="s">
        <v>2705</v>
      </c>
      <c r="B4953" s="1164" t="s">
        <v>2706</v>
      </c>
      <c r="C4953" s="1164"/>
      <c r="D4953" s="1164"/>
      <c r="E4953" s="386">
        <v>2009.22</v>
      </c>
      <c r="F4953" s="360" t="s">
        <v>25</v>
      </c>
      <c r="G4953" s="363">
        <v>82520.08</v>
      </c>
      <c r="H4953" s="363">
        <v>18368.72</v>
      </c>
      <c r="I4953" s="363">
        <v>14302.92</v>
      </c>
      <c r="J4953" s="363">
        <v>67831.839999999997</v>
      </c>
      <c r="K4953" s="363">
        <v>115191.71</v>
      </c>
      <c r="L4953" s="360" t="s">
        <v>76</v>
      </c>
      <c r="O4953" s="336"/>
      <c r="P4953" s="334"/>
      <c r="Q4953" s="335"/>
      <c r="R4953" s="336"/>
      <c r="S4953" s="337"/>
    </row>
    <row r="4954" spans="1:19" ht="30" customHeight="1" x14ac:dyDescent="0.25">
      <c r="A4954" s="732" t="s">
        <v>2707</v>
      </c>
      <c r="B4954" s="1203" t="s">
        <v>2708</v>
      </c>
      <c r="C4954" s="1204"/>
      <c r="D4954" s="1205"/>
      <c r="E4954" s="386">
        <v>1.62</v>
      </c>
      <c r="F4954" s="360" t="s">
        <v>2690</v>
      </c>
      <c r="G4954" s="363">
        <v>2795.37</v>
      </c>
      <c r="H4954" s="363">
        <v>2146.1</v>
      </c>
      <c r="I4954" s="363">
        <v>2635.84</v>
      </c>
      <c r="J4954" s="363">
        <v>4331.3599999999997</v>
      </c>
      <c r="K4954" s="363">
        <v>7577.32</v>
      </c>
      <c r="L4954" s="360" t="s">
        <v>76</v>
      </c>
      <c r="O4954" s="336"/>
      <c r="P4954" s="334"/>
      <c r="Q4954" s="335"/>
      <c r="R4954" s="336"/>
      <c r="S4954" s="337"/>
    </row>
    <row r="4955" spans="1:19" ht="30" customHeight="1" x14ac:dyDescent="0.25">
      <c r="A4955" s="732" t="s">
        <v>2709</v>
      </c>
      <c r="B4955" s="1164" t="s">
        <v>2710</v>
      </c>
      <c r="C4955" s="1164"/>
      <c r="D4955" s="1164"/>
      <c r="E4955" s="732">
        <v>1.62</v>
      </c>
      <c r="F4955" s="360" t="s">
        <v>2690</v>
      </c>
      <c r="G4955" s="363">
        <v>13.86</v>
      </c>
      <c r="H4955" s="363">
        <v>550.32000000000005</v>
      </c>
      <c r="I4955" s="363">
        <v>0</v>
      </c>
      <c r="J4955" s="363">
        <v>268.10000000000002</v>
      </c>
      <c r="K4955" s="363">
        <v>564.17999999999995</v>
      </c>
      <c r="L4955" s="360" t="s">
        <v>76</v>
      </c>
      <c r="O4955" s="336"/>
      <c r="P4955" s="334"/>
      <c r="Q4955" s="335"/>
      <c r="R4955" s="336"/>
      <c r="S4955" s="337"/>
    </row>
    <row r="4956" spans="1:19" ht="30" customHeight="1" x14ac:dyDescent="0.25">
      <c r="A4956" s="1352" t="s">
        <v>2711</v>
      </c>
      <c r="B4956" s="1353"/>
      <c r="C4956" s="1353"/>
      <c r="D4956" s="1354"/>
      <c r="E4956" s="366"/>
      <c r="F4956" s="366"/>
      <c r="G4956" s="366"/>
      <c r="H4956" s="366"/>
      <c r="I4956" s="366"/>
      <c r="J4956" s="398"/>
      <c r="K4956" s="242">
        <f>SUM(K4944:K4955)</f>
        <v>2363863.6100000003</v>
      </c>
      <c r="L4956" s="360" t="s">
        <v>76</v>
      </c>
      <c r="N4956" s="10"/>
      <c r="P4956" s="334"/>
      <c r="Q4956" s="335"/>
      <c r="R4956" s="336"/>
      <c r="S4956" s="337"/>
    </row>
    <row r="4957" spans="1:19" ht="30" customHeight="1" thickBot="1" x14ac:dyDescent="0.3">
      <c r="A4957" s="1384"/>
      <c r="B4957" s="1385"/>
      <c r="C4957" s="1385"/>
      <c r="D4957" s="1386"/>
      <c r="E4957" s="1279" t="s">
        <v>2712</v>
      </c>
      <c r="F4957" s="1280"/>
      <c r="G4957" s="1551"/>
      <c r="H4957" s="366"/>
      <c r="I4957" s="366"/>
      <c r="J4957" s="456" t="s">
        <v>72</v>
      </c>
      <c r="K4957" s="240">
        <f>+K4956/H4942</f>
        <v>2363863.6100000003</v>
      </c>
      <c r="L4957" s="360" t="s">
        <v>76</v>
      </c>
      <c r="N4957" s="10"/>
      <c r="O4957" s="336"/>
      <c r="P4957" s="334"/>
      <c r="Q4957" s="335"/>
      <c r="R4957" s="336"/>
      <c r="S4957" s="337"/>
    </row>
    <row r="4958" spans="1:19" ht="30" customHeight="1" thickBot="1" x14ac:dyDescent="0.3">
      <c r="A4958" s="1068"/>
      <c r="B4958" s="1069"/>
      <c r="C4958" s="1069"/>
      <c r="D4958" s="1069"/>
      <c r="E4958" s="1069"/>
      <c r="F4958" s="1069"/>
      <c r="G4958" s="1069"/>
      <c r="H4958" s="1069"/>
      <c r="I4958" s="1069"/>
      <c r="J4958" s="1069"/>
      <c r="K4958" s="1069"/>
      <c r="L4958" s="1070"/>
      <c r="P4958" s="334"/>
      <c r="Q4958" s="335"/>
      <c r="R4958" s="336"/>
      <c r="S4958" s="337"/>
    </row>
    <row r="4959" spans="1:19" ht="30" customHeight="1" x14ac:dyDescent="0.25">
      <c r="A4959" s="327" t="s">
        <v>5</v>
      </c>
      <c r="B4959" s="328">
        <v>8714</v>
      </c>
      <c r="C4959" s="1251" t="s">
        <v>2713</v>
      </c>
      <c r="D4959" s="1252"/>
      <c r="E4959" s="331" t="s">
        <v>8</v>
      </c>
      <c r="F4959" s="332" t="s">
        <v>40</v>
      </c>
      <c r="G4959" s="342" t="s">
        <v>74</v>
      </c>
      <c r="H4959" s="176">
        <v>1427</v>
      </c>
      <c r="I4959" s="331" t="s">
        <v>10</v>
      </c>
      <c r="J4959" s="1220" t="s">
        <v>3388</v>
      </c>
      <c r="K4959" s="1220"/>
      <c r="L4959" s="1221"/>
      <c r="O4959" s="336"/>
      <c r="P4959" s="334"/>
      <c r="Q4959" s="335"/>
      <c r="R4959" s="336"/>
      <c r="S4959" s="337"/>
    </row>
    <row r="4960" spans="1:19" ht="30" customHeight="1" x14ac:dyDescent="0.25">
      <c r="A4960" s="359" t="s">
        <v>295</v>
      </c>
      <c r="B4960" s="1222" t="s">
        <v>326</v>
      </c>
      <c r="C4960" s="1235"/>
      <c r="D4960" s="1223"/>
      <c r="E4960" s="577" t="s">
        <v>116</v>
      </c>
      <c r="F4960" s="577" t="s">
        <v>117</v>
      </c>
      <c r="G4960" s="1194" t="s">
        <v>118</v>
      </c>
      <c r="H4960" s="1195"/>
      <c r="I4960" s="356" t="s">
        <v>296</v>
      </c>
      <c r="J4960" s="356"/>
      <c r="K4960" s="1236" t="s">
        <v>285</v>
      </c>
      <c r="L4960" s="1237"/>
      <c r="P4960" s="334"/>
      <c r="Q4960" s="335"/>
      <c r="R4960" s="336"/>
      <c r="S4960" s="337"/>
    </row>
    <row r="4961" spans="1:19" ht="30" customHeight="1" x14ac:dyDescent="0.25">
      <c r="A4961" s="365" t="s">
        <v>535</v>
      </c>
      <c r="B4961" s="1209" t="s">
        <v>2714</v>
      </c>
      <c r="C4961" s="1210"/>
      <c r="D4961" s="1211"/>
      <c r="E4961" s="7">
        <f>+(5.17+7.26)/2</f>
        <v>6.2149999999999999</v>
      </c>
      <c r="F4961" s="396" t="s">
        <v>25</v>
      </c>
      <c r="G4961" s="689">
        <v>2.37</v>
      </c>
      <c r="H4961" s="690" t="s">
        <v>2715</v>
      </c>
      <c r="I4961" s="365">
        <v>1.03</v>
      </c>
      <c r="J4961" s="396"/>
      <c r="K4961" s="246">
        <f t="shared" ref="K4961:K4966" si="65">+E4961*G4961*I4961</f>
        <v>15.1714365</v>
      </c>
      <c r="L4961" s="396" t="s">
        <v>40</v>
      </c>
      <c r="O4961" s="336"/>
      <c r="P4961" s="334"/>
      <c r="Q4961" s="335"/>
      <c r="R4961" s="336"/>
      <c r="S4961" s="337"/>
    </row>
    <row r="4962" spans="1:19" ht="30" customHeight="1" x14ac:dyDescent="0.25">
      <c r="A4962" s="365" t="s">
        <v>535</v>
      </c>
      <c r="B4962" s="1209" t="s">
        <v>2716</v>
      </c>
      <c r="C4962" s="1210"/>
      <c r="D4962" s="1211"/>
      <c r="E4962" s="7">
        <v>23.4</v>
      </c>
      <c r="F4962" s="396" t="s">
        <v>25</v>
      </c>
      <c r="G4962" s="22">
        <v>7.33</v>
      </c>
      <c r="H4962" s="690" t="s">
        <v>2715</v>
      </c>
      <c r="I4962" s="365">
        <v>1.03</v>
      </c>
      <c r="J4962" s="396"/>
      <c r="K4962" s="246">
        <f t="shared" si="65"/>
        <v>176.66765999999998</v>
      </c>
      <c r="L4962" s="396" t="s">
        <v>40</v>
      </c>
      <c r="P4962" s="334"/>
      <c r="Q4962" s="335"/>
      <c r="R4962" s="336"/>
      <c r="S4962" s="337"/>
    </row>
    <row r="4963" spans="1:19" ht="30" customHeight="1" x14ac:dyDescent="0.25">
      <c r="A4963" s="365" t="s">
        <v>535</v>
      </c>
      <c r="B4963" s="1214" t="s">
        <v>2717</v>
      </c>
      <c r="C4963" s="1215"/>
      <c r="D4963" s="1216"/>
      <c r="E4963" s="247">
        <f>+(10.5+18)/2</f>
        <v>14.25</v>
      </c>
      <c r="F4963" s="396" t="s">
        <v>9</v>
      </c>
      <c r="G4963" s="661">
        <v>1.67</v>
      </c>
      <c r="H4963" s="698" t="s">
        <v>618</v>
      </c>
      <c r="I4963" s="365">
        <v>1.03</v>
      </c>
      <c r="J4963" s="396"/>
      <c r="K4963" s="246">
        <f t="shared" si="65"/>
        <v>24.511424999999999</v>
      </c>
      <c r="L4963" s="365" t="s">
        <v>40</v>
      </c>
      <c r="O4963" s="336"/>
      <c r="P4963" s="334"/>
      <c r="Q4963" s="335"/>
      <c r="R4963" s="336"/>
      <c r="S4963" s="337"/>
    </row>
    <row r="4964" spans="1:19" ht="30" customHeight="1" x14ac:dyDescent="0.25">
      <c r="A4964" s="365" t="s">
        <v>535</v>
      </c>
      <c r="B4964" s="1214" t="s">
        <v>2718</v>
      </c>
      <c r="C4964" s="1215"/>
      <c r="D4964" s="1216"/>
      <c r="E4964" s="247">
        <f>+(83.5+118)/2</f>
        <v>100.75</v>
      </c>
      <c r="F4964" s="396" t="s">
        <v>9</v>
      </c>
      <c r="G4964" s="661">
        <v>1.67</v>
      </c>
      <c r="H4964" s="698" t="s">
        <v>618</v>
      </c>
      <c r="I4964" s="365">
        <v>1.03</v>
      </c>
      <c r="J4964" s="396"/>
      <c r="K4964" s="246">
        <f t="shared" si="65"/>
        <v>173.30007499999999</v>
      </c>
      <c r="L4964" s="396" t="s">
        <v>40</v>
      </c>
      <c r="O4964" s="336"/>
      <c r="P4964" s="334"/>
      <c r="Q4964" s="335"/>
      <c r="R4964" s="336"/>
      <c r="S4964" s="337"/>
    </row>
    <row r="4965" spans="1:19" ht="30" customHeight="1" x14ac:dyDescent="0.25">
      <c r="A4965" s="365" t="s">
        <v>535</v>
      </c>
      <c r="B4965" s="1214" t="s">
        <v>2719</v>
      </c>
      <c r="C4965" s="1215"/>
      <c r="D4965" s="1216"/>
      <c r="E4965" s="247">
        <v>261</v>
      </c>
      <c r="F4965" s="396" t="s">
        <v>9</v>
      </c>
      <c r="G4965" s="661">
        <v>1.67</v>
      </c>
      <c r="H4965" s="698" t="s">
        <v>618</v>
      </c>
      <c r="I4965" s="365">
        <v>1.03</v>
      </c>
      <c r="J4965" s="396"/>
      <c r="K4965" s="246">
        <f t="shared" si="65"/>
        <v>448.9461</v>
      </c>
      <c r="L4965" s="396" t="s">
        <v>40</v>
      </c>
      <c r="M4965" s="54"/>
      <c r="O4965" s="336"/>
      <c r="P4965" s="334"/>
      <c r="Q4965" s="335"/>
      <c r="R4965" s="336"/>
      <c r="S4965" s="337"/>
    </row>
    <row r="4966" spans="1:19" ht="30" customHeight="1" x14ac:dyDescent="0.25">
      <c r="A4966" s="365" t="s">
        <v>726</v>
      </c>
      <c r="B4966" s="1214" t="s">
        <v>2720</v>
      </c>
      <c r="C4966" s="1215"/>
      <c r="D4966" s="1216"/>
      <c r="E4966" s="247">
        <v>0.17</v>
      </c>
      <c r="F4966" s="396" t="s">
        <v>205</v>
      </c>
      <c r="G4966" s="661">
        <v>25</v>
      </c>
      <c r="H4966" s="698" t="s">
        <v>2682</v>
      </c>
      <c r="I4966" s="365">
        <v>1.05</v>
      </c>
      <c r="J4966" s="396"/>
      <c r="K4966" s="246">
        <f t="shared" si="65"/>
        <v>4.4625000000000004</v>
      </c>
      <c r="L4966" s="396" t="s">
        <v>40</v>
      </c>
      <c r="O4966" s="336"/>
      <c r="P4966" s="334"/>
      <c r="Q4966" s="335"/>
      <c r="R4966" s="336"/>
      <c r="S4966" s="337"/>
    </row>
    <row r="4967" spans="1:19" ht="30" customHeight="1" x14ac:dyDescent="0.25">
      <c r="A4967" s="755"/>
      <c r="B4967" s="1209" t="s">
        <v>2721</v>
      </c>
      <c r="C4967" s="1210"/>
      <c r="D4967" s="1211"/>
      <c r="E4967" s="247"/>
      <c r="F4967" s="365"/>
      <c r="G4967" s="365"/>
      <c r="H4967" s="365"/>
      <c r="I4967" s="365"/>
      <c r="J4967" s="365" t="s">
        <v>343</v>
      </c>
      <c r="K4967" s="247">
        <f>SUM(K4961:K4966)</f>
        <v>843.05919649999998</v>
      </c>
      <c r="L4967" s="396" t="s">
        <v>40</v>
      </c>
      <c r="O4967" s="336"/>
      <c r="P4967" s="334"/>
      <c r="Q4967" s="335"/>
      <c r="R4967" s="336"/>
      <c r="S4967" s="337"/>
    </row>
    <row r="4968" spans="1:19" ht="30" customHeight="1" x14ac:dyDescent="0.25">
      <c r="A4968" s="365"/>
      <c r="B4968" s="578" t="s">
        <v>2722</v>
      </c>
      <c r="C4968" s="578"/>
      <c r="D4968" s="578"/>
      <c r="E4968" s="247"/>
      <c r="F4968" s="1272" t="s">
        <v>303</v>
      </c>
      <c r="G4968" s="1283" t="s">
        <v>304</v>
      </c>
      <c r="H4968" s="1283"/>
      <c r="I4968" s="1283"/>
      <c r="J4968" s="1283"/>
      <c r="K4968" s="250">
        <v>1.07</v>
      </c>
      <c r="L4968" s="365"/>
      <c r="O4968" s="336"/>
      <c r="P4968" s="334"/>
      <c r="Q4968" s="335"/>
      <c r="R4968" s="336"/>
      <c r="S4968" s="337"/>
    </row>
    <row r="4969" spans="1:19" ht="30" customHeight="1" x14ac:dyDescent="0.25">
      <c r="A4969" s="365"/>
      <c r="B4969" s="578"/>
      <c r="C4969" s="578"/>
      <c r="D4969" s="578"/>
      <c r="E4969" s="247"/>
      <c r="F4969" s="1273"/>
      <c r="G4969" s="1284" t="s">
        <v>438</v>
      </c>
      <c r="H4969" s="1284"/>
      <c r="I4969" s="1284"/>
      <c r="J4969" s="1284"/>
      <c r="K4969" s="250">
        <v>1.08</v>
      </c>
      <c r="L4969" s="365"/>
      <c r="O4969" s="336"/>
      <c r="P4969" s="334"/>
      <c r="Q4969" s="335"/>
      <c r="R4969" s="336"/>
      <c r="S4969" s="337"/>
    </row>
    <row r="4970" spans="1:19" ht="30" customHeight="1" x14ac:dyDescent="0.25">
      <c r="A4970" s="365"/>
      <c r="B4970" s="365"/>
      <c r="C4970" s="366"/>
      <c r="D4970" s="366"/>
      <c r="E4970" s="366"/>
      <c r="F4970" s="366"/>
      <c r="G4970" s="365"/>
      <c r="H4970" s="366"/>
      <c r="I4970" s="366"/>
      <c r="J4970" s="365" t="s">
        <v>72</v>
      </c>
      <c r="K4970" s="246">
        <f>+K4967*K4968/K4969</f>
        <v>835.25309282870376</v>
      </c>
      <c r="L4970" s="365" t="s">
        <v>40</v>
      </c>
      <c r="N4970" s="54"/>
      <c r="O4970" s="336"/>
      <c r="P4970" s="334"/>
      <c r="Q4970" s="335"/>
      <c r="R4970" s="336"/>
      <c r="S4970" s="337"/>
    </row>
    <row r="4971" spans="1:19" ht="30" customHeight="1" x14ac:dyDescent="0.25">
      <c r="A4971" s="365"/>
      <c r="B4971" s="365"/>
      <c r="C4971" s="366"/>
      <c r="D4971" s="366"/>
      <c r="E4971" s="366"/>
      <c r="F4971" s="366"/>
      <c r="G4971" s="580" t="s">
        <v>306</v>
      </c>
      <c r="H4971" s="366"/>
      <c r="I4971" s="366"/>
      <c r="J4971" s="521">
        <f>VLOOKUP(B4959,'Mil Cost Premiums for PUCs'!$A$4:$R$277,18,FALSE)</f>
        <v>1.0209999999999999</v>
      </c>
      <c r="K4971" s="246">
        <f>+K4970*J4971</f>
        <v>852.79340777810648</v>
      </c>
      <c r="L4971" s="365" t="s">
        <v>40</v>
      </c>
      <c r="M4971" s="10"/>
      <c r="O4971" s="336"/>
      <c r="P4971" s="334"/>
      <c r="Q4971" s="335"/>
      <c r="R4971" s="336"/>
      <c r="S4971" s="337"/>
    </row>
    <row r="4972" spans="1:19" ht="30" customHeight="1" thickBot="1" x14ac:dyDescent="0.3">
      <c r="A4972" s="844"/>
      <c r="B4972" s="844"/>
      <c r="C4972" s="471"/>
      <c r="D4972" s="471"/>
      <c r="E4972" s="471"/>
      <c r="F4972" s="1278" t="s">
        <v>1148</v>
      </c>
      <c r="G4972" s="1278"/>
      <c r="H4972" s="1278"/>
      <c r="I4972" s="1278"/>
      <c r="J4972" s="987">
        <v>1.0833999999999999</v>
      </c>
      <c r="K4972" s="1060">
        <f>K4971*J4972</f>
        <v>923.91637798680051</v>
      </c>
      <c r="L4972" s="365" t="s">
        <v>40</v>
      </c>
      <c r="O4972" s="336"/>
      <c r="P4972" s="334"/>
      <c r="Q4972" s="335"/>
      <c r="R4972" s="336"/>
      <c r="S4972" s="337"/>
    </row>
    <row r="4973" spans="1:19" ht="30" customHeight="1" thickBot="1" x14ac:dyDescent="0.3">
      <c r="A4973" s="1180"/>
      <c r="B4973" s="1181"/>
      <c r="C4973" s="1181"/>
      <c r="D4973" s="1181"/>
      <c r="E4973" s="1181"/>
      <c r="F4973" s="1181"/>
      <c r="G4973" s="1181"/>
      <c r="H4973" s="1181"/>
      <c r="I4973" s="1181"/>
      <c r="J4973" s="1181"/>
      <c r="K4973" s="1181"/>
      <c r="L4973" s="1182"/>
      <c r="M4973" s="10"/>
      <c r="N4973" s="10"/>
      <c r="O4973" s="336"/>
      <c r="P4973" s="334"/>
      <c r="Q4973" s="335"/>
      <c r="R4973" s="336"/>
      <c r="S4973" s="337"/>
    </row>
    <row r="4974" spans="1:19" ht="30" customHeight="1" x14ac:dyDescent="0.25">
      <c r="A4974" s="327" t="s">
        <v>5</v>
      </c>
      <c r="B4974" s="328">
        <v>8715</v>
      </c>
      <c r="C4974" s="1251" t="s">
        <v>2723</v>
      </c>
      <c r="D4974" s="1252"/>
      <c r="E4974" s="331" t="s">
        <v>8</v>
      </c>
      <c r="F4974" s="332" t="s">
        <v>2569</v>
      </c>
      <c r="G4974" s="342" t="s">
        <v>74</v>
      </c>
      <c r="H4974" s="191">
        <v>3.4</v>
      </c>
      <c r="I4974" s="331" t="s">
        <v>10</v>
      </c>
      <c r="J4974" s="1220" t="s">
        <v>382</v>
      </c>
      <c r="K4974" s="1220"/>
      <c r="L4974" s="1221"/>
      <c r="N4974" s="10"/>
      <c r="O4974" s="336"/>
      <c r="P4974" s="334"/>
      <c r="Q4974" s="335"/>
      <c r="R4974" s="336"/>
      <c r="S4974" s="337"/>
    </row>
    <row r="4975" spans="1:19" ht="30" customHeight="1" x14ac:dyDescent="0.25">
      <c r="A4975" s="356" t="s">
        <v>282</v>
      </c>
      <c r="B4975" s="1222" t="s">
        <v>326</v>
      </c>
      <c r="C4975" s="1235"/>
      <c r="D4975" s="1223"/>
      <c r="E4975" s="577" t="s">
        <v>116</v>
      </c>
      <c r="F4975" s="577" t="s">
        <v>117</v>
      </c>
      <c r="G4975" s="1194" t="s">
        <v>118</v>
      </c>
      <c r="H4975" s="1195"/>
      <c r="I4975" s="1276" t="s">
        <v>284</v>
      </c>
      <c r="J4975" s="1277"/>
      <c r="K4975" s="1236" t="s">
        <v>285</v>
      </c>
      <c r="L4975" s="1237"/>
      <c r="O4975" s="336"/>
      <c r="P4975" s="334"/>
      <c r="Q4975" s="335"/>
      <c r="R4975" s="336"/>
      <c r="S4975" s="337"/>
    </row>
    <row r="4976" spans="1:19" ht="30" customHeight="1" x14ac:dyDescent="0.25">
      <c r="A4976" s="927">
        <v>83210</v>
      </c>
      <c r="B4976" s="1209" t="s">
        <v>2724</v>
      </c>
      <c r="C4976" s="1210"/>
      <c r="D4976" s="1211"/>
      <c r="E4976" s="7">
        <v>25870</v>
      </c>
      <c r="F4976" s="396" t="s">
        <v>76</v>
      </c>
      <c r="G4976" s="689">
        <v>0.20399999999999999</v>
      </c>
      <c r="H4976" s="690" t="s">
        <v>2725</v>
      </c>
      <c r="I4976" s="1378">
        <f>+'2022 MILCON Inflation Table'!$F$20</f>
        <v>0.95928782471892859</v>
      </c>
      <c r="J4976" s="1379"/>
      <c r="K4976" s="717">
        <f>+E4976/G4976*I4976</f>
        <v>121650.86286999355</v>
      </c>
      <c r="L4976" s="396" t="s">
        <v>2569</v>
      </c>
      <c r="O4976" s="336"/>
      <c r="P4976" s="334"/>
      <c r="Q4976" s="335"/>
      <c r="R4976" s="336"/>
      <c r="S4976" s="337"/>
    </row>
    <row r="4977" spans="1:19" ht="30" customHeight="1" x14ac:dyDescent="0.25">
      <c r="A4977" s="927">
        <v>83210</v>
      </c>
      <c r="B4977" s="1209" t="s">
        <v>2726</v>
      </c>
      <c r="C4977" s="1210"/>
      <c r="D4977" s="1211"/>
      <c r="E4977" s="7">
        <v>51770</v>
      </c>
      <c r="F4977" s="396" t="s">
        <v>76</v>
      </c>
      <c r="G4977" s="689">
        <v>0.40699999999999997</v>
      </c>
      <c r="H4977" s="690" t="s">
        <v>2725</v>
      </c>
      <c r="I4977" s="1378">
        <f>+'2022 MILCON Inflation Table'!$F$20</f>
        <v>0.95928782471892859</v>
      </c>
      <c r="J4977" s="1379"/>
      <c r="K4977" s="717">
        <f>+E4977/G4977*I4977</f>
        <v>122020.46851523081</v>
      </c>
      <c r="L4977" s="396" t="s">
        <v>2569</v>
      </c>
      <c r="O4977" s="336"/>
      <c r="P4977" s="334"/>
      <c r="Q4977" s="335"/>
      <c r="R4977" s="336"/>
      <c r="S4977" s="337"/>
    </row>
    <row r="4978" spans="1:19" ht="30" customHeight="1" x14ac:dyDescent="0.25">
      <c r="A4978" s="927">
        <v>83210</v>
      </c>
      <c r="B4978" s="1209" t="s">
        <v>2727</v>
      </c>
      <c r="C4978" s="1210"/>
      <c r="D4978" s="1211"/>
      <c r="E4978" s="7">
        <v>77860</v>
      </c>
      <c r="F4978" s="396" t="s">
        <v>76</v>
      </c>
      <c r="G4978" s="689">
        <v>0.61099999999999999</v>
      </c>
      <c r="H4978" s="690" t="s">
        <v>2725</v>
      </c>
      <c r="I4978" s="1378">
        <f>+'2022 MILCON Inflation Table'!$F$20</f>
        <v>0.95928782471892859</v>
      </c>
      <c r="J4978" s="1379"/>
      <c r="K4978" s="717">
        <f>+E4978/G4978*I4978</f>
        <v>122242.47141180979</v>
      </c>
      <c r="L4978" s="396" t="s">
        <v>2569</v>
      </c>
      <c r="O4978" s="336"/>
      <c r="P4978" s="334"/>
      <c r="Q4978" s="335"/>
      <c r="R4978" s="336"/>
      <c r="S4978" s="337"/>
    </row>
    <row r="4979" spans="1:19" ht="30" customHeight="1" x14ac:dyDescent="0.25">
      <c r="A4979" s="927">
        <v>83210</v>
      </c>
      <c r="B4979" s="1209" t="s">
        <v>2728</v>
      </c>
      <c r="C4979" s="1210"/>
      <c r="D4979" s="1211"/>
      <c r="E4979" s="7">
        <v>103620</v>
      </c>
      <c r="F4979" s="396" t="s">
        <v>76</v>
      </c>
      <c r="G4979" s="689">
        <v>0.81399999999999995</v>
      </c>
      <c r="H4979" s="690" t="s">
        <v>2725</v>
      </c>
      <c r="I4979" s="1378">
        <f>+'2022 MILCON Inflation Table'!$F$20</f>
        <v>0.95928782471892859</v>
      </c>
      <c r="J4979" s="1379"/>
      <c r="K4979" s="717">
        <f>+E4979/G4979*I4979</f>
        <v>122114.74741692308</v>
      </c>
      <c r="L4979" s="396" t="s">
        <v>2569</v>
      </c>
      <c r="N4979" s="54"/>
      <c r="O4979" s="336"/>
      <c r="P4979" s="334"/>
      <c r="Q4979" s="335"/>
      <c r="R4979" s="336"/>
      <c r="S4979" s="337"/>
    </row>
    <row r="4980" spans="1:19" ht="30" customHeight="1" x14ac:dyDescent="0.25">
      <c r="A4980" s="366"/>
      <c r="B4980" s="1281" t="s">
        <v>2729</v>
      </c>
      <c r="C4980" s="1281"/>
      <c r="D4980" s="1281"/>
      <c r="E4980" s="247"/>
      <c r="F4980" s="365"/>
      <c r="G4980" s="365"/>
      <c r="H4980" s="365"/>
      <c r="I4980" s="365"/>
      <c r="J4980" s="365" t="s">
        <v>300</v>
      </c>
      <c r="K4980" s="255">
        <f>AVERAGE(K4976:K4979)</f>
        <v>122007.1375534893</v>
      </c>
      <c r="L4980" s="396" t="s">
        <v>2569</v>
      </c>
      <c r="O4980" s="336"/>
      <c r="P4980" s="334"/>
      <c r="Q4980" s="335"/>
      <c r="R4980" s="336"/>
      <c r="S4980" s="337"/>
    </row>
    <row r="4981" spans="1:19" ht="30" customHeight="1" thickBot="1" x14ac:dyDescent="0.3">
      <c r="A4981" s="366"/>
      <c r="B4981" s="365"/>
      <c r="C4981" s="366"/>
      <c r="D4981" s="366"/>
      <c r="E4981" s="366"/>
      <c r="F4981" s="366"/>
      <c r="G4981" s="366"/>
      <c r="H4981" s="366" t="s">
        <v>2730</v>
      </c>
      <c r="I4981" s="366"/>
      <c r="J4981" s="359" t="s">
        <v>72</v>
      </c>
      <c r="K4981" s="265">
        <f>+K4980</f>
        <v>122007.1375534893</v>
      </c>
      <c r="L4981" s="396" t="s">
        <v>2569</v>
      </c>
      <c r="N4981" s="10"/>
      <c r="O4981" s="336"/>
      <c r="P4981" s="334"/>
      <c r="Q4981" s="335"/>
      <c r="R4981" s="336"/>
      <c r="S4981" s="337"/>
    </row>
    <row r="4982" spans="1:19" ht="30" customHeight="1" thickBot="1" x14ac:dyDescent="0.3">
      <c r="A4982" s="1180"/>
      <c r="B4982" s="1181"/>
      <c r="C4982" s="1181"/>
      <c r="D4982" s="1181"/>
      <c r="E4982" s="1181"/>
      <c r="F4982" s="1181"/>
      <c r="G4982" s="1181"/>
      <c r="H4982" s="1181"/>
      <c r="I4982" s="1181"/>
      <c r="J4982" s="1181"/>
      <c r="K4982" s="1181"/>
      <c r="L4982" s="1182"/>
      <c r="N4982" s="10"/>
      <c r="O4982" s="336"/>
      <c r="P4982" s="334"/>
      <c r="Q4982" s="335"/>
      <c r="R4982" s="336"/>
      <c r="S4982" s="337"/>
    </row>
    <row r="4983" spans="1:19" ht="30" customHeight="1" x14ac:dyDescent="0.25">
      <c r="A4983" s="327" t="s">
        <v>5</v>
      </c>
      <c r="B4983" s="328">
        <v>8716</v>
      </c>
      <c r="C4983" s="1251" t="s">
        <v>2731</v>
      </c>
      <c r="D4983" s="1252"/>
      <c r="E4983" s="331" t="s">
        <v>8</v>
      </c>
      <c r="F4983" s="332" t="s">
        <v>9</v>
      </c>
      <c r="G4983" s="342" t="s">
        <v>7</v>
      </c>
      <c r="H4983" s="192">
        <v>625</v>
      </c>
      <c r="I4983" s="331" t="s">
        <v>10</v>
      </c>
      <c r="J4983" s="1220" t="s">
        <v>3388</v>
      </c>
      <c r="K4983" s="1220"/>
      <c r="L4983" s="1221"/>
      <c r="O4983" s="336"/>
      <c r="P4983" s="334"/>
      <c r="Q4983" s="335"/>
      <c r="R4983" s="336"/>
      <c r="S4983" s="337"/>
    </row>
    <row r="4984" spans="1:19" ht="30" customHeight="1" x14ac:dyDescent="0.25">
      <c r="A4984" s="356" t="s">
        <v>282</v>
      </c>
      <c r="B4984" s="1222" t="s">
        <v>326</v>
      </c>
      <c r="C4984" s="1235"/>
      <c r="D4984" s="1223"/>
      <c r="E4984" s="577" t="s">
        <v>116</v>
      </c>
      <c r="F4984" s="577" t="s">
        <v>117</v>
      </c>
      <c r="G4984" s="1194" t="s">
        <v>118</v>
      </c>
      <c r="H4984" s="1195"/>
      <c r="I4984" s="356" t="s">
        <v>296</v>
      </c>
      <c r="J4984" s="1071"/>
      <c r="K4984" s="581" t="s">
        <v>285</v>
      </c>
      <c r="L4984" s="382"/>
      <c r="O4984" s="336"/>
      <c r="P4984" s="334"/>
      <c r="Q4984" s="335"/>
      <c r="R4984" s="336"/>
      <c r="S4984" s="337"/>
    </row>
    <row r="4985" spans="1:19" ht="30" customHeight="1" x14ac:dyDescent="0.25">
      <c r="A4985" s="927" t="s">
        <v>339</v>
      </c>
      <c r="B4985" s="1209" t="s">
        <v>2732</v>
      </c>
      <c r="C4985" s="1210"/>
      <c r="D4985" s="1211"/>
      <c r="E4985" s="7">
        <v>2.59</v>
      </c>
      <c r="F4985" s="396" t="s">
        <v>205</v>
      </c>
      <c r="G4985" s="689">
        <v>9</v>
      </c>
      <c r="H4985" s="690" t="s">
        <v>584</v>
      </c>
      <c r="I4985" s="365">
        <v>1.03</v>
      </c>
      <c r="J4985" s="521"/>
      <c r="K4985" s="752">
        <f>+E4985*G4985*I4985</f>
        <v>24.0093</v>
      </c>
      <c r="L4985" s="396" t="s">
        <v>9</v>
      </c>
      <c r="O4985" s="336"/>
      <c r="P4985" s="334"/>
      <c r="Q4985" s="335"/>
      <c r="R4985" s="336"/>
      <c r="S4985" s="337"/>
    </row>
    <row r="4986" spans="1:19" ht="30" customHeight="1" x14ac:dyDescent="0.25">
      <c r="A4986" s="927" t="s">
        <v>339</v>
      </c>
      <c r="B4986" s="1209" t="s">
        <v>2733</v>
      </c>
      <c r="C4986" s="1210"/>
      <c r="D4986" s="1211"/>
      <c r="E4986" s="7">
        <f>0.9+(((0.12+0.2)/2)*8)</f>
        <v>2.1800000000000002</v>
      </c>
      <c r="F4986" s="396" t="s">
        <v>205</v>
      </c>
      <c r="G4986" s="689">
        <v>9</v>
      </c>
      <c r="H4986" s="690" t="s">
        <v>584</v>
      </c>
      <c r="I4986" s="365">
        <v>1.03</v>
      </c>
      <c r="J4986" s="521"/>
      <c r="K4986" s="752">
        <f>+E4986*G4986*I4986</f>
        <v>20.208600000000001</v>
      </c>
      <c r="L4986" s="396" t="s">
        <v>9</v>
      </c>
      <c r="M4986" s="54"/>
      <c r="O4986" s="336"/>
      <c r="P4986" s="334"/>
      <c r="Q4986" s="335"/>
      <c r="R4986" s="336"/>
      <c r="S4986" s="337"/>
    </row>
    <row r="4987" spans="1:19" ht="30" customHeight="1" x14ac:dyDescent="0.25">
      <c r="A4987" s="927" t="s">
        <v>339</v>
      </c>
      <c r="B4987" s="1209" t="s">
        <v>2734</v>
      </c>
      <c r="C4987" s="1210"/>
      <c r="D4987" s="1211"/>
      <c r="E4987" s="7">
        <v>30.5</v>
      </c>
      <c r="F4987" s="396" t="s">
        <v>40</v>
      </c>
      <c r="G4987" s="1072">
        <f>20*4/H4983</f>
        <v>0.128</v>
      </c>
      <c r="H4987" s="690" t="s">
        <v>2597</v>
      </c>
      <c r="I4987" s="365">
        <v>1.03</v>
      </c>
      <c r="J4987" s="521"/>
      <c r="K4987" s="752">
        <f>+E4987*G4987*I4987</f>
        <v>4.0211199999999998</v>
      </c>
      <c r="L4987" s="396" t="s">
        <v>9</v>
      </c>
      <c r="N4987" s="54"/>
      <c r="O4987" s="336"/>
      <c r="P4987" s="334"/>
      <c r="Q4987" s="335"/>
      <c r="R4987" s="336"/>
      <c r="S4987" s="337"/>
    </row>
    <row r="4988" spans="1:19" ht="30" customHeight="1" x14ac:dyDescent="0.25">
      <c r="A4988" s="927"/>
      <c r="B4988" s="1209"/>
      <c r="C4988" s="1210"/>
      <c r="D4988" s="1211"/>
      <c r="E4988" s="7"/>
      <c r="F4988" s="396"/>
      <c r="G4988" s="689"/>
      <c r="H4988" s="690"/>
      <c r="I4988" s="521"/>
      <c r="J4988" s="365" t="s">
        <v>343</v>
      </c>
      <c r="K4988" s="247">
        <f>SUM(K4982:K4987)</f>
        <v>48.239019999999996</v>
      </c>
      <c r="L4988" s="396" t="s">
        <v>9</v>
      </c>
      <c r="M4988" s="10"/>
      <c r="O4988" s="336"/>
      <c r="P4988" s="334"/>
      <c r="Q4988" s="335"/>
      <c r="R4988" s="336"/>
      <c r="S4988" s="337"/>
    </row>
    <row r="4989" spans="1:19" ht="30" customHeight="1" x14ac:dyDescent="0.25">
      <c r="A4989" s="365"/>
      <c r="B4989" s="578" t="s">
        <v>2722</v>
      </c>
      <c r="C4989" s="578"/>
      <c r="D4989" s="578"/>
      <c r="E4989" s="247"/>
      <c r="F4989" s="1272" t="s">
        <v>303</v>
      </c>
      <c r="G4989" s="1283" t="s">
        <v>304</v>
      </c>
      <c r="H4989" s="1283"/>
      <c r="I4989" s="1283"/>
      <c r="J4989" s="1283"/>
      <c r="K4989" s="250">
        <v>1.07</v>
      </c>
      <c r="L4989" s="365"/>
      <c r="M4989" s="10"/>
      <c r="O4989" s="336"/>
      <c r="P4989" s="334"/>
      <c r="Q4989" s="335"/>
      <c r="R4989" s="336"/>
      <c r="S4989" s="337"/>
    </row>
    <row r="4990" spans="1:19" ht="30" customHeight="1" x14ac:dyDescent="0.25">
      <c r="A4990" s="365"/>
      <c r="B4990" s="578"/>
      <c r="C4990" s="578"/>
      <c r="D4990" s="578"/>
      <c r="E4990" s="247"/>
      <c r="F4990" s="1273"/>
      <c r="G4990" s="1284" t="s">
        <v>438</v>
      </c>
      <c r="H4990" s="1284"/>
      <c r="I4990" s="1284"/>
      <c r="J4990" s="1284"/>
      <c r="K4990" s="250">
        <v>1.08</v>
      </c>
      <c r="L4990" s="365"/>
      <c r="O4990" s="336"/>
      <c r="P4990" s="334"/>
      <c r="Q4990" s="335"/>
      <c r="R4990" s="336"/>
      <c r="S4990" s="337"/>
    </row>
    <row r="4991" spans="1:19" ht="30" customHeight="1" x14ac:dyDescent="0.25">
      <c r="A4991" s="365"/>
      <c r="B4991" s="365"/>
      <c r="C4991" s="366"/>
      <c r="D4991" s="366"/>
      <c r="E4991" s="366" t="b">
        <f>M2702=K2713</f>
        <v>0</v>
      </c>
      <c r="F4991" s="366"/>
      <c r="G4991" s="365"/>
      <c r="H4991" s="366"/>
      <c r="I4991" s="366"/>
      <c r="J4991" s="365" t="s">
        <v>72</v>
      </c>
      <c r="K4991" s="246">
        <f>+K4988*K4989/K4990</f>
        <v>47.792362407407403</v>
      </c>
      <c r="L4991" s="396" t="s">
        <v>9</v>
      </c>
      <c r="N4991" s="10"/>
      <c r="O4991" s="336"/>
      <c r="P4991" s="334"/>
      <c r="Q4991" s="335"/>
      <c r="R4991" s="336"/>
      <c r="S4991" s="337"/>
    </row>
    <row r="4992" spans="1:19" ht="30" customHeight="1" x14ac:dyDescent="0.25">
      <c r="A4992" s="365"/>
      <c r="B4992" s="365"/>
      <c r="C4992" s="366"/>
      <c r="D4992" s="366"/>
      <c r="E4992" s="366"/>
      <c r="F4992" s="366"/>
      <c r="H4992" s="366"/>
      <c r="I4992" s="877" t="s">
        <v>306</v>
      </c>
      <c r="J4992" s="521">
        <v>1.0485669999999998</v>
      </c>
      <c r="K4992" s="246">
        <f>+K4991*J4992</f>
        <v>50.113494072447949</v>
      </c>
      <c r="L4992" s="396" t="s">
        <v>9</v>
      </c>
      <c r="N4992" s="10"/>
      <c r="O4992" s="336"/>
      <c r="P4992" s="334"/>
      <c r="Q4992" s="335"/>
      <c r="R4992" s="336"/>
      <c r="S4992" s="337"/>
    </row>
    <row r="4993" spans="1:19" ht="30" customHeight="1" thickBot="1" x14ac:dyDescent="0.3">
      <c r="A4993" s="844"/>
      <c r="B4993" s="844"/>
      <c r="C4993" s="471"/>
      <c r="D4993" s="471"/>
      <c r="E4993" s="471"/>
      <c r="F4993" s="1278" t="s">
        <v>1148</v>
      </c>
      <c r="G4993" s="1278"/>
      <c r="H4993" s="1278"/>
      <c r="I4993" s="1278"/>
      <c r="J4993" s="987">
        <v>1.0833999999999999</v>
      </c>
      <c r="K4993" s="1060">
        <f>K4992*J4993</f>
        <v>54.292959478090104</v>
      </c>
      <c r="L4993" s="396" t="s">
        <v>9</v>
      </c>
      <c r="O4993" s="336"/>
      <c r="P4993" s="334"/>
      <c r="Q4993" s="335"/>
      <c r="R4993" s="336"/>
      <c r="S4993" s="337"/>
    </row>
    <row r="4994" spans="1:19" ht="30" customHeight="1" thickBot="1" x14ac:dyDescent="0.3">
      <c r="A4994" s="1180"/>
      <c r="B4994" s="1181"/>
      <c r="C4994" s="1181"/>
      <c r="D4994" s="1181"/>
      <c r="E4994" s="1181"/>
      <c r="F4994" s="1181"/>
      <c r="G4994" s="1181"/>
      <c r="H4994" s="1181"/>
      <c r="I4994" s="1181"/>
      <c r="J4994" s="1181"/>
      <c r="K4994" s="1181"/>
      <c r="L4994" s="1182"/>
      <c r="O4994" s="336"/>
      <c r="P4994" s="334"/>
      <c r="Q4994" s="335"/>
      <c r="R4994" s="336"/>
      <c r="S4994" s="337"/>
    </row>
    <row r="4995" spans="1:19" ht="30" customHeight="1" x14ac:dyDescent="0.25">
      <c r="A4995" s="327" t="s">
        <v>5</v>
      </c>
      <c r="B4995" s="328">
        <v>8717</v>
      </c>
      <c r="C4995" s="1251" t="s">
        <v>2735</v>
      </c>
      <c r="D4995" s="1252"/>
      <c r="E4995" s="331" t="s">
        <v>8</v>
      </c>
      <c r="F4995" s="332" t="s">
        <v>267</v>
      </c>
      <c r="G4995" s="342" t="s">
        <v>7</v>
      </c>
      <c r="H4995" s="192">
        <v>816.87</v>
      </c>
      <c r="I4995" s="331" t="s">
        <v>10</v>
      </c>
      <c r="J4995" s="1220" t="s">
        <v>3388</v>
      </c>
      <c r="K4995" s="1220"/>
      <c r="L4995" s="1221"/>
      <c r="M4995" s="54"/>
      <c r="O4995" s="336"/>
      <c r="P4995" s="334"/>
      <c r="Q4995" s="335"/>
      <c r="R4995" s="336"/>
      <c r="S4995" s="337"/>
    </row>
    <row r="4996" spans="1:19" ht="30" customHeight="1" x14ac:dyDescent="0.25">
      <c r="A4996" s="356" t="s">
        <v>282</v>
      </c>
      <c r="B4996" s="1222" t="s">
        <v>326</v>
      </c>
      <c r="C4996" s="1235"/>
      <c r="D4996" s="1223"/>
      <c r="E4996" s="577" t="s">
        <v>116</v>
      </c>
      <c r="F4996" s="577" t="s">
        <v>117</v>
      </c>
      <c r="G4996" s="1194" t="s">
        <v>118</v>
      </c>
      <c r="H4996" s="1195"/>
      <c r="I4996" s="356" t="s">
        <v>296</v>
      </c>
      <c r="J4996" s="1071"/>
      <c r="K4996" s="581" t="s">
        <v>285</v>
      </c>
      <c r="L4996" s="382"/>
      <c r="O4996" s="336"/>
      <c r="P4996" s="334"/>
      <c r="Q4996" s="335"/>
      <c r="R4996" s="336"/>
      <c r="S4996" s="337"/>
    </row>
    <row r="4997" spans="1:19" ht="30" customHeight="1" x14ac:dyDescent="0.25">
      <c r="A4997" s="927" t="s">
        <v>2675</v>
      </c>
      <c r="B4997" s="1209" t="s">
        <v>2736</v>
      </c>
      <c r="C4997" s="1210"/>
      <c r="D4997" s="1211"/>
      <c r="E4997" s="7">
        <v>2.7</v>
      </c>
      <c r="F4997" s="396" t="s">
        <v>214</v>
      </c>
      <c r="G4997" s="932">
        <f>5932/H4995</f>
        <v>7.2618654131012281</v>
      </c>
      <c r="H4997" s="690" t="s">
        <v>2737</v>
      </c>
      <c r="I4997" s="365">
        <v>1.02</v>
      </c>
      <c r="J4997" s="521"/>
      <c r="K4997" s="752">
        <f>+E4997*G4997*I4997</f>
        <v>19.999177347680785</v>
      </c>
      <c r="L4997" s="698" t="s">
        <v>267</v>
      </c>
      <c r="M4997" s="10"/>
      <c r="O4997" s="336"/>
      <c r="P4997" s="334"/>
      <c r="Q4997" s="335"/>
      <c r="R4997" s="336"/>
      <c r="S4997" s="337"/>
    </row>
    <row r="4998" spans="1:19" ht="30" customHeight="1" x14ac:dyDescent="0.25">
      <c r="A4998" s="927" t="s">
        <v>2675</v>
      </c>
      <c r="B4998" s="1209" t="s">
        <v>2738</v>
      </c>
      <c r="C4998" s="1210"/>
      <c r="D4998" s="1211"/>
      <c r="E4998" s="7">
        <v>19.25</v>
      </c>
      <c r="F4998" s="396" t="s">
        <v>40</v>
      </c>
      <c r="G4998" s="932">
        <f>20/H4995</f>
        <v>2.4483699976740485E-2</v>
      </c>
      <c r="H4998" s="690" t="s">
        <v>2739</v>
      </c>
      <c r="I4998" s="365">
        <v>1.02</v>
      </c>
      <c r="J4998" s="521"/>
      <c r="K4998" s="752">
        <f>+E4998*G4998*I4998</f>
        <v>0.4807374490432994</v>
      </c>
      <c r="L4998" s="698" t="s">
        <v>267</v>
      </c>
      <c r="M4998" s="10"/>
      <c r="N4998" s="54"/>
      <c r="O4998" s="336"/>
      <c r="P4998" s="334"/>
      <c r="Q4998" s="335"/>
      <c r="R4998" s="336"/>
      <c r="S4998" s="337"/>
    </row>
    <row r="4999" spans="1:19" ht="30" customHeight="1" x14ac:dyDescent="0.25">
      <c r="A4999" s="927"/>
      <c r="B4999" s="1209"/>
      <c r="C4999" s="1210"/>
      <c r="D4999" s="1211"/>
      <c r="E4999" s="7"/>
      <c r="F4999" s="396"/>
      <c r="G4999" s="689"/>
      <c r="H4999" s="690"/>
      <c r="I4999" s="521"/>
      <c r="J4999" s="365" t="s">
        <v>343</v>
      </c>
      <c r="K4999" s="259">
        <f>SUM(K4997:K4998)</f>
        <v>20.479914796724085</v>
      </c>
      <c r="L4999" s="698" t="s">
        <v>267</v>
      </c>
      <c r="O4999" s="336"/>
      <c r="P4999" s="334"/>
      <c r="Q4999" s="335"/>
      <c r="R4999" s="336"/>
      <c r="S4999" s="337"/>
    </row>
    <row r="5000" spans="1:19" ht="30" customHeight="1" x14ac:dyDescent="0.25">
      <c r="A5000" s="365"/>
      <c r="B5000" s="578" t="s">
        <v>2722</v>
      </c>
      <c r="C5000" s="578"/>
      <c r="D5000" s="578"/>
      <c r="E5000" s="247"/>
      <c r="F5000" s="1272" t="s">
        <v>303</v>
      </c>
      <c r="G5000" s="1283" t="s">
        <v>304</v>
      </c>
      <c r="H5000" s="1283"/>
      <c r="I5000" s="1283"/>
      <c r="J5000" s="1283"/>
      <c r="K5000" s="250">
        <v>1.07</v>
      </c>
      <c r="L5000" s="365"/>
      <c r="O5000" s="336"/>
      <c r="P5000" s="334"/>
      <c r="Q5000" s="335"/>
      <c r="R5000" s="336"/>
      <c r="S5000" s="337"/>
    </row>
    <row r="5001" spans="1:19" ht="30" customHeight="1" x14ac:dyDescent="0.25">
      <c r="A5001" s="365"/>
      <c r="B5001" s="578"/>
      <c r="C5001" s="578"/>
      <c r="D5001" s="578"/>
      <c r="E5001" s="247"/>
      <c r="F5001" s="1273"/>
      <c r="G5001" s="1284" t="s">
        <v>438</v>
      </c>
      <c r="H5001" s="1284"/>
      <c r="I5001" s="1284"/>
      <c r="J5001" s="1284"/>
      <c r="K5001" s="250">
        <v>1.08</v>
      </c>
      <c r="L5001" s="365"/>
      <c r="O5001" s="336"/>
      <c r="P5001" s="334"/>
      <c r="Q5001" s="335"/>
      <c r="R5001" s="336"/>
      <c r="S5001" s="337"/>
    </row>
    <row r="5002" spans="1:19" ht="30" customHeight="1" x14ac:dyDescent="0.25">
      <c r="A5002" s="365"/>
      <c r="B5002" s="1281" t="s">
        <v>2740</v>
      </c>
      <c r="C5002" s="1281"/>
      <c r="D5002" s="1281"/>
      <c r="E5002" s="366"/>
      <c r="F5002" s="366"/>
      <c r="G5002" s="365"/>
      <c r="H5002" s="366"/>
      <c r="I5002" s="366"/>
      <c r="J5002" s="365" t="s">
        <v>72</v>
      </c>
      <c r="K5002" s="246">
        <f>+K4999*K5000/K5001</f>
        <v>20.29028595601368</v>
      </c>
      <c r="L5002" s="698" t="s">
        <v>267</v>
      </c>
      <c r="O5002" s="336"/>
      <c r="P5002" s="334"/>
      <c r="Q5002" s="335"/>
      <c r="R5002" s="336"/>
      <c r="S5002" s="337"/>
    </row>
    <row r="5003" spans="1:19" ht="30" customHeight="1" thickBot="1" x14ac:dyDescent="0.3">
      <c r="A5003" s="365"/>
      <c r="B5003" s="1403" t="s">
        <v>2741</v>
      </c>
      <c r="C5003" s="1404"/>
      <c r="D5003" s="1404"/>
      <c r="E5003" s="1404"/>
      <c r="F5003" s="1405"/>
      <c r="H5003" s="366"/>
      <c r="I5003" s="877" t="s">
        <v>306</v>
      </c>
      <c r="J5003" s="521">
        <v>1.0485669999999998</v>
      </c>
      <c r="K5003" s="246">
        <f>+K5002*J5003</f>
        <v>21.275724274039391</v>
      </c>
      <c r="L5003" s="698" t="s">
        <v>267</v>
      </c>
      <c r="M5003" s="54"/>
      <c r="O5003" s="336"/>
      <c r="P5003" s="334"/>
      <c r="Q5003" s="335"/>
      <c r="R5003" s="336"/>
      <c r="S5003" s="337"/>
    </row>
    <row r="5004" spans="1:19" ht="30" customHeight="1" thickBot="1" x14ac:dyDescent="0.3">
      <c r="A5004" s="844"/>
      <c r="B5004" s="844"/>
      <c r="C5004" s="471"/>
      <c r="D5004" s="471"/>
      <c r="E5004" s="471"/>
      <c r="F5004" s="1278" t="s">
        <v>1148</v>
      </c>
      <c r="G5004" s="1278"/>
      <c r="H5004" s="1278"/>
      <c r="I5004" s="1278"/>
      <c r="J5004" s="987">
        <v>1.0833999999999999</v>
      </c>
      <c r="K5004" s="1060">
        <f>K5003*J5004</f>
        <v>23.050119678494273</v>
      </c>
      <c r="L5004" s="698" t="s">
        <v>267</v>
      </c>
      <c r="O5004" s="336"/>
      <c r="P5004" s="334"/>
      <c r="Q5004" s="335"/>
      <c r="R5004" s="336"/>
      <c r="S5004" s="337"/>
    </row>
    <row r="5005" spans="1:19" ht="30" customHeight="1" thickBot="1" x14ac:dyDescent="0.3">
      <c r="A5005" s="1180"/>
      <c r="B5005" s="1181"/>
      <c r="C5005" s="1181"/>
      <c r="D5005" s="1181"/>
      <c r="E5005" s="1181"/>
      <c r="F5005" s="1181"/>
      <c r="G5005" s="1181"/>
      <c r="H5005" s="1181"/>
      <c r="I5005" s="1181"/>
      <c r="J5005" s="1181"/>
      <c r="K5005" s="1181"/>
      <c r="L5005" s="1182"/>
      <c r="O5005" s="336"/>
      <c r="P5005" s="334"/>
      <c r="Q5005" s="335"/>
      <c r="R5005" s="336"/>
      <c r="S5005" s="337"/>
    </row>
    <row r="5006" spans="1:19" ht="30" customHeight="1" x14ac:dyDescent="0.25">
      <c r="A5006" s="327" t="s">
        <v>5</v>
      </c>
      <c r="B5006" s="328">
        <v>8721</v>
      </c>
      <c r="C5006" s="1251" t="s">
        <v>2742</v>
      </c>
      <c r="D5006" s="1252"/>
      <c r="E5006" s="331" t="s">
        <v>8</v>
      </c>
      <c r="F5006" s="332" t="s">
        <v>40</v>
      </c>
      <c r="G5006" s="342" t="s">
        <v>74</v>
      </c>
      <c r="H5006" s="156">
        <v>3114</v>
      </c>
      <c r="I5006" s="331" t="s">
        <v>10</v>
      </c>
      <c r="J5006" s="1220" t="s">
        <v>3388</v>
      </c>
      <c r="K5006" s="1220"/>
      <c r="L5006" s="1221"/>
      <c r="O5006" s="336"/>
      <c r="P5006" s="334"/>
      <c r="Q5006" s="335"/>
      <c r="R5006" s="336"/>
      <c r="S5006" s="337"/>
    </row>
    <row r="5007" spans="1:19" ht="30" customHeight="1" x14ac:dyDescent="0.25">
      <c r="A5007" s="359" t="s">
        <v>295</v>
      </c>
      <c r="B5007" s="1222" t="s">
        <v>326</v>
      </c>
      <c r="C5007" s="1235"/>
      <c r="D5007" s="1223"/>
      <c r="E5007" s="577" t="s">
        <v>116</v>
      </c>
      <c r="F5007" s="577" t="s">
        <v>117</v>
      </c>
      <c r="G5007" s="1194" t="s">
        <v>118</v>
      </c>
      <c r="H5007" s="1195"/>
      <c r="I5007" s="356" t="s">
        <v>296</v>
      </c>
      <c r="J5007" s="356"/>
      <c r="K5007" s="1236" t="s">
        <v>285</v>
      </c>
      <c r="L5007" s="1237"/>
      <c r="O5007" s="336"/>
      <c r="P5007" s="334"/>
      <c r="Q5007" s="335"/>
      <c r="R5007" s="336"/>
      <c r="S5007" s="337"/>
    </row>
    <row r="5008" spans="1:19" ht="30" customHeight="1" x14ac:dyDescent="0.25">
      <c r="A5008" s="365" t="s">
        <v>2133</v>
      </c>
      <c r="B5008" s="1268" t="s">
        <v>2743</v>
      </c>
      <c r="C5008" s="1167"/>
      <c r="D5008" s="1168"/>
      <c r="E5008" s="716">
        <v>22.25</v>
      </c>
      <c r="F5008" s="396" t="s">
        <v>40</v>
      </c>
      <c r="G5008" s="689"/>
      <c r="H5008" s="690"/>
      <c r="I5008" s="486">
        <v>1.05</v>
      </c>
      <c r="J5008" s="365"/>
      <c r="K5008" s="752">
        <f>+E5008*I5008</f>
        <v>23.362500000000001</v>
      </c>
      <c r="L5008" s="365" t="s">
        <v>40</v>
      </c>
      <c r="M5008" s="10"/>
      <c r="O5008" s="336"/>
      <c r="P5008" s="334"/>
      <c r="Q5008" s="335"/>
      <c r="R5008" s="336"/>
      <c r="S5008" s="337"/>
    </row>
    <row r="5009" spans="1:19" ht="30" customHeight="1" x14ac:dyDescent="0.25">
      <c r="A5009" s="365" t="s">
        <v>2133</v>
      </c>
      <c r="B5009" s="1214" t="s">
        <v>2744</v>
      </c>
      <c r="C5009" s="1215"/>
      <c r="D5009" s="1216"/>
      <c r="E5009" s="7">
        <v>3.24</v>
      </c>
      <c r="F5009" s="396" t="s">
        <v>40</v>
      </c>
      <c r="G5009" s="689"/>
      <c r="H5009" s="690"/>
      <c r="I5009" s="365">
        <v>1.05</v>
      </c>
      <c r="J5009" s="365"/>
      <c r="K5009" s="752">
        <f>+E5009*I5009</f>
        <v>3.4020000000000006</v>
      </c>
      <c r="L5009" s="365" t="s">
        <v>40</v>
      </c>
      <c r="M5009" s="10"/>
      <c r="O5009" s="336"/>
      <c r="P5009" s="334"/>
      <c r="Q5009" s="335"/>
      <c r="R5009" s="336"/>
      <c r="S5009" s="337"/>
    </row>
    <row r="5010" spans="1:19" ht="30" customHeight="1" x14ac:dyDescent="0.25">
      <c r="A5010" s="365" t="s">
        <v>2133</v>
      </c>
      <c r="B5010" s="1214" t="s">
        <v>2745</v>
      </c>
      <c r="C5010" s="1215"/>
      <c r="D5010" s="1216"/>
      <c r="E5010" s="7">
        <v>1380</v>
      </c>
      <c r="F5010" s="396" t="s">
        <v>76</v>
      </c>
      <c r="G5010" s="689">
        <v>1000</v>
      </c>
      <c r="H5010" s="690" t="s">
        <v>2463</v>
      </c>
      <c r="I5010" s="365">
        <v>1.05</v>
      </c>
      <c r="J5010" s="365"/>
      <c r="K5010" s="752">
        <f>+E5010/G5010*I5010</f>
        <v>1.4489999999999998</v>
      </c>
      <c r="L5010" s="365" t="s">
        <v>40</v>
      </c>
      <c r="O5010" s="336"/>
      <c r="P5010" s="334"/>
      <c r="Q5010" s="335"/>
      <c r="R5010" s="336"/>
      <c r="S5010" s="337"/>
    </row>
    <row r="5011" spans="1:19" ht="30" customHeight="1" x14ac:dyDescent="0.25">
      <c r="A5011" s="365" t="s">
        <v>2133</v>
      </c>
      <c r="B5011" s="1209" t="s">
        <v>2746</v>
      </c>
      <c r="C5011" s="1210"/>
      <c r="D5011" s="1211"/>
      <c r="E5011" s="7">
        <f>+(10600+12700)/2*1.3</f>
        <v>15145</v>
      </c>
      <c r="F5011" s="396" t="s">
        <v>76</v>
      </c>
      <c r="G5011" s="689">
        <v>1000</v>
      </c>
      <c r="H5011" s="690" t="s">
        <v>2463</v>
      </c>
      <c r="I5011" s="365">
        <v>1.05</v>
      </c>
      <c r="J5011" s="365"/>
      <c r="K5011" s="752">
        <f>+E5011/G5011*I5011</f>
        <v>15.90225</v>
      </c>
      <c r="L5011" s="365" t="s">
        <v>40</v>
      </c>
      <c r="O5011" s="336"/>
      <c r="P5011" s="334"/>
      <c r="Q5011" s="335"/>
      <c r="R5011" s="336"/>
      <c r="S5011" s="337"/>
    </row>
    <row r="5012" spans="1:19" ht="30" customHeight="1" x14ac:dyDescent="0.25">
      <c r="A5012" s="365" t="s">
        <v>2133</v>
      </c>
      <c r="B5012" s="1209" t="s">
        <v>2747</v>
      </c>
      <c r="C5012" s="1210"/>
      <c r="D5012" s="1211"/>
      <c r="E5012" s="7">
        <f>+(0.78+1.5)/2</f>
        <v>1.1400000000000001</v>
      </c>
      <c r="F5012" s="396" t="s">
        <v>205</v>
      </c>
      <c r="G5012" s="365">
        <v>8</v>
      </c>
      <c r="H5012" s="365" t="s">
        <v>2682</v>
      </c>
      <c r="I5012" s="365">
        <v>1.05</v>
      </c>
      <c r="J5012" s="365"/>
      <c r="K5012" s="664">
        <f>+E5012*G5012*I5012</f>
        <v>9.5760000000000023</v>
      </c>
      <c r="L5012" s="365" t="s">
        <v>40</v>
      </c>
      <c r="O5012" s="336"/>
      <c r="P5012" s="334"/>
      <c r="Q5012" s="335"/>
      <c r="R5012" s="336"/>
      <c r="S5012" s="337"/>
    </row>
    <row r="5013" spans="1:19" ht="30" customHeight="1" x14ac:dyDescent="0.25">
      <c r="A5013" s="365"/>
      <c r="B5013" s="561"/>
      <c r="C5013" s="562"/>
      <c r="D5013" s="563"/>
      <c r="E5013" s="7"/>
      <c r="F5013" s="396"/>
      <c r="G5013" s="689"/>
      <c r="H5013" s="1387" t="s">
        <v>2748</v>
      </c>
      <c r="I5013" s="1387"/>
      <c r="J5013" s="1240"/>
      <c r="K5013" s="752">
        <f>SUM(K5008:K5012)</f>
        <v>53.691750000000006</v>
      </c>
      <c r="L5013" s="365" t="s">
        <v>40</v>
      </c>
      <c r="O5013" s="336"/>
      <c r="P5013" s="334"/>
      <c r="Q5013" s="335"/>
      <c r="R5013" s="336"/>
      <c r="S5013" s="337"/>
    </row>
    <row r="5014" spans="1:19" ht="30" customHeight="1" x14ac:dyDescent="0.25">
      <c r="A5014" s="365" t="s">
        <v>2133</v>
      </c>
      <c r="B5014" s="1214" t="s">
        <v>2749</v>
      </c>
      <c r="C5014" s="1215"/>
      <c r="D5014" s="1216"/>
      <c r="E5014" s="7"/>
      <c r="F5014" s="396"/>
      <c r="G5014" s="1073">
        <v>-0.1</v>
      </c>
      <c r="H5014" s="1074"/>
      <c r="I5014" s="697"/>
      <c r="J5014" s="698"/>
      <c r="K5014" s="752">
        <f>+G5014*K5013</f>
        <v>-5.3691750000000011</v>
      </c>
      <c r="L5014" s="396"/>
      <c r="M5014" s="54"/>
      <c r="N5014" s="10"/>
      <c r="O5014" s="336"/>
      <c r="P5014" s="334"/>
      <c r="Q5014" s="335"/>
      <c r="R5014" s="336"/>
      <c r="S5014" s="337"/>
    </row>
    <row r="5015" spans="1:19" ht="30" customHeight="1" x14ac:dyDescent="0.25">
      <c r="A5015" s="365"/>
      <c r="B5015" s="561"/>
      <c r="C5015" s="562"/>
      <c r="D5015" s="563"/>
      <c r="E5015" s="7"/>
      <c r="F5015" s="396"/>
      <c r="G5015" s="689"/>
      <c r="H5015" s="1387" t="s">
        <v>2750</v>
      </c>
      <c r="I5015" s="1387"/>
      <c r="J5015" s="1240"/>
      <c r="K5015" s="752">
        <f>SUM(K5013:K5014)</f>
        <v>48.322575000000008</v>
      </c>
      <c r="L5015" s="365" t="s">
        <v>40</v>
      </c>
      <c r="O5015" s="336"/>
      <c r="P5015" s="334"/>
      <c r="Q5015" s="335"/>
      <c r="R5015" s="336"/>
      <c r="S5015" s="337"/>
    </row>
    <row r="5016" spans="1:19" ht="30" customHeight="1" x14ac:dyDescent="0.25">
      <c r="A5016" s="365"/>
      <c r="B5016" s="578"/>
      <c r="C5016" s="578"/>
      <c r="D5016" s="578"/>
      <c r="E5016" s="247"/>
      <c r="F5016" s="1272" t="s">
        <v>303</v>
      </c>
      <c r="G5016" s="1283" t="s">
        <v>304</v>
      </c>
      <c r="H5016" s="1283"/>
      <c r="I5016" s="1283"/>
      <c r="J5016" s="1283"/>
      <c r="K5016" s="250">
        <v>1.07</v>
      </c>
      <c r="L5016" s="365"/>
      <c r="N5016" s="54"/>
      <c r="O5016" s="336"/>
      <c r="P5016" s="334"/>
      <c r="Q5016" s="335"/>
      <c r="R5016" s="336"/>
      <c r="S5016" s="337"/>
    </row>
    <row r="5017" spans="1:19" ht="30" customHeight="1" x14ac:dyDescent="0.25">
      <c r="A5017" s="365"/>
      <c r="B5017" s="578"/>
      <c r="C5017" s="578"/>
      <c r="D5017" s="578"/>
      <c r="E5017" s="247"/>
      <c r="F5017" s="1273"/>
      <c r="G5017" s="1284" t="s">
        <v>438</v>
      </c>
      <c r="H5017" s="1284"/>
      <c r="I5017" s="1284"/>
      <c r="J5017" s="1284"/>
      <c r="K5017" s="250">
        <v>1.08</v>
      </c>
      <c r="L5017" s="365"/>
      <c r="O5017" s="336"/>
      <c r="P5017" s="334"/>
      <c r="Q5017" s="335"/>
      <c r="R5017" s="336"/>
      <c r="S5017" s="337"/>
    </row>
    <row r="5018" spans="1:19" ht="30" customHeight="1" x14ac:dyDescent="0.25">
      <c r="A5018" s="366"/>
      <c r="B5018" s="365"/>
      <c r="C5018" s="366"/>
      <c r="D5018" s="366"/>
      <c r="E5018" s="366"/>
      <c r="F5018" s="366"/>
      <c r="G5018" s="366"/>
      <c r="H5018" s="366"/>
      <c r="I5018" s="366"/>
      <c r="J5018" s="365" t="s">
        <v>72</v>
      </c>
      <c r="K5018" s="256">
        <f>+K5015*K5016/K5017</f>
        <v>47.875143750000007</v>
      </c>
      <c r="L5018" s="365" t="s">
        <v>40</v>
      </c>
      <c r="O5018" s="336"/>
      <c r="P5018" s="334"/>
      <c r="Q5018" s="335"/>
      <c r="R5018" s="336"/>
      <c r="S5018" s="337"/>
    </row>
    <row r="5019" spans="1:19" ht="30" customHeight="1" x14ac:dyDescent="0.25">
      <c r="A5019" s="366"/>
      <c r="B5019" s="365"/>
      <c r="C5019" s="366"/>
      <c r="D5019" s="366"/>
      <c r="E5019" s="366"/>
      <c r="F5019" s="366"/>
      <c r="G5019" s="1063" t="s">
        <v>414</v>
      </c>
      <c r="H5019" s="366"/>
      <c r="I5019" s="366"/>
      <c r="J5019" s="521">
        <f>VLOOKUP(B5006,'Mil Cost Premiums for PUCs'!$A$4:$R$277,18,FALSE)</f>
        <v>1.0905505199999999</v>
      </c>
      <c r="K5019" s="256">
        <f>+K5018*J5019</f>
        <v>52.210262911637251</v>
      </c>
      <c r="L5019" s="365" t="s">
        <v>40</v>
      </c>
      <c r="O5019" s="336"/>
      <c r="P5019" s="334"/>
      <c r="Q5019" s="335"/>
      <c r="R5019" s="336"/>
      <c r="S5019" s="337"/>
    </row>
    <row r="5020" spans="1:19" ht="30" customHeight="1" x14ac:dyDescent="0.25">
      <c r="A5020" s="844"/>
      <c r="B5020" s="844"/>
      <c r="C5020" s="471"/>
      <c r="D5020" s="471"/>
      <c r="E5020" s="471"/>
      <c r="F5020" s="1278" t="s">
        <v>1148</v>
      </c>
      <c r="G5020" s="1278"/>
      <c r="H5020" s="1278"/>
      <c r="I5020" s="1278"/>
      <c r="J5020" s="987">
        <v>1.0833999999999999</v>
      </c>
      <c r="K5020" s="1060">
        <f>K5019*J5020</f>
        <v>56.564598838467795</v>
      </c>
      <c r="L5020" s="365" t="s">
        <v>40</v>
      </c>
      <c r="O5020" s="336"/>
      <c r="P5020" s="334"/>
      <c r="Q5020" s="335"/>
      <c r="R5020" s="336"/>
      <c r="S5020" s="337"/>
    </row>
    <row r="5021" spans="1:19" ht="75" customHeight="1" x14ac:dyDescent="0.25">
      <c r="A5021" s="1683" t="s">
        <v>307</v>
      </c>
      <c r="B5021" s="1684"/>
      <c r="C5021" s="1684"/>
      <c r="D5021" s="1684"/>
      <c r="E5021" s="1684"/>
      <c r="F5021" s="1684"/>
      <c r="G5021" s="1684"/>
      <c r="H5021" s="1684"/>
      <c r="I5021" s="1684"/>
      <c r="J5021" s="1684"/>
      <c r="K5021" s="1684"/>
      <c r="L5021" s="1685"/>
      <c r="N5021" s="10"/>
      <c r="O5021" s="336"/>
      <c r="P5021" s="334"/>
      <c r="Q5021" s="335"/>
      <c r="R5021" s="336"/>
      <c r="S5021" s="337"/>
    </row>
    <row r="5022" spans="1:19" ht="30" customHeight="1" x14ac:dyDescent="0.25">
      <c r="A5022" s="1631" t="s">
        <v>308</v>
      </c>
      <c r="B5022" s="1254"/>
      <c r="C5022" s="1255"/>
      <c r="D5022" s="1230" t="s">
        <v>2751</v>
      </c>
      <c r="E5022" s="1231"/>
      <c r="F5022" s="1231"/>
      <c r="G5022" s="1231"/>
      <c r="H5022" s="1231"/>
      <c r="I5022" s="1231"/>
      <c r="J5022" s="1231"/>
      <c r="K5022" s="1231"/>
      <c r="L5022" s="1232"/>
      <c r="N5022" s="10"/>
      <c r="O5022" s="336"/>
      <c r="P5022" s="334"/>
      <c r="Q5022" s="335"/>
      <c r="R5022" s="336"/>
      <c r="S5022" s="337"/>
    </row>
    <row r="5023" spans="1:19" ht="30" customHeight="1" x14ac:dyDescent="0.25">
      <c r="A5023" s="1631" t="s">
        <v>310</v>
      </c>
      <c r="B5023" s="1254"/>
      <c r="C5023" s="1255"/>
      <c r="D5023" s="1230" t="s">
        <v>2752</v>
      </c>
      <c r="E5023" s="1231"/>
      <c r="F5023" s="1231"/>
      <c r="G5023" s="1231"/>
      <c r="H5023" s="1231"/>
      <c r="I5023" s="1231"/>
      <c r="J5023" s="1231"/>
      <c r="K5023" s="1231"/>
      <c r="L5023" s="1232"/>
      <c r="O5023" s="336"/>
      <c r="P5023" s="334"/>
      <c r="Q5023" s="335"/>
      <c r="R5023" s="336"/>
      <c r="S5023" s="337"/>
    </row>
    <row r="5024" spans="1:19" ht="30" customHeight="1" x14ac:dyDescent="0.25">
      <c r="A5024" s="1631" t="s">
        <v>312</v>
      </c>
      <c r="B5024" s="1254"/>
      <c r="C5024" s="1255"/>
      <c r="D5024" s="1230" t="s">
        <v>2753</v>
      </c>
      <c r="E5024" s="1231"/>
      <c r="F5024" s="1231"/>
      <c r="G5024" s="1231"/>
      <c r="H5024" s="1231"/>
      <c r="I5024" s="1231"/>
      <c r="J5024" s="1231"/>
      <c r="K5024" s="1231"/>
      <c r="L5024" s="1232"/>
      <c r="O5024" s="336"/>
      <c r="P5024" s="334"/>
      <c r="Q5024" s="335"/>
      <c r="R5024" s="336"/>
      <c r="S5024" s="337"/>
    </row>
    <row r="5025" spans="1:19" ht="30" customHeight="1" x14ac:dyDescent="0.25">
      <c r="A5025" s="1631" t="s">
        <v>314</v>
      </c>
      <c r="B5025" s="1254"/>
      <c r="C5025" s="1255"/>
      <c r="D5025" s="1230" t="s">
        <v>2754</v>
      </c>
      <c r="E5025" s="1231"/>
      <c r="F5025" s="1231"/>
      <c r="G5025" s="1231"/>
      <c r="H5025" s="1231"/>
      <c r="I5025" s="1231"/>
      <c r="J5025" s="1231"/>
      <c r="K5025" s="1231"/>
      <c r="L5025" s="1232"/>
      <c r="O5025" s="336"/>
      <c r="P5025" s="334"/>
      <c r="Q5025" s="335"/>
      <c r="R5025" s="336"/>
      <c r="S5025" s="337"/>
    </row>
    <row r="5026" spans="1:19" ht="30" customHeight="1" x14ac:dyDescent="0.25">
      <c r="A5026" s="1631" t="s">
        <v>316</v>
      </c>
      <c r="B5026" s="1254"/>
      <c r="C5026" s="1255"/>
      <c r="D5026" s="1230" t="s">
        <v>2755</v>
      </c>
      <c r="E5026" s="1231"/>
      <c r="F5026" s="1231"/>
      <c r="G5026" s="1231"/>
      <c r="H5026" s="1231"/>
      <c r="I5026" s="1231"/>
      <c r="J5026" s="1231"/>
      <c r="K5026" s="1231"/>
      <c r="L5026" s="1232"/>
      <c r="O5026" s="336"/>
      <c r="P5026" s="334"/>
      <c r="Q5026" s="335"/>
      <c r="R5026" s="336"/>
      <c r="S5026" s="337"/>
    </row>
    <row r="5027" spans="1:19" ht="30" customHeight="1" x14ac:dyDescent="0.25">
      <c r="A5027" s="1631" t="s">
        <v>318</v>
      </c>
      <c r="B5027" s="1254"/>
      <c r="C5027" s="1255"/>
      <c r="D5027" s="1230" t="s">
        <v>2250</v>
      </c>
      <c r="E5027" s="1231"/>
      <c r="F5027" s="1231"/>
      <c r="G5027" s="1231"/>
      <c r="H5027" s="1231"/>
      <c r="I5027" s="1231"/>
      <c r="J5027" s="1231"/>
      <c r="K5027" s="1231"/>
      <c r="L5027" s="1232"/>
      <c r="N5027" s="54"/>
      <c r="O5027" s="336"/>
      <c r="P5027" s="334"/>
      <c r="Q5027" s="335"/>
      <c r="R5027" s="336"/>
      <c r="S5027" s="337"/>
    </row>
    <row r="5028" spans="1:19" ht="30" customHeight="1" x14ac:dyDescent="0.25">
      <c r="A5028" s="1631" t="s">
        <v>320</v>
      </c>
      <c r="B5028" s="1254"/>
      <c r="C5028" s="1255"/>
      <c r="D5028" s="1230" t="s">
        <v>2756</v>
      </c>
      <c r="E5028" s="1231"/>
      <c r="F5028" s="1231"/>
      <c r="G5028" s="1231"/>
      <c r="H5028" s="1231"/>
      <c r="I5028" s="1231"/>
      <c r="J5028" s="1231"/>
      <c r="K5028" s="1231"/>
      <c r="L5028" s="1232"/>
      <c r="O5028" s="336"/>
      <c r="P5028" s="334"/>
      <c r="Q5028" s="335"/>
      <c r="R5028" s="336"/>
      <c r="S5028" s="337"/>
    </row>
    <row r="5029" spans="1:19" ht="30" customHeight="1" x14ac:dyDescent="0.25">
      <c r="A5029" s="1631" t="s">
        <v>322</v>
      </c>
      <c r="B5029" s="1254"/>
      <c r="C5029" s="1255"/>
      <c r="D5029" s="1230" t="s">
        <v>323</v>
      </c>
      <c r="E5029" s="1231"/>
      <c r="F5029" s="1231"/>
      <c r="G5029" s="1231"/>
      <c r="H5029" s="1231"/>
      <c r="I5029" s="1231"/>
      <c r="J5029" s="1231"/>
      <c r="K5029" s="1231"/>
      <c r="L5029" s="1232"/>
      <c r="N5029" s="10"/>
      <c r="O5029" s="336"/>
      <c r="P5029" s="334"/>
      <c r="Q5029" s="335"/>
      <c r="R5029" s="336"/>
      <c r="S5029" s="337"/>
    </row>
    <row r="5030" spans="1:19" ht="75" customHeight="1" thickBot="1" x14ac:dyDescent="0.3">
      <c r="A5030" s="1688" t="s">
        <v>350</v>
      </c>
      <c r="B5030" s="1660"/>
      <c r="C5030" s="1661"/>
      <c r="D5030" s="1291" t="s">
        <v>3465</v>
      </c>
      <c r="E5030" s="1292"/>
      <c r="F5030" s="1292"/>
      <c r="G5030" s="1292"/>
      <c r="H5030" s="1292"/>
      <c r="I5030" s="1292"/>
      <c r="J5030" s="1292"/>
      <c r="K5030" s="1292"/>
      <c r="L5030" s="1293"/>
      <c r="M5030" s="10"/>
      <c r="N5030" s="10"/>
      <c r="O5030" s="336"/>
      <c r="P5030" s="334"/>
      <c r="Q5030" s="335"/>
      <c r="R5030" s="336"/>
      <c r="S5030" s="337"/>
    </row>
    <row r="5031" spans="1:19" ht="30" customHeight="1" thickBot="1" x14ac:dyDescent="0.3">
      <c r="A5031" s="1180"/>
      <c r="B5031" s="1181"/>
      <c r="C5031" s="1181"/>
      <c r="D5031" s="1181"/>
      <c r="E5031" s="1181"/>
      <c r="F5031" s="1181"/>
      <c r="G5031" s="1181"/>
      <c r="H5031" s="1181"/>
      <c r="I5031" s="1181"/>
      <c r="J5031" s="1181"/>
      <c r="K5031" s="1181"/>
      <c r="L5031" s="1182"/>
      <c r="O5031" s="336"/>
      <c r="P5031" s="334"/>
      <c r="Q5031" s="335"/>
      <c r="R5031" s="336"/>
      <c r="S5031" s="337"/>
    </row>
    <row r="5032" spans="1:19" ht="30" customHeight="1" x14ac:dyDescent="0.25">
      <c r="A5032" s="327" t="s">
        <v>5</v>
      </c>
      <c r="B5032" s="328">
        <v>8722</v>
      </c>
      <c r="C5032" s="1364" t="s">
        <v>2757</v>
      </c>
      <c r="D5032" s="1365"/>
      <c r="E5032" s="331" t="s">
        <v>8</v>
      </c>
      <c r="F5032" s="332" t="s">
        <v>40</v>
      </c>
      <c r="G5032" s="342" t="s">
        <v>74</v>
      </c>
      <c r="H5032" s="156">
        <v>5844</v>
      </c>
      <c r="I5032" s="331" t="s">
        <v>10</v>
      </c>
      <c r="J5032" s="1220" t="s">
        <v>3388</v>
      </c>
      <c r="K5032" s="1220"/>
      <c r="L5032" s="1221"/>
      <c r="M5032" s="54"/>
      <c r="O5032" s="336"/>
      <c r="P5032" s="334"/>
      <c r="Q5032" s="335"/>
      <c r="R5032" s="336"/>
      <c r="S5032" s="337"/>
    </row>
    <row r="5033" spans="1:19" ht="30" customHeight="1" x14ac:dyDescent="0.25">
      <c r="A5033" s="359" t="s">
        <v>295</v>
      </c>
      <c r="B5033" s="1222" t="s">
        <v>326</v>
      </c>
      <c r="C5033" s="1235"/>
      <c r="D5033" s="1223"/>
      <c r="E5033" s="577" t="s">
        <v>116</v>
      </c>
      <c r="F5033" s="577" t="s">
        <v>117</v>
      </c>
      <c r="G5033" s="1194" t="s">
        <v>118</v>
      </c>
      <c r="H5033" s="1195"/>
      <c r="I5033" s="356" t="s">
        <v>296</v>
      </c>
      <c r="J5033" s="356"/>
      <c r="K5033" s="1236" t="s">
        <v>285</v>
      </c>
      <c r="L5033" s="1237"/>
      <c r="O5033" s="336"/>
      <c r="P5033" s="334"/>
      <c r="Q5033" s="335"/>
      <c r="R5033" s="336"/>
      <c r="S5033" s="337"/>
    </row>
    <row r="5034" spans="1:19" ht="30" customHeight="1" x14ac:dyDescent="0.25">
      <c r="A5034" s="486" t="s">
        <v>2133</v>
      </c>
      <c r="B5034" s="1268" t="s">
        <v>2758</v>
      </c>
      <c r="C5034" s="1167"/>
      <c r="D5034" s="1168"/>
      <c r="E5034" s="1075">
        <v>37.25</v>
      </c>
      <c r="F5034" s="534" t="s">
        <v>40</v>
      </c>
      <c r="G5034" s="1024"/>
      <c r="H5034" s="984"/>
      <c r="I5034" s="486">
        <v>1.05</v>
      </c>
      <c r="J5034" s="486"/>
      <c r="K5034" s="1076">
        <f>+E5034*I5034</f>
        <v>39.112500000000004</v>
      </c>
      <c r="L5034" s="534" t="s">
        <v>40</v>
      </c>
      <c r="O5034" s="336"/>
      <c r="P5034" s="334"/>
      <c r="Q5034" s="335"/>
      <c r="R5034" s="336"/>
      <c r="S5034" s="337"/>
    </row>
    <row r="5035" spans="1:19" ht="30" customHeight="1" x14ac:dyDescent="0.25">
      <c r="A5035" s="365" t="s">
        <v>2133</v>
      </c>
      <c r="B5035" s="1214" t="s">
        <v>2744</v>
      </c>
      <c r="C5035" s="1215"/>
      <c r="D5035" s="1216"/>
      <c r="E5035" s="7">
        <v>3.24</v>
      </c>
      <c r="F5035" s="396" t="s">
        <v>40</v>
      </c>
      <c r="G5035" s="689"/>
      <c r="H5035" s="690"/>
      <c r="I5035" s="365">
        <v>1.05</v>
      </c>
      <c r="J5035" s="365"/>
      <c r="K5035" s="752">
        <f>+E5035*I5035</f>
        <v>3.4020000000000006</v>
      </c>
      <c r="L5035" s="396" t="s">
        <v>40</v>
      </c>
      <c r="N5035" s="54"/>
      <c r="O5035" s="336"/>
      <c r="P5035" s="334"/>
      <c r="Q5035" s="335"/>
      <c r="R5035" s="336"/>
      <c r="S5035" s="337"/>
    </row>
    <row r="5036" spans="1:19" ht="30" customHeight="1" x14ac:dyDescent="0.25">
      <c r="A5036" s="365" t="s">
        <v>2133</v>
      </c>
      <c r="B5036" s="1214" t="s">
        <v>2759</v>
      </c>
      <c r="C5036" s="1215"/>
      <c r="D5036" s="1216"/>
      <c r="E5036" s="7">
        <v>11.8</v>
      </c>
      <c r="F5036" s="396" t="s">
        <v>40</v>
      </c>
      <c r="G5036" s="689"/>
      <c r="H5036" s="690"/>
      <c r="I5036" s="365">
        <v>1.05</v>
      </c>
      <c r="J5036" s="365"/>
      <c r="K5036" s="752">
        <f>+E5036*I5036</f>
        <v>12.39</v>
      </c>
      <c r="L5036" s="396" t="s">
        <v>40</v>
      </c>
      <c r="M5036" s="10"/>
      <c r="O5036" s="336"/>
      <c r="P5036" s="334"/>
      <c r="Q5036" s="335"/>
      <c r="R5036" s="336"/>
      <c r="S5036" s="337"/>
    </row>
    <row r="5037" spans="1:19" ht="30" customHeight="1" x14ac:dyDescent="0.25">
      <c r="A5037" s="365" t="s">
        <v>2133</v>
      </c>
      <c r="B5037" s="1214" t="s">
        <v>2760</v>
      </c>
      <c r="C5037" s="1215"/>
      <c r="D5037" s="1216"/>
      <c r="E5037" s="7">
        <v>1740</v>
      </c>
      <c r="F5037" s="396" t="s">
        <v>76</v>
      </c>
      <c r="G5037" s="776">
        <v>1000</v>
      </c>
      <c r="H5037" s="690" t="s">
        <v>2463</v>
      </c>
      <c r="I5037" s="365">
        <v>1.05</v>
      </c>
      <c r="J5037" s="365"/>
      <c r="K5037" s="752">
        <f>+E5037/G5037*I5037</f>
        <v>1.827</v>
      </c>
      <c r="L5037" s="396" t="s">
        <v>40</v>
      </c>
      <c r="M5037" s="10"/>
      <c r="O5037" s="336"/>
      <c r="P5037" s="334"/>
      <c r="Q5037" s="335"/>
      <c r="R5037" s="336"/>
      <c r="S5037" s="337"/>
    </row>
    <row r="5038" spans="1:19" ht="30" customHeight="1" x14ac:dyDescent="0.25">
      <c r="A5038" s="365" t="s">
        <v>2133</v>
      </c>
      <c r="B5038" s="1209" t="s">
        <v>2761</v>
      </c>
      <c r="C5038" s="1210"/>
      <c r="D5038" s="1211"/>
      <c r="E5038" s="7">
        <f>+(10600+12700)/2*1.3</f>
        <v>15145</v>
      </c>
      <c r="F5038" s="396" t="s">
        <v>76</v>
      </c>
      <c r="G5038" s="776">
        <v>1000</v>
      </c>
      <c r="H5038" s="690" t="s">
        <v>2463</v>
      </c>
      <c r="I5038" s="365">
        <v>1.05</v>
      </c>
      <c r="J5038" s="365"/>
      <c r="K5038" s="752">
        <f>+E5038/G5038*I5038</f>
        <v>15.90225</v>
      </c>
      <c r="L5038" s="396" t="s">
        <v>40</v>
      </c>
      <c r="O5038" s="336"/>
      <c r="P5038" s="334"/>
      <c r="Q5038" s="335"/>
      <c r="R5038" s="336"/>
      <c r="S5038" s="337"/>
    </row>
    <row r="5039" spans="1:19" ht="30" customHeight="1" x14ac:dyDescent="0.25">
      <c r="A5039" s="365" t="s">
        <v>2133</v>
      </c>
      <c r="B5039" s="1209" t="s">
        <v>2762</v>
      </c>
      <c r="C5039" s="1210"/>
      <c r="D5039" s="1211"/>
      <c r="E5039" s="7">
        <v>13.68</v>
      </c>
      <c r="F5039" s="396" t="s">
        <v>40</v>
      </c>
      <c r="G5039" s="689"/>
      <c r="H5039" s="690"/>
      <c r="I5039" s="365">
        <v>1.05</v>
      </c>
      <c r="J5039" s="365"/>
      <c r="K5039" s="752">
        <f>+E5039*I5039</f>
        <v>14.364000000000001</v>
      </c>
      <c r="L5039" s="396" t="s">
        <v>40</v>
      </c>
      <c r="O5039" s="336"/>
      <c r="P5039" s="334"/>
      <c r="Q5039" s="335"/>
      <c r="R5039" s="336"/>
      <c r="S5039" s="337"/>
    </row>
    <row r="5040" spans="1:19" ht="30" customHeight="1" x14ac:dyDescent="0.25">
      <c r="A5040" s="366"/>
      <c r="B5040" s="1269"/>
      <c r="C5040" s="1269"/>
      <c r="D5040" s="1269"/>
      <c r="E5040" s="247"/>
      <c r="F5040" s="365"/>
      <c r="G5040" s="365"/>
      <c r="H5040" s="365"/>
      <c r="I5040" s="365"/>
      <c r="J5040" s="365" t="s">
        <v>408</v>
      </c>
      <c r="K5040" s="259">
        <f>SUM(K5034:K5039)</f>
        <v>86.997750000000011</v>
      </c>
      <c r="L5040" s="365" t="s">
        <v>40</v>
      </c>
      <c r="O5040" s="336"/>
      <c r="P5040" s="334"/>
      <c r="Q5040" s="335"/>
      <c r="R5040" s="336"/>
      <c r="S5040" s="337"/>
    </row>
    <row r="5041" spans="1:19" ht="30" customHeight="1" x14ac:dyDescent="0.25">
      <c r="A5041" s="366"/>
      <c r="B5041" s="1209" t="s">
        <v>2763</v>
      </c>
      <c r="C5041" s="1210"/>
      <c r="D5041" s="1211"/>
      <c r="E5041" s="247"/>
      <c r="F5041" s="365"/>
      <c r="G5041" s="365"/>
      <c r="H5041" s="365"/>
      <c r="I5041" s="365"/>
      <c r="J5041" s="365"/>
      <c r="K5041" s="259">
        <f>+K5040*0.85</f>
        <v>73.948087500000014</v>
      </c>
      <c r="L5041" s="365" t="s">
        <v>40</v>
      </c>
      <c r="O5041" s="336"/>
      <c r="P5041" s="334"/>
      <c r="Q5041" s="335"/>
      <c r="R5041" s="336"/>
      <c r="S5041" s="337"/>
    </row>
    <row r="5042" spans="1:19" ht="30" customHeight="1" x14ac:dyDescent="0.25">
      <c r="A5042" s="365"/>
      <c r="B5042" s="578"/>
      <c r="C5042" s="578"/>
      <c r="D5042" s="578"/>
      <c r="E5042" s="247"/>
      <c r="F5042" s="1272" t="s">
        <v>303</v>
      </c>
      <c r="G5042" s="1283" t="s">
        <v>304</v>
      </c>
      <c r="H5042" s="1283"/>
      <c r="I5042" s="1283"/>
      <c r="J5042" s="1283"/>
      <c r="K5042" s="250">
        <v>1.07</v>
      </c>
      <c r="L5042" s="365"/>
      <c r="M5042" s="54"/>
      <c r="O5042" s="336"/>
      <c r="P5042" s="334"/>
      <c r="Q5042" s="335"/>
      <c r="R5042" s="336"/>
      <c r="S5042" s="337"/>
    </row>
    <row r="5043" spans="1:19" ht="30" customHeight="1" x14ac:dyDescent="0.25">
      <c r="A5043" s="365"/>
      <c r="B5043" s="578"/>
      <c r="C5043" s="578"/>
      <c r="D5043" s="578"/>
      <c r="E5043" s="247"/>
      <c r="F5043" s="1273"/>
      <c r="G5043" s="1284" t="s">
        <v>438</v>
      </c>
      <c r="H5043" s="1284"/>
      <c r="I5043" s="1284"/>
      <c r="J5043" s="1284"/>
      <c r="K5043" s="250">
        <v>1.08</v>
      </c>
      <c r="L5043" s="365"/>
      <c r="N5043" s="10"/>
      <c r="O5043" s="336"/>
      <c r="P5043" s="334"/>
      <c r="Q5043" s="335"/>
      <c r="R5043" s="336"/>
      <c r="S5043" s="337"/>
    </row>
    <row r="5044" spans="1:19" ht="30" customHeight="1" x14ac:dyDescent="0.25">
      <c r="A5044" s="366"/>
      <c r="B5044" s="365"/>
      <c r="C5044" s="366"/>
      <c r="D5044" s="366"/>
      <c r="E5044" s="366"/>
      <c r="F5044" s="366"/>
      <c r="G5044" s="366"/>
      <c r="H5044" s="366"/>
      <c r="I5044" s="366"/>
      <c r="J5044" s="365" t="s">
        <v>72</v>
      </c>
      <c r="K5044" s="256">
        <f>+K5041*K5042/K5043</f>
        <v>73.263382986111125</v>
      </c>
      <c r="L5044" s="365" t="s">
        <v>40</v>
      </c>
      <c r="M5044" s="10"/>
      <c r="N5044" s="10"/>
      <c r="O5044" s="336"/>
      <c r="P5044" s="334"/>
      <c r="Q5044" s="335"/>
      <c r="R5044" s="336"/>
      <c r="S5044" s="337"/>
    </row>
    <row r="5045" spans="1:19" ht="30" customHeight="1" x14ac:dyDescent="0.25">
      <c r="A5045" s="366"/>
      <c r="B5045" s="365"/>
      <c r="C5045" s="366"/>
      <c r="D5045" s="366"/>
      <c r="E5045" s="366"/>
      <c r="F5045" s="366"/>
      <c r="G5045" s="398" t="s">
        <v>414</v>
      </c>
      <c r="H5045" s="366"/>
      <c r="I5045" s="366"/>
      <c r="J5045" s="521">
        <f>VLOOKUP(B5032,'Mil Cost Premiums for PUCs'!$A$4:$R$277,18,FALSE)</f>
        <v>1.0905505199999999</v>
      </c>
      <c r="K5045" s="246">
        <f>+K5044*J5045</f>
        <v>79.897420412462637</v>
      </c>
      <c r="L5045" s="365" t="s">
        <v>40</v>
      </c>
      <c r="M5045" s="10"/>
    </row>
    <row r="5046" spans="1:19" ht="30" customHeight="1" x14ac:dyDescent="0.25">
      <c r="A5046" s="844"/>
      <c r="B5046" s="844"/>
      <c r="C5046" s="471"/>
      <c r="D5046" s="471"/>
      <c r="E5046" s="471"/>
      <c r="F5046" s="1278" t="s">
        <v>1148</v>
      </c>
      <c r="G5046" s="1278"/>
      <c r="H5046" s="1278"/>
      <c r="I5046" s="1278"/>
      <c r="J5046" s="987">
        <v>1.0833999999999999</v>
      </c>
      <c r="K5046" s="1060">
        <f>K5045*J5046</f>
        <v>86.56086527486201</v>
      </c>
      <c r="L5046" s="365" t="s">
        <v>40</v>
      </c>
      <c r="O5046" s="336"/>
      <c r="P5046" s="334"/>
      <c r="Q5046" s="335"/>
      <c r="R5046" s="336"/>
      <c r="S5046" s="337"/>
    </row>
    <row r="5047" spans="1:19" ht="75" customHeight="1" x14ac:dyDescent="0.25">
      <c r="A5047" s="1230" t="s">
        <v>307</v>
      </c>
      <c r="B5047" s="1231"/>
      <c r="C5047" s="1231"/>
      <c r="D5047" s="1231"/>
      <c r="E5047" s="1231"/>
      <c r="F5047" s="1231"/>
      <c r="G5047" s="1231"/>
      <c r="H5047" s="1231"/>
      <c r="I5047" s="1231"/>
      <c r="J5047" s="1231"/>
      <c r="K5047" s="1231"/>
      <c r="L5047" s="1232"/>
      <c r="N5047" s="10"/>
      <c r="O5047" s="336"/>
      <c r="P5047" s="334"/>
      <c r="Q5047" s="335"/>
      <c r="R5047" s="336"/>
      <c r="S5047" s="337"/>
    </row>
    <row r="5048" spans="1:19" ht="30" customHeight="1" x14ac:dyDescent="0.25">
      <c r="A5048" s="1230" t="s">
        <v>308</v>
      </c>
      <c r="B5048" s="1231"/>
      <c r="C5048" s="1232"/>
      <c r="D5048" s="1230" t="s">
        <v>2764</v>
      </c>
      <c r="E5048" s="1231"/>
      <c r="F5048" s="1231"/>
      <c r="G5048" s="1231"/>
      <c r="H5048" s="1231"/>
      <c r="I5048" s="1231"/>
      <c r="J5048" s="1231"/>
      <c r="K5048" s="1231"/>
      <c r="L5048" s="1232"/>
      <c r="O5048" s="336"/>
      <c r="P5048" s="334"/>
      <c r="Q5048" s="335"/>
      <c r="R5048" s="336"/>
      <c r="S5048" s="337"/>
    </row>
    <row r="5049" spans="1:19" ht="30" customHeight="1" x14ac:dyDescent="0.25">
      <c r="A5049" s="1230" t="s">
        <v>310</v>
      </c>
      <c r="B5049" s="1231"/>
      <c r="C5049" s="1232"/>
      <c r="D5049" s="1230" t="s">
        <v>2765</v>
      </c>
      <c r="E5049" s="1231"/>
      <c r="F5049" s="1231"/>
      <c r="G5049" s="1231"/>
      <c r="H5049" s="1231"/>
      <c r="I5049" s="1231"/>
      <c r="J5049" s="1231"/>
      <c r="K5049" s="1231"/>
      <c r="L5049" s="1232"/>
      <c r="O5049" s="336"/>
      <c r="P5049" s="334"/>
      <c r="Q5049" s="335"/>
      <c r="R5049" s="336"/>
      <c r="S5049" s="337"/>
    </row>
    <row r="5050" spans="1:19" ht="30" customHeight="1" x14ac:dyDescent="0.25">
      <c r="A5050" s="1230" t="s">
        <v>312</v>
      </c>
      <c r="B5050" s="1231"/>
      <c r="C5050" s="1232"/>
      <c r="D5050" s="1494" t="s">
        <v>2766</v>
      </c>
      <c r="E5050" s="1495"/>
      <c r="F5050" s="1495"/>
      <c r="G5050" s="1495"/>
      <c r="H5050" s="1495"/>
      <c r="I5050" s="1495"/>
      <c r="J5050" s="1495"/>
      <c r="K5050" s="1495"/>
      <c r="L5050" s="1496"/>
      <c r="O5050" s="336"/>
      <c r="P5050" s="334"/>
      <c r="Q5050" s="335"/>
      <c r="R5050" s="336"/>
      <c r="S5050" s="337"/>
    </row>
    <row r="5051" spans="1:19" ht="30" customHeight="1" x14ac:dyDescent="0.25">
      <c r="A5051" s="1230" t="s">
        <v>314</v>
      </c>
      <c r="B5051" s="1231"/>
      <c r="C5051" s="1232"/>
      <c r="D5051" s="1230" t="s">
        <v>2767</v>
      </c>
      <c r="E5051" s="1231"/>
      <c r="F5051" s="1231"/>
      <c r="G5051" s="1231"/>
      <c r="H5051" s="1231"/>
      <c r="I5051" s="1231"/>
      <c r="J5051" s="1231"/>
      <c r="K5051" s="1231"/>
      <c r="L5051" s="1232"/>
      <c r="M5051" s="54"/>
      <c r="O5051" s="336"/>
      <c r="P5051" s="334"/>
      <c r="Q5051" s="335"/>
      <c r="R5051" s="336"/>
      <c r="S5051" s="337"/>
    </row>
    <row r="5052" spans="1:19" ht="30" customHeight="1" x14ac:dyDescent="0.25">
      <c r="A5052" s="1230" t="s">
        <v>316</v>
      </c>
      <c r="B5052" s="1231"/>
      <c r="C5052" s="1232"/>
      <c r="D5052" s="1230" t="s">
        <v>2755</v>
      </c>
      <c r="E5052" s="1231"/>
      <c r="F5052" s="1231"/>
      <c r="G5052" s="1231"/>
      <c r="H5052" s="1231"/>
      <c r="I5052" s="1231"/>
      <c r="J5052" s="1231"/>
      <c r="K5052" s="1231"/>
      <c r="L5052" s="1232"/>
      <c r="N5052" s="54"/>
      <c r="O5052" s="336"/>
      <c r="P5052" s="334"/>
      <c r="Q5052" s="335"/>
      <c r="R5052" s="336"/>
      <c r="S5052" s="337"/>
    </row>
    <row r="5053" spans="1:19" ht="30" customHeight="1" x14ac:dyDescent="0.25">
      <c r="A5053" s="1230" t="s">
        <v>318</v>
      </c>
      <c r="B5053" s="1231"/>
      <c r="C5053" s="1232"/>
      <c r="D5053" s="1230" t="s">
        <v>2250</v>
      </c>
      <c r="E5053" s="1231"/>
      <c r="F5053" s="1231"/>
      <c r="G5053" s="1231"/>
      <c r="H5053" s="1231"/>
      <c r="I5053" s="1231"/>
      <c r="J5053" s="1231"/>
      <c r="K5053" s="1231"/>
      <c r="L5053" s="1232"/>
      <c r="O5053" s="336"/>
      <c r="P5053" s="334"/>
      <c r="Q5053" s="335"/>
      <c r="R5053" s="336"/>
      <c r="S5053" s="337"/>
    </row>
    <row r="5054" spans="1:19" ht="30" customHeight="1" x14ac:dyDescent="0.25">
      <c r="A5054" s="1230" t="s">
        <v>320</v>
      </c>
      <c r="B5054" s="1231"/>
      <c r="C5054" s="1232"/>
      <c r="D5054" s="1230" t="s">
        <v>2768</v>
      </c>
      <c r="E5054" s="1231"/>
      <c r="F5054" s="1231"/>
      <c r="G5054" s="1231"/>
      <c r="H5054" s="1231"/>
      <c r="I5054" s="1231"/>
      <c r="J5054" s="1231"/>
      <c r="K5054" s="1231"/>
      <c r="L5054" s="1232"/>
      <c r="O5054" s="336"/>
      <c r="P5054" s="334"/>
      <c r="Q5054" s="335"/>
      <c r="R5054" s="336"/>
      <c r="S5054" s="337"/>
    </row>
    <row r="5055" spans="1:19" ht="30" customHeight="1" x14ac:dyDescent="0.25">
      <c r="A5055" s="1230" t="s">
        <v>322</v>
      </c>
      <c r="B5055" s="1231"/>
      <c r="C5055" s="1232"/>
      <c r="D5055" s="1230" t="s">
        <v>323</v>
      </c>
      <c r="E5055" s="1231"/>
      <c r="F5055" s="1231"/>
      <c r="G5055" s="1231"/>
      <c r="H5055" s="1231"/>
      <c r="I5055" s="1231"/>
      <c r="J5055" s="1231"/>
      <c r="K5055" s="1231"/>
      <c r="L5055" s="1232"/>
      <c r="O5055" s="336"/>
      <c r="P5055" s="334"/>
      <c r="Q5055" s="335"/>
      <c r="R5055" s="336"/>
      <c r="S5055" s="337"/>
    </row>
    <row r="5056" spans="1:19" ht="30" customHeight="1" thickBot="1" x14ac:dyDescent="0.3">
      <c r="A5056" s="1291" t="s">
        <v>350</v>
      </c>
      <c r="B5056" s="1292"/>
      <c r="C5056" s="1293"/>
      <c r="D5056" s="1291"/>
      <c r="E5056" s="1292"/>
      <c r="F5056" s="1292"/>
      <c r="G5056" s="1292"/>
      <c r="H5056" s="1292"/>
      <c r="I5056" s="1292"/>
      <c r="J5056" s="1292"/>
      <c r="K5056" s="1292"/>
      <c r="L5056" s="1293"/>
      <c r="N5056" s="10"/>
      <c r="O5056" s="336"/>
      <c r="P5056" s="334"/>
      <c r="Q5056" s="335"/>
      <c r="R5056" s="336"/>
      <c r="S5056" s="337"/>
    </row>
    <row r="5057" spans="1:20" ht="30" customHeight="1" thickBot="1" x14ac:dyDescent="0.3">
      <c r="A5057" s="1180"/>
      <c r="B5057" s="1181"/>
      <c r="C5057" s="1181"/>
      <c r="D5057" s="1181"/>
      <c r="E5057" s="1181"/>
      <c r="F5057" s="1181"/>
      <c r="G5057" s="1181"/>
      <c r="H5057" s="1181"/>
      <c r="I5057" s="1181"/>
      <c r="J5057" s="1181"/>
      <c r="K5057" s="1181"/>
      <c r="L5057" s="1182"/>
      <c r="N5057" s="10"/>
      <c r="O5057" s="336"/>
      <c r="P5057" s="334"/>
      <c r="Q5057" s="335"/>
      <c r="R5057" s="336"/>
      <c r="S5057" s="337"/>
    </row>
    <row r="5058" spans="1:20" ht="30" customHeight="1" x14ac:dyDescent="0.25">
      <c r="A5058" s="327" t="s">
        <v>5</v>
      </c>
      <c r="B5058" s="328">
        <v>8811</v>
      </c>
      <c r="C5058" s="1251" t="s">
        <v>2769</v>
      </c>
      <c r="D5058" s="1252"/>
      <c r="E5058" s="331" t="s">
        <v>8</v>
      </c>
      <c r="F5058" s="332" t="s">
        <v>76</v>
      </c>
      <c r="G5058" s="342" t="s">
        <v>74</v>
      </c>
      <c r="H5058" s="156">
        <v>1</v>
      </c>
      <c r="I5058" s="331" t="s">
        <v>10</v>
      </c>
      <c r="J5058" s="1185" t="s">
        <v>2770</v>
      </c>
      <c r="K5058" s="1185"/>
      <c r="L5058" s="1532"/>
      <c r="M5058" s="116"/>
      <c r="O5058" s="336"/>
      <c r="P5058" s="334"/>
      <c r="Q5058" s="335"/>
      <c r="R5058" s="336"/>
      <c r="S5058" s="337"/>
    </row>
    <row r="5059" spans="1:20" ht="30" customHeight="1" x14ac:dyDescent="0.25">
      <c r="A5059" s="356"/>
      <c r="B5059" s="1163" t="s">
        <v>13</v>
      </c>
      <c r="C5059" s="1163"/>
      <c r="D5059" s="1163"/>
      <c r="E5059" s="356" t="s">
        <v>116</v>
      </c>
      <c r="F5059" s="356" t="s">
        <v>117</v>
      </c>
      <c r="G5059" s="1194" t="s">
        <v>118</v>
      </c>
      <c r="H5059" s="1195"/>
      <c r="I5059" s="356" t="s">
        <v>119</v>
      </c>
      <c r="J5059" s="356" t="s">
        <v>120</v>
      </c>
      <c r="K5059" s="1236" t="s">
        <v>72</v>
      </c>
      <c r="L5059" s="1237"/>
      <c r="M5059" s="54"/>
      <c r="N5059" s="54"/>
      <c r="S5059" s="10"/>
      <c r="T5059" s="10"/>
    </row>
    <row r="5060" spans="1:20" ht="30" customHeight="1" thickBot="1" x14ac:dyDescent="0.3">
      <c r="A5060" s="360"/>
      <c r="B5060" s="1248" t="s">
        <v>2769</v>
      </c>
      <c r="C5060" s="1248"/>
      <c r="D5060" s="1248"/>
      <c r="E5060" s="485">
        <v>92130657.439999998</v>
      </c>
      <c r="F5060" s="486" t="s">
        <v>76</v>
      </c>
      <c r="G5060" s="1183"/>
      <c r="H5060" s="1184"/>
      <c r="I5060" s="486"/>
      <c r="J5060" s="845">
        <v>1.0833999999999999</v>
      </c>
      <c r="K5060" s="488">
        <f>E5060*J5060</f>
        <v>99814354.270495996</v>
      </c>
      <c r="L5060" s="486" t="s">
        <v>76</v>
      </c>
      <c r="M5060" s="54"/>
      <c r="N5060" s="54"/>
      <c r="S5060" s="10"/>
      <c r="T5060" s="10"/>
    </row>
    <row r="5061" spans="1:20" ht="30" customHeight="1" thickBot="1" x14ac:dyDescent="0.3">
      <c r="A5061" s="1180"/>
      <c r="B5061" s="1181"/>
      <c r="C5061" s="1181"/>
      <c r="D5061" s="1181"/>
      <c r="E5061" s="1181"/>
      <c r="F5061" s="1181"/>
      <c r="G5061" s="1181"/>
      <c r="H5061" s="1181"/>
      <c r="I5061" s="1181"/>
      <c r="J5061" s="1181"/>
      <c r="K5061" s="1181"/>
      <c r="L5061" s="1182"/>
      <c r="M5061" s="10"/>
      <c r="O5061" s="336"/>
      <c r="P5061" s="336"/>
      <c r="Q5061" s="335"/>
      <c r="R5061" s="336"/>
      <c r="S5061" s="337"/>
    </row>
    <row r="5062" spans="1:20" ht="30" customHeight="1" x14ac:dyDescent="0.25">
      <c r="A5062" s="327" t="s">
        <v>5</v>
      </c>
      <c r="B5062" s="328">
        <v>8812</v>
      </c>
      <c r="C5062" s="1251" t="s">
        <v>2771</v>
      </c>
      <c r="D5062" s="1252"/>
      <c r="E5062" s="331" t="s">
        <v>8</v>
      </c>
      <c r="F5062" s="332" t="s">
        <v>76</v>
      </c>
      <c r="G5062" s="342" t="s">
        <v>74</v>
      </c>
      <c r="H5062" s="156" t="s">
        <v>2772</v>
      </c>
      <c r="I5062" s="331" t="s">
        <v>10</v>
      </c>
      <c r="J5062" s="1220" t="s">
        <v>2773</v>
      </c>
      <c r="K5062" s="1220"/>
      <c r="L5062" s="1221"/>
      <c r="M5062" s="322"/>
      <c r="N5062" s="130"/>
      <c r="O5062" s="336"/>
      <c r="P5062" s="334"/>
      <c r="Q5062" s="335"/>
      <c r="R5062" s="336"/>
      <c r="S5062" s="337"/>
    </row>
    <row r="5063" spans="1:20" ht="30" customHeight="1" x14ac:dyDescent="0.25">
      <c r="A5063" s="356"/>
      <c r="B5063" s="1163" t="s">
        <v>13</v>
      </c>
      <c r="C5063" s="1163"/>
      <c r="D5063" s="1163"/>
      <c r="E5063" s="356" t="s">
        <v>116</v>
      </c>
      <c r="F5063" s="356" t="s">
        <v>117</v>
      </c>
      <c r="G5063" s="1194" t="s">
        <v>118</v>
      </c>
      <c r="H5063" s="1195"/>
      <c r="I5063" s="356" t="s">
        <v>119</v>
      </c>
      <c r="J5063" s="356" t="s">
        <v>120</v>
      </c>
      <c r="K5063" s="1236" t="s">
        <v>72</v>
      </c>
      <c r="L5063" s="1237"/>
      <c r="M5063" s="54"/>
      <c r="N5063" s="54"/>
      <c r="S5063" s="10"/>
      <c r="T5063" s="10"/>
    </row>
    <row r="5064" spans="1:20" ht="30" customHeight="1" thickBot="1" x14ac:dyDescent="0.3">
      <c r="A5064" s="360"/>
      <c r="B5064" s="1248" t="s">
        <v>2769</v>
      </c>
      <c r="C5064" s="1248"/>
      <c r="D5064" s="1248"/>
      <c r="E5064" s="485">
        <f>K5060</f>
        <v>99814354.270495996</v>
      </c>
      <c r="F5064" s="486" t="s">
        <v>76</v>
      </c>
      <c r="G5064" s="1183"/>
      <c r="H5064" s="1184"/>
      <c r="I5064" s="486"/>
      <c r="J5064" s="845"/>
      <c r="K5064" s="488">
        <f>E5064</f>
        <v>99814354.270495996</v>
      </c>
      <c r="L5064" s="486" t="s">
        <v>76</v>
      </c>
      <c r="M5064" s="54"/>
      <c r="N5064" s="54"/>
      <c r="S5064" s="10"/>
      <c r="T5064" s="10"/>
    </row>
    <row r="5065" spans="1:20" ht="30" customHeight="1" thickBot="1" x14ac:dyDescent="0.3">
      <c r="A5065" s="1180"/>
      <c r="B5065" s="1181"/>
      <c r="C5065" s="1181"/>
      <c r="D5065" s="1181"/>
      <c r="E5065" s="1181"/>
      <c r="F5065" s="1181"/>
      <c r="G5065" s="1181"/>
      <c r="H5065" s="1181"/>
      <c r="I5065" s="1181"/>
      <c r="J5065" s="1181"/>
      <c r="K5065" s="1181"/>
      <c r="L5065" s="1182"/>
      <c r="N5065" s="130"/>
      <c r="O5065" s="336"/>
      <c r="P5065" s="334"/>
      <c r="Q5065" s="335"/>
      <c r="R5065" s="336"/>
      <c r="S5065" s="337"/>
    </row>
    <row r="5066" spans="1:20" ht="30" customHeight="1" x14ac:dyDescent="0.25">
      <c r="A5066" s="327" t="s">
        <v>5</v>
      </c>
      <c r="B5066" s="328">
        <v>8813</v>
      </c>
      <c r="C5066" s="1251" t="s">
        <v>2774</v>
      </c>
      <c r="D5066" s="1252"/>
      <c r="E5066" s="331" t="s">
        <v>8</v>
      </c>
      <c r="F5066" s="332" t="s">
        <v>40</v>
      </c>
      <c r="G5066" s="342" t="s">
        <v>74</v>
      </c>
      <c r="H5066" s="156" t="s">
        <v>2772</v>
      </c>
      <c r="I5066" s="331" t="s">
        <v>10</v>
      </c>
      <c r="J5066" s="1220" t="s">
        <v>3388</v>
      </c>
      <c r="K5066" s="1220"/>
      <c r="L5066" s="1221"/>
      <c r="M5066" s="10"/>
      <c r="N5066" s="54"/>
      <c r="O5066" s="336"/>
      <c r="P5066" s="334"/>
    </row>
    <row r="5067" spans="1:20" ht="30" customHeight="1" x14ac:dyDescent="0.25">
      <c r="A5067" s="359" t="s">
        <v>295</v>
      </c>
      <c r="B5067" s="1222" t="s">
        <v>326</v>
      </c>
      <c r="C5067" s="1235"/>
      <c r="D5067" s="1223"/>
      <c r="E5067" s="577" t="s">
        <v>116</v>
      </c>
      <c r="F5067" s="577" t="s">
        <v>117</v>
      </c>
      <c r="G5067" s="1194" t="s">
        <v>118</v>
      </c>
      <c r="H5067" s="1195"/>
      <c r="I5067" s="356" t="s">
        <v>296</v>
      </c>
      <c r="J5067" s="356"/>
      <c r="K5067" s="1236" t="s">
        <v>285</v>
      </c>
      <c r="L5067" s="1237"/>
      <c r="O5067" s="336"/>
      <c r="P5067" s="334"/>
      <c r="Q5067" s="335"/>
      <c r="R5067" s="336"/>
      <c r="S5067" s="337"/>
    </row>
    <row r="5068" spans="1:20" ht="30" customHeight="1" x14ac:dyDescent="0.25">
      <c r="A5068" s="365" t="s">
        <v>535</v>
      </c>
      <c r="B5068" s="1214" t="s">
        <v>2775</v>
      </c>
      <c r="C5068" s="1215"/>
      <c r="D5068" s="1216"/>
      <c r="E5068" s="716">
        <f>+(5.71+11.1)/2</f>
        <v>8.4049999999999994</v>
      </c>
      <c r="F5068" s="396" t="s">
        <v>9</v>
      </c>
      <c r="G5068" s="689">
        <v>1</v>
      </c>
      <c r="H5068" s="690" t="s">
        <v>618</v>
      </c>
      <c r="I5068" s="365">
        <v>1.03</v>
      </c>
      <c r="J5068" s="365"/>
      <c r="K5068" s="752">
        <f>+E5068*I5068</f>
        <v>8.6571499999999997</v>
      </c>
      <c r="L5068" s="396" t="s">
        <v>40</v>
      </c>
      <c r="O5068" s="336"/>
      <c r="P5068" s="334"/>
      <c r="Q5068" s="335"/>
      <c r="R5068" s="336"/>
      <c r="S5068" s="337"/>
    </row>
    <row r="5069" spans="1:20" ht="30" customHeight="1" x14ac:dyDescent="0.25">
      <c r="A5069" s="365" t="s">
        <v>535</v>
      </c>
      <c r="B5069" s="1214" t="s">
        <v>550</v>
      </c>
      <c r="C5069" s="1215"/>
      <c r="D5069" s="1216"/>
      <c r="E5069" s="7">
        <f>(86.5+261)/2</f>
        <v>173.75</v>
      </c>
      <c r="F5069" s="396" t="s">
        <v>9</v>
      </c>
      <c r="G5069" s="689">
        <v>1</v>
      </c>
      <c r="H5069" s="690" t="s">
        <v>618</v>
      </c>
      <c r="I5069" s="365">
        <v>1.03</v>
      </c>
      <c r="J5069" s="365"/>
      <c r="K5069" s="752">
        <f>+E5069*I5069</f>
        <v>178.96250000000001</v>
      </c>
      <c r="L5069" s="396" t="s">
        <v>40</v>
      </c>
      <c r="O5069" s="336"/>
      <c r="P5069" s="334"/>
      <c r="Q5069" s="335"/>
      <c r="R5069" s="336"/>
      <c r="S5069" s="337"/>
    </row>
    <row r="5070" spans="1:20" ht="30" customHeight="1" x14ac:dyDescent="0.25">
      <c r="A5070" s="365" t="s">
        <v>535</v>
      </c>
      <c r="B5070" s="1214" t="s">
        <v>2776</v>
      </c>
      <c r="C5070" s="1215"/>
      <c r="D5070" s="1216"/>
      <c r="E5070" s="7">
        <f>(83.5+118)/2</f>
        <v>100.75</v>
      </c>
      <c r="F5070" s="396" t="s">
        <v>9</v>
      </c>
      <c r="G5070" s="689">
        <v>1</v>
      </c>
      <c r="H5070" s="690" t="s">
        <v>618</v>
      </c>
      <c r="I5070" s="365">
        <v>1.03</v>
      </c>
      <c r="J5070" s="365"/>
      <c r="K5070" s="752">
        <f>+E5070*I5070</f>
        <v>103.77250000000001</v>
      </c>
      <c r="L5070" s="396" t="s">
        <v>40</v>
      </c>
      <c r="N5070" s="10"/>
      <c r="O5070" s="336"/>
      <c r="P5070" s="334"/>
      <c r="Q5070" s="335"/>
      <c r="R5070" s="336"/>
      <c r="S5070" s="337"/>
    </row>
    <row r="5071" spans="1:20" ht="30" customHeight="1" x14ac:dyDescent="0.25">
      <c r="A5071" s="365" t="s">
        <v>535</v>
      </c>
      <c r="B5071" s="1214" t="s">
        <v>552</v>
      </c>
      <c r="C5071" s="1215"/>
      <c r="D5071" s="1216"/>
      <c r="E5071" s="7">
        <f>(0.65+4.8)/2</f>
        <v>2.7250000000000001</v>
      </c>
      <c r="F5071" s="396" t="s">
        <v>9</v>
      </c>
      <c r="G5071" s="689">
        <v>1</v>
      </c>
      <c r="H5071" s="690" t="s">
        <v>618</v>
      </c>
      <c r="I5071" s="365">
        <v>1.03</v>
      </c>
      <c r="J5071" s="365"/>
      <c r="K5071" s="752">
        <f>+E5071/G5071*I5071</f>
        <v>2.8067500000000001</v>
      </c>
      <c r="L5071" s="396" t="s">
        <v>40</v>
      </c>
      <c r="M5071" s="54"/>
      <c r="N5071" s="10"/>
      <c r="O5071" s="336"/>
      <c r="P5071" s="334"/>
      <c r="Q5071" s="335"/>
      <c r="R5071" s="336"/>
      <c r="S5071" s="337"/>
    </row>
    <row r="5072" spans="1:20" ht="30" customHeight="1" x14ac:dyDescent="0.25">
      <c r="A5072" s="365" t="s">
        <v>535</v>
      </c>
      <c r="B5072" s="1214" t="s">
        <v>2717</v>
      </c>
      <c r="C5072" s="1215"/>
      <c r="D5072" s="1216"/>
      <c r="E5072" s="7">
        <f>(10.5+18)/2</f>
        <v>14.25</v>
      </c>
      <c r="F5072" s="396" t="s">
        <v>9</v>
      </c>
      <c r="G5072" s="689">
        <v>1</v>
      </c>
      <c r="H5072" s="690" t="s">
        <v>618</v>
      </c>
      <c r="I5072" s="365">
        <v>1.03</v>
      </c>
      <c r="J5072" s="365"/>
      <c r="K5072" s="752">
        <f>+E5072/G5072*I5072</f>
        <v>14.6775</v>
      </c>
      <c r="L5072" s="396" t="s">
        <v>40</v>
      </c>
      <c r="O5072" s="336"/>
      <c r="P5072" s="334"/>
      <c r="Q5072" s="335"/>
      <c r="R5072" s="336"/>
      <c r="S5072" s="337"/>
    </row>
    <row r="5073" spans="1:19" ht="30" customHeight="1" x14ac:dyDescent="0.25">
      <c r="A5073" s="366"/>
      <c r="B5073" s="366" t="s">
        <v>2777</v>
      </c>
      <c r="C5073" s="578"/>
      <c r="D5073" s="578"/>
      <c r="E5073" s="247"/>
      <c r="F5073" s="365"/>
      <c r="G5073" s="365"/>
      <c r="H5073" s="365"/>
      <c r="I5073" s="365"/>
      <c r="J5073" s="365" t="s">
        <v>300</v>
      </c>
      <c r="K5073" s="259">
        <f>AVERAGE(K5068:K5072)</f>
        <v>61.775280000000009</v>
      </c>
      <c r="L5073" s="365" t="s">
        <v>40</v>
      </c>
      <c r="O5073" s="340"/>
      <c r="P5073" s="334"/>
      <c r="Q5073" s="335"/>
      <c r="R5073" s="336"/>
      <c r="S5073" s="337"/>
    </row>
    <row r="5074" spans="1:19" ht="30" customHeight="1" x14ac:dyDescent="0.25">
      <c r="A5074" s="365"/>
      <c r="B5074" s="578"/>
      <c r="C5074" s="578"/>
      <c r="D5074" s="578"/>
      <c r="E5074" s="247"/>
      <c r="F5074" s="1272" t="s">
        <v>303</v>
      </c>
      <c r="G5074" s="1283" t="s">
        <v>304</v>
      </c>
      <c r="H5074" s="1283"/>
      <c r="I5074" s="1283"/>
      <c r="J5074" s="1283"/>
      <c r="K5074" s="250">
        <v>1.07</v>
      </c>
      <c r="L5074" s="365"/>
      <c r="O5074" s="340"/>
      <c r="P5074" s="334"/>
      <c r="Q5074" s="335"/>
      <c r="R5074" s="336"/>
      <c r="S5074" s="337"/>
    </row>
    <row r="5075" spans="1:19" ht="30" customHeight="1" x14ac:dyDescent="0.25">
      <c r="A5075" s="365"/>
      <c r="B5075" s="578"/>
      <c r="C5075" s="578"/>
      <c r="D5075" s="578"/>
      <c r="E5075" s="247"/>
      <c r="F5075" s="1273"/>
      <c r="G5075" s="1284" t="s">
        <v>438</v>
      </c>
      <c r="H5075" s="1284"/>
      <c r="I5075" s="1284"/>
      <c r="J5075" s="1284"/>
      <c r="K5075" s="250">
        <v>1.08</v>
      </c>
      <c r="L5075" s="365"/>
      <c r="M5075" s="10"/>
      <c r="N5075" s="54"/>
      <c r="O5075" s="335"/>
      <c r="P5075" s="334"/>
      <c r="Q5075" s="335"/>
      <c r="R5075" s="336"/>
      <c r="S5075" s="337"/>
    </row>
    <row r="5076" spans="1:19" ht="30" customHeight="1" x14ac:dyDescent="0.25">
      <c r="A5076" s="366"/>
      <c r="B5076" s="365"/>
      <c r="C5076" s="366"/>
      <c r="D5076" s="366"/>
      <c r="E5076" s="366"/>
      <c r="F5076" s="366"/>
      <c r="G5076" s="366"/>
      <c r="H5076" s="366"/>
      <c r="I5076" s="366"/>
      <c r="J5076" s="365" t="s">
        <v>72</v>
      </c>
      <c r="K5076" s="246">
        <f>+K5073*K5074/K5075</f>
        <v>61.203286666666678</v>
      </c>
      <c r="L5076" s="365" t="s">
        <v>40</v>
      </c>
      <c r="M5076" s="10"/>
      <c r="O5076" s="554"/>
      <c r="P5076" s="334"/>
      <c r="Q5076" s="335"/>
      <c r="R5076" s="336"/>
      <c r="S5076" s="337"/>
    </row>
    <row r="5077" spans="1:19" ht="30" customHeight="1" x14ac:dyDescent="0.25">
      <c r="A5077" s="365"/>
      <c r="B5077" s="365"/>
      <c r="C5077" s="366"/>
      <c r="D5077" s="366"/>
      <c r="E5077" s="366"/>
      <c r="F5077" s="366"/>
      <c r="G5077" s="580" t="s">
        <v>306</v>
      </c>
      <c r="H5077" s="366"/>
      <c r="I5077" s="366"/>
      <c r="J5077" s="521">
        <f>VLOOKUP(B5066,'Mil Cost Premiums for PUCs'!$A$4:$R$277,18,FALSE)</f>
        <v>1.0905505199999999</v>
      </c>
      <c r="K5077" s="246">
        <f>+K5076*J5077</f>
        <v>66.745276100042403</v>
      </c>
      <c r="L5077" s="365" t="s">
        <v>40</v>
      </c>
      <c r="N5077" s="73"/>
      <c r="O5077" s="336"/>
      <c r="P5077" s="334"/>
      <c r="Q5077" s="335"/>
      <c r="R5077" s="336"/>
      <c r="S5077" s="337"/>
    </row>
    <row r="5078" spans="1:19" ht="30" customHeight="1" thickBot="1" x14ac:dyDescent="0.3">
      <c r="A5078" s="844"/>
      <c r="B5078" s="844"/>
      <c r="C5078" s="471"/>
      <c r="D5078" s="471"/>
      <c r="E5078" s="471"/>
      <c r="F5078" s="1278" t="s">
        <v>1148</v>
      </c>
      <c r="G5078" s="1278"/>
      <c r="H5078" s="1278"/>
      <c r="I5078" s="1278"/>
      <c r="J5078" s="987">
        <v>1.0833999999999999</v>
      </c>
      <c r="K5078" s="1060">
        <f>K5077*J5078</f>
        <v>72.31183212678593</v>
      </c>
      <c r="L5078" s="365" t="s">
        <v>40</v>
      </c>
      <c r="O5078" s="336"/>
      <c r="P5078" s="334"/>
      <c r="Q5078" s="335"/>
      <c r="R5078" s="336"/>
      <c r="S5078" s="337"/>
    </row>
    <row r="5079" spans="1:19" ht="30" customHeight="1" thickBot="1" x14ac:dyDescent="0.3">
      <c r="A5079" s="1180"/>
      <c r="B5079" s="1181"/>
      <c r="C5079" s="1181"/>
      <c r="D5079" s="1181"/>
      <c r="E5079" s="1181"/>
      <c r="F5079" s="1181"/>
      <c r="G5079" s="1181"/>
      <c r="H5079" s="1181"/>
      <c r="I5079" s="1181"/>
      <c r="J5079" s="1181"/>
      <c r="K5079" s="1181"/>
      <c r="L5079" s="1182"/>
      <c r="N5079" s="73"/>
      <c r="O5079" s="336"/>
      <c r="P5079" s="334"/>
      <c r="Q5079" s="335"/>
      <c r="R5079" s="336"/>
      <c r="S5079" s="337"/>
    </row>
    <row r="5080" spans="1:19" ht="30" customHeight="1" x14ac:dyDescent="0.25">
      <c r="A5080" s="327" t="s">
        <v>5</v>
      </c>
      <c r="B5080" s="328">
        <v>8814</v>
      </c>
      <c r="C5080" s="1251" t="s">
        <v>2778</v>
      </c>
      <c r="D5080" s="1252"/>
      <c r="E5080" s="331" t="s">
        <v>8</v>
      </c>
      <c r="F5080" s="332" t="s">
        <v>40</v>
      </c>
      <c r="G5080" s="342" t="s">
        <v>74</v>
      </c>
      <c r="H5080" s="156" t="s">
        <v>2772</v>
      </c>
      <c r="I5080" s="331" t="s">
        <v>10</v>
      </c>
      <c r="J5080" s="1220" t="s">
        <v>2779</v>
      </c>
      <c r="K5080" s="1220"/>
      <c r="L5080" s="1221"/>
      <c r="M5080" s="324"/>
      <c r="O5080" s="867"/>
      <c r="P5080" s="334"/>
      <c r="Q5080" s="335"/>
      <c r="R5080" s="336"/>
      <c r="S5080" s="337"/>
    </row>
    <row r="5081" spans="1:19" ht="30" customHeight="1" x14ac:dyDescent="0.25">
      <c r="A5081" s="356"/>
      <c r="B5081" s="1163" t="s">
        <v>13</v>
      </c>
      <c r="C5081" s="1163"/>
      <c r="D5081" s="1163"/>
      <c r="E5081" s="356" t="s">
        <v>116</v>
      </c>
      <c r="F5081" s="356" t="s">
        <v>117</v>
      </c>
      <c r="G5081" s="1194" t="s">
        <v>118</v>
      </c>
      <c r="H5081" s="1195"/>
      <c r="I5081" s="356" t="s">
        <v>119</v>
      </c>
      <c r="J5081" s="356" t="s">
        <v>120</v>
      </c>
      <c r="K5081" s="1236" t="s">
        <v>72</v>
      </c>
      <c r="L5081" s="1237"/>
      <c r="M5081" s="217"/>
      <c r="O5081" s="336"/>
      <c r="P5081" s="334"/>
      <c r="Q5081" s="335"/>
      <c r="R5081" s="336"/>
      <c r="S5081" s="337"/>
    </row>
    <row r="5082" spans="1:19" ht="30" customHeight="1" thickBot="1" x14ac:dyDescent="0.3">
      <c r="A5082" s="450"/>
      <c r="B5082" s="1455" t="s">
        <v>2713</v>
      </c>
      <c r="C5082" s="1455"/>
      <c r="D5082" s="1455"/>
      <c r="E5082" s="1077">
        <f>K4972</f>
        <v>923.91637798680051</v>
      </c>
      <c r="F5082" s="473"/>
      <c r="G5082" s="1456"/>
      <c r="H5082" s="1457"/>
      <c r="I5082" s="473"/>
      <c r="J5082" s="474"/>
      <c r="K5082" s="520">
        <f>E5082</f>
        <v>923.91637798680051</v>
      </c>
      <c r="L5082" s="473" t="s">
        <v>40</v>
      </c>
      <c r="M5082" s="54"/>
      <c r="O5082" s="336"/>
      <c r="P5082" s="334"/>
      <c r="Q5082" s="335"/>
      <c r="R5082" s="336"/>
      <c r="S5082" s="337"/>
    </row>
    <row r="5083" spans="1:19" ht="30" customHeight="1" thickBot="1" x14ac:dyDescent="0.3">
      <c r="A5083" s="1305"/>
      <c r="B5083" s="1306"/>
      <c r="C5083" s="1306"/>
      <c r="D5083" s="1306"/>
      <c r="E5083" s="1306"/>
      <c r="F5083" s="1306"/>
      <c r="G5083" s="1306"/>
      <c r="H5083" s="1306"/>
      <c r="I5083" s="1306"/>
      <c r="J5083" s="1306"/>
      <c r="K5083" s="1306"/>
      <c r="L5083" s="1307"/>
      <c r="O5083" s="336"/>
      <c r="P5083" s="334"/>
      <c r="Q5083" s="335"/>
      <c r="R5083" s="336"/>
      <c r="S5083" s="337"/>
    </row>
    <row r="5084" spans="1:19" ht="30" customHeight="1" x14ac:dyDescent="0.25">
      <c r="A5084" s="1078" t="s">
        <v>5</v>
      </c>
      <c r="B5084" s="1042">
        <v>8821</v>
      </c>
      <c r="C5084" s="1647" t="s">
        <v>2780</v>
      </c>
      <c r="D5084" s="1648"/>
      <c r="E5084" s="1079" t="s">
        <v>8</v>
      </c>
      <c r="F5084" s="345" t="s">
        <v>76</v>
      </c>
      <c r="G5084" s="1080" t="s">
        <v>74</v>
      </c>
      <c r="H5084" s="323">
        <v>1</v>
      </c>
      <c r="I5084" s="469" t="s">
        <v>10</v>
      </c>
      <c r="J5084" s="1649" t="s">
        <v>2781</v>
      </c>
      <c r="K5084" s="1649"/>
      <c r="L5084" s="1650"/>
      <c r="M5084" s="116"/>
      <c r="P5084" s="334"/>
      <c r="Q5084" s="335"/>
      <c r="R5084" s="336"/>
      <c r="S5084" s="337"/>
    </row>
    <row r="5085" spans="1:19" ht="30" customHeight="1" x14ac:dyDescent="0.25">
      <c r="A5085" s="615"/>
      <c r="B5085" s="1163" t="s">
        <v>13</v>
      </c>
      <c r="C5085" s="1163"/>
      <c r="D5085" s="1163"/>
      <c r="E5085" s="356" t="s">
        <v>116</v>
      </c>
      <c r="F5085" s="356" t="s">
        <v>117</v>
      </c>
      <c r="G5085" s="1194" t="s">
        <v>118</v>
      </c>
      <c r="H5085" s="1195"/>
      <c r="I5085" s="356" t="s">
        <v>119</v>
      </c>
      <c r="J5085" s="356" t="s">
        <v>120</v>
      </c>
      <c r="K5085" s="1236" t="s">
        <v>72</v>
      </c>
      <c r="L5085" s="1237"/>
      <c r="P5085" s="334"/>
      <c r="Q5085" s="335"/>
      <c r="R5085" s="336"/>
      <c r="S5085" s="337"/>
    </row>
    <row r="5086" spans="1:19" ht="30" customHeight="1" thickBot="1" x14ac:dyDescent="0.3">
      <c r="A5086" s="601"/>
      <c r="B5086" s="1179" t="s">
        <v>2713</v>
      </c>
      <c r="C5086" s="1179"/>
      <c r="D5086" s="1179"/>
      <c r="E5086" s="694">
        <f>E5082</f>
        <v>923.91637798680051</v>
      </c>
      <c r="F5086" s="486" t="s">
        <v>40</v>
      </c>
      <c r="G5086" s="1686">
        <v>500</v>
      </c>
      <c r="H5086" s="1687"/>
      <c r="I5086" s="486"/>
      <c r="J5086" s="487"/>
      <c r="K5086" s="488">
        <f>E5086*G5086</f>
        <v>461958.18899340025</v>
      </c>
      <c r="L5086" s="486" t="s">
        <v>76</v>
      </c>
      <c r="P5086" s="334"/>
      <c r="Q5086" s="335"/>
      <c r="R5086" s="336"/>
      <c r="S5086" s="337"/>
    </row>
    <row r="5087" spans="1:19" ht="30" customHeight="1" thickBot="1" x14ac:dyDescent="0.3">
      <c r="A5087" s="1305"/>
      <c r="B5087" s="1306"/>
      <c r="C5087" s="1306"/>
      <c r="D5087" s="1306"/>
      <c r="E5087" s="1306"/>
      <c r="F5087" s="1306"/>
      <c r="G5087" s="1306"/>
      <c r="H5087" s="1306"/>
      <c r="I5087" s="1306"/>
      <c r="J5087" s="1306"/>
      <c r="K5087" s="1306"/>
      <c r="L5087" s="1307"/>
      <c r="P5087" s="334"/>
      <c r="Q5087" s="335"/>
      <c r="R5087" s="336"/>
      <c r="S5087" s="337"/>
    </row>
    <row r="5088" spans="1:19" ht="30" customHeight="1" x14ac:dyDescent="0.25">
      <c r="A5088" s="1081" t="s">
        <v>5</v>
      </c>
      <c r="B5088" s="1081">
        <v>8822</v>
      </c>
      <c r="C5088" s="1634" t="s">
        <v>2782</v>
      </c>
      <c r="D5088" s="1634"/>
      <c r="E5088" s="924" t="s">
        <v>8</v>
      </c>
      <c r="F5088" s="1082" t="s">
        <v>40</v>
      </c>
      <c r="G5088" s="1080" t="s">
        <v>74</v>
      </c>
      <c r="H5088" s="323">
        <v>1761</v>
      </c>
      <c r="I5088" s="924" t="s">
        <v>10</v>
      </c>
      <c r="J5088" s="1220" t="s">
        <v>2779</v>
      </c>
      <c r="K5088" s="1220"/>
      <c r="L5088" s="1221"/>
      <c r="M5088" s="322"/>
      <c r="O5088" s="336"/>
      <c r="P5088" s="334"/>
      <c r="Q5088" s="335"/>
      <c r="R5088" s="336"/>
      <c r="S5088" s="337"/>
    </row>
    <row r="5089" spans="1:19" ht="30" customHeight="1" x14ac:dyDescent="0.25">
      <c r="A5089" s="1081"/>
      <c r="B5089" s="1163" t="s">
        <v>13</v>
      </c>
      <c r="C5089" s="1163"/>
      <c r="D5089" s="1163"/>
      <c r="E5089" s="356" t="s">
        <v>116</v>
      </c>
      <c r="F5089" s="356" t="s">
        <v>117</v>
      </c>
      <c r="G5089" s="1194" t="s">
        <v>118</v>
      </c>
      <c r="H5089" s="1195"/>
      <c r="I5089" s="356" t="s">
        <v>119</v>
      </c>
      <c r="J5089" s="356" t="s">
        <v>120</v>
      </c>
      <c r="K5089" s="1236" t="s">
        <v>72</v>
      </c>
      <c r="L5089" s="1237"/>
      <c r="M5089" s="10"/>
      <c r="O5089" s="336"/>
      <c r="P5089" s="334"/>
      <c r="Q5089" s="335"/>
      <c r="R5089" s="336"/>
      <c r="S5089" s="337"/>
    </row>
    <row r="5090" spans="1:19" ht="30" customHeight="1" thickBot="1" x14ac:dyDescent="0.3">
      <c r="A5090" s="1081"/>
      <c r="B5090" s="1455" t="s">
        <v>2713</v>
      </c>
      <c r="C5090" s="1455"/>
      <c r="D5090" s="1455"/>
      <c r="E5090" s="1077">
        <f>E5082</f>
        <v>923.91637798680051</v>
      </c>
      <c r="F5090" s="473"/>
      <c r="G5090" s="1456"/>
      <c r="H5090" s="1457"/>
      <c r="I5090" s="473"/>
      <c r="J5090" s="474"/>
      <c r="K5090" s="520">
        <f>E5090</f>
        <v>923.91637798680051</v>
      </c>
      <c r="L5090" s="473" t="s">
        <v>40</v>
      </c>
      <c r="M5090" s="10"/>
      <c r="O5090" s="336"/>
      <c r="P5090" s="334"/>
      <c r="Q5090" s="335"/>
      <c r="R5090" s="336"/>
      <c r="S5090" s="337"/>
    </row>
    <row r="5091" spans="1:19" ht="30" customHeight="1" thickBot="1" x14ac:dyDescent="0.3">
      <c r="A5091" s="1180"/>
      <c r="B5091" s="1181"/>
      <c r="C5091" s="1181"/>
      <c r="D5091" s="1181"/>
      <c r="E5091" s="1181"/>
      <c r="F5091" s="1181"/>
      <c r="G5091" s="1181"/>
      <c r="H5091" s="1181"/>
      <c r="I5091" s="1181"/>
      <c r="J5091" s="1181"/>
      <c r="K5091" s="1181"/>
      <c r="L5091" s="1182"/>
      <c r="O5091" s="336"/>
      <c r="P5091" s="334"/>
      <c r="Q5091" s="335"/>
      <c r="R5091" s="336"/>
      <c r="S5091" s="337"/>
    </row>
    <row r="5092" spans="1:19" ht="30" customHeight="1" x14ac:dyDescent="0.25">
      <c r="A5092" s="349" t="s">
        <v>5</v>
      </c>
      <c r="B5092" s="350">
        <v>8831</v>
      </c>
      <c r="C5092" s="1151" t="s">
        <v>2783</v>
      </c>
      <c r="D5092" s="1152"/>
      <c r="E5092" s="351" t="s">
        <v>8</v>
      </c>
      <c r="F5092" s="352" t="s">
        <v>76</v>
      </c>
      <c r="G5092" s="353" t="s">
        <v>74</v>
      </c>
      <c r="H5092" s="50" t="s">
        <v>2772</v>
      </c>
      <c r="I5092" s="351" t="s">
        <v>10</v>
      </c>
      <c r="J5092" s="1649" t="s">
        <v>2784</v>
      </c>
      <c r="K5092" s="1649"/>
      <c r="L5092" s="1650"/>
      <c r="M5092" s="116"/>
      <c r="O5092" s="336"/>
      <c r="P5092" s="334"/>
      <c r="Q5092" s="335"/>
      <c r="R5092" s="336"/>
      <c r="S5092" s="337"/>
    </row>
    <row r="5093" spans="1:19" ht="30" customHeight="1" x14ac:dyDescent="0.25">
      <c r="A5093" s="467"/>
      <c r="B5093" s="1163" t="s">
        <v>13</v>
      </c>
      <c r="C5093" s="1163"/>
      <c r="D5093" s="1163"/>
      <c r="E5093" s="356" t="s">
        <v>116</v>
      </c>
      <c r="F5093" s="356" t="s">
        <v>117</v>
      </c>
      <c r="G5093" s="1194" t="s">
        <v>118</v>
      </c>
      <c r="H5093" s="1195"/>
      <c r="I5093" s="356" t="s">
        <v>119</v>
      </c>
      <c r="J5093" s="356" t="s">
        <v>120</v>
      </c>
      <c r="K5093" s="1236" t="s">
        <v>72</v>
      </c>
      <c r="L5093" s="1237"/>
      <c r="O5093" s="336"/>
      <c r="P5093" s="334"/>
      <c r="Q5093" s="335"/>
      <c r="R5093" s="336"/>
      <c r="S5093" s="337"/>
    </row>
    <row r="5094" spans="1:19" ht="30" customHeight="1" thickBot="1" x14ac:dyDescent="0.3">
      <c r="B5094" s="1179" t="s">
        <v>2713</v>
      </c>
      <c r="C5094" s="1179"/>
      <c r="D5094" s="1179"/>
      <c r="E5094" s="694">
        <f>E5090</f>
        <v>923.91637798680051</v>
      </c>
      <c r="F5094" s="486" t="s">
        <v>40</v>
      </c>
      <c r="G5094" s="1686">
        <v>400</v>
      </c>
      <c r="H5094" s="1687"/>
      <c r="I5094" s="486"/>
      <c r="J5094" s="487"/>
      <c r="K5094" s="488">
        <f>E5094*G5094</f>
        <v>369566.5511947202</v>
      </c>
      <c r="L5094" s="486" t="s">
        <v>76</v>
      </c>
      <c r="O5094" s="336"/>
      <c r="P5094" s="334"/>
      <c r="Q5094" s="335"/>
      <c r="R5094" s="336"/>
      <c r="S5094" s="337"/>
    </row>
    <row r="5095" spans="1:19" ht="30" customHeight="1" thickBot="1" x14ac:dyDescent="0.3">
      <c r="A5095" s="1180"/>
      <c r="B5095" s="1181"/>
      <c r="C5095" s="1181"/>
      <c r="D5095" s="1181"/>
      <c r="E5095" s="1181"/>
      <c r="F5095" s="1181"/>
      <c r="G5095" s="1181"/>
      <c r="H5095" s="1181"/>
      <c r="I5095" s="1181"/>
      <c r="J5095" s="1181"/>
      <c r="K5095" s="1181"/>
      <c r="L5095" s="1182"/>
      <c r="M5095" s="54"/>
      <c r="O5095" s="336"/>
      <c r="P5095" s="334"/>
      <c r="Q5095" s="335"/>
      <c r="R5095" s="336"/>
      <c r="S5095" s="337"/>
    </row>
    <row r="5096" spans="1:19" ht="30" customHeight="1" x14ac:dyDescent="0.25">
      <c r="A5096" s="327" t="s">
        <v>5</v>
      </c>
      <c r="B5096" s="328">
        <v>8840</v>
      </c>
      <c r="C5096" s="1251" t="s">
        <v>2785</v>
      </c>
      <c r="D5096" s="1252"/>
      <c r="E5096" s="331" t="s">
        <v>8</v>
      </c>
      <c r="F5096" s="332" t="s">
        <v>76</v>
      </c>
      <c r="G5096" s="333" t="s">
        <v>7</v>
      </c>
      <c r="H5096" s="156">
        <v>1</v>
      </c>
      <c r="I5096" s="331" t="s">
        <v>10</v>
      </c>
      <c r="J5096" s="1220" t="s">
        <v>3388</v>
      </c>
      <c r="K5096" s="1220"/>
      <c r="L5096" s="1221"/>
      <c r="O5096" s="336"/>
      <c r="P5096" s="334"/>
      <c r="Q5096" s="335"/>
      <c r="R5096" s="336"/>
      <c r="S5096" s="337"/>
    </row>
    <row r="5097" spans="1:19" ht="30" customHeight="1" x14ac:dyDescent="0.25">
      <c r="A5097" s="941" t="s">
        <v>295</v>
      </c>
      <c r="B5097" s="1592" t="s">
        <v>326</v>
      </c>
      <c r="C5097" s="1593"/>
      <c r="D5097" s="1594"/>
      <c r="E5097" s="942" t="s">
        <v>116</v>
      </c>
      <c r="F5097" s="942" t="s">
        <v>117</v>
      </c>
      <c r="G5097" s="1595" t="s">
        <v>118</v>
      </c>
      <c r="H5097" s="1596"/>
      <c r="I5097" s="1276" t="s">
        <v>296</v>
      </c>
      <c r="J5097" s="1277"/>
      <c r="K5097" s="581" t="s">
        <v>285</v>
      </c>
      <c r="L5097" s="382"/>
      <c r="M5097" s="210"/>
      <c r="O5097" s="336"/>
      <c r="P5097" s="334"/>
      <c r="Q5097" s="335"/>
      <c r="R5097" s="336"/>
      <c r="S5097" s="337"/>
    </row>
    <row r="5098" spans="1:19" ht="30" customHeight="1" x14ac:dyDescent="0.25">
      <c r="A5098" s="365" t="s">
        <v>1593</v>
      </c>
      <c r="B5098" s="1214" t="s">
        <v>2786</v>
      </c>
      <c r="C5098" s="1215"/>
      <c r="D5098" s="1216"/>
      <c r="E5098" s="247">
        <v>37</v>
      </c>
      <c r="F5098" s="365" t="s">
        <v>341</v>
      </c>
      <c r="G5098" s="661">
        <v>130</v>
      </c>
      <c r="H5098" s="247" t="s">
        <v>1295</v>
      </c>
      <c r="I5098" s="1341">
        <v>1.01</v>
      </c>
      <c r="J5098" s="1342"/>
      <c r="K5098" s="268">
        <f>+E5098*G5098*I5098</f>
        <v>4858.1000000000004</v>
      </c>
      <c r="L5098" s="365" t="s">
        <v>76</v>
      </c>
      <c r="M5098" s="210"/>
      <c r="O5098" s="336"/>
      <c r="P5098" s="334"/>
      <c r="Q5098" s="335"/>
      <c r="R5098" s="336"/>
      <c r="S5098" s="337"/>
    </row>
    <row r="5099" spans="1:19" ht="30" customHeight="1" x14ac:dyDescent="0.25">
      <c r="A5099" s="365"/>
      <c r="B5099" s="578"/>
      <c r="C5099" s="578"/>
      <c r="D5099" s="578"/>
      <c r="E5099" s="247"/>
      <c r="F5099" s="1272" t="s">
        <v>303</v>
      </c>
      <c r="G5099" s="1283" t="s">
        <v>304</v>
      </c>
      <c r="H5099" s="1283"/>
      <c r="I5099" s="1283"/>
      <c r="J5099" s="1283"/>
      <c r="K5099" s="250">
        <v>1.07</v>
      </c>
      <c r="L5099" s="365"/>
      <c r="O5099" s="336"/>
      <c r="P5099" s="334"/>
      <c r="Q5099" s="335"/>
      <c r="R5099" s="336"/>
      <c r="S5099" s="337"/>
    </row>
    <row r="5100" spans="1:19" ht="30" customHeight="1" x14ac:dyDescent="0.25">
      <c r="A5100" s="365"/>
      <c r="B5100" s="578"/>
      <c r="C5100" s="578"/>
      <c r="D5100" s="578"/>
      <c r="E5100" s="247"/>
      <c r="F5100" s="1273"/>
      <c r="G5100" s="1284" t="s">
        <v>438</v>
      </c>
      <c r="H5100" s="1284"/>
      <c r="I5100" s="1284"/>
      <c r="J5100" s="1284"/>
      <c r="K5100" s="250">
        <v>1.08</v>
      </c>
      <c r="L5100" s="365"/>
      <c r="O5100" s="336"/>
      <c r="P5100" s="334"/>
      <c r="Q5100" s="335"/>
      <c r="R5100" s="336"/>
      <c r="S5100" s="337"/>
    </row>
    <row r="5101" spans="1:19" ht="30" customHeight="1" x14ac:dyDescent="0.25">
      <c r="A5101" s="365"/>
      <c r="B5101" s="365"/>
      <c r="C5101" s="366"/>
      <c r="D5101" s="366"/>
      <c r="E5101" s="366"/>
      <c r="F5101" s="366"/>
      <c r="G5101" s="366"/>
      <c r="H5101" s="366"/>
      <c r="I5101" s="366"/>
      <c r="J5101" s="365" t="s">
        <v>72</v>
      </c>
      <c r="K5101" s="246">
        <f>+K5098*K5099/K5100</f>
        <v>4813.1175925925927</v>
      </c>
      <c r="L5101" s="365" t="s">
        <v>76</v>
      </c>
      <c r="O5101" s="336"/>
      <c r="P5101" s="334"/>
      <c r="Q5101" s="335"/>
      <c r="R5101" s="336"/>
      <c r="S5101" s="337"/>
    </row>
    <row r="5102" spans="1:19" ht="30" customHeight="1" x14ac:dyDescent="0.25">
      <c r="A5102" s="365"/>
      <c r="B5102" s="365"/>
      <c r="C5102" s="366"/>
      <c r="D5102" s="366"/>
      <c r="E5102" s="366"/>
      <c r="F5102" s="366"/>
      <c r="G5102" s="580" t="s">
        <v>306</v>
      </c>
      <c r="H5102" s="366"/>
      <c r="I5102" s="366"/>
      <c r="J5102" s="521">
        <f>VLOOKUP(B5096,'Mil Cost Premiums for PUCs'!$A$4:$R$277,18,FALSE)</f>
        <v>1.0209999999999999</v>
      </c>
      <c r="K5102" s="246">
        <f>+K5101*J5102</f>
        <v>4914.1930620370367</v>
      </c>
      <c r="L5102" s="365" t="s">
        <v>76</v>
      </c>
      <c r="O5102" s="336"/>
      <c r="P5102" s="334"/>
      <c r="Q5102" s="335"/>
      <c r="R5102" s="336"/>
      <c r="S5102" s="337"/>
    </row>
    <row r="5103" spans="1:19" ht="30" customHeight="1" thickBot="1" x14ac:dyDescent="0.3">
      <c r="A5103" s="844"/>
      <c r="B5103" s="844"/>
      <c r="C5103" s="471"/>
      <c r="D5103" s="471"/>
      <c r="E5103" s="471"/>
      <c r="F5103" s="1278" t="s">
        <v>1148</v>
      </c>
      <c r="G5103" s="1278"/>
      <c r="H5103" s="1278"/>
      <c r="I5103" s="1278"/>
      <c r="J5103" s="987">
        <v>1.0833999999999999</v>
      </c>
      <c r="K5103" s="1060">
        <f>K5102*J5103</f>
        <v>5324.0367634109252</v>
      </c>
      <c r="L5103" s="365" t="s">
        <v>76</v>
      </c>
      <c r="O5103" s="336"/>
      <c r="P5103" s="334"/>
      <c r="Q5103" s="335"/>
      <c r="R5103" s="336"/>
      <c r="S5103" s="337"/>
    </row>
    <row r="5104" spans="1:19" ht="30" customHeight="1" thickBot="1" x14ac:dyDescent="0.3">
      <c r="A5104" s="1180"/>
      <c r="B5104" s="1181"/>
      <c r="C5104" s="1181"/>
      <c r="D5104" s="1181"/>
      <c r="E5104" s="1181"/>
      <c r="F5104" s="1181"/>
      <c r="G5104" s="1181"/>
      <c r="H5104" s="1181"/>
      <c r="I5104" s="1181"/>
      <c r="J5104" s="1181"/>
      <c r="K5104" s="1181"/>
      <c r="L5104" s="1182"/>
      <c r="O5104" s="336"/>
      <c r="P5104" s="334"/>
      <c r="Q5104" s="335"/>
      <c r="R5104" s="336"/>
      <c r="S5104" s="337"/>
    </row>
    <row r="5105" spans="1:19" ht="30" customHeight="1" x14ac:dyDescent="0.25">
      <c r="A5105" s="402" t="s">
        <v>5</v>
      </c>
      <c r="B5105" s="403">
        <v>8910</v>
      </c>
      <c r="C5105" s="1607" t="s">
        <v>2787</v>
      </c>
      <c r="D5105" s="1608"/>
      <c r="E5105" s="939" t="s">
        <v>8</v>
      </c>
      <c r="F5105" s="952" t="s">
        <v>205</v>
      </c>
      <c r="G5105" s="342" t="s">
        <v>74</v>
      </c>
      <c r="H5105" s="940">
        <v>1402</v>
      </c>
      <c r="I5105" s="939" t="s">
        <v>10</v>
      </c>
      <c r="J5105" s="1220" t="s">
        <v>3388</v>
      </c>
      <c r="K5105" s="1220"/>
      <c r="L5105" s="1221"/>
      <c r="O5105" s="336"/>
      <c r="P5105" s="334"/>
      <c r="Q5105" s="335"/>
      <c r="R5105" s="336"/>
      <c r="S5105" s="337"/>
    </row>
    <row r="5106" spans="1:19" ht="30" customHeight="1" x14ac:dyDescent="0.25">
      <c r="A5106" s="941" t="s">
        <v>295</v>
      </c>
      <c r="B5106" s="1592" t="s">
        <v>326</v>
      </c>
      <c r="C5106" s="1593"/>
      <c r="D5106" s="1594"/>
      <c r="E5106" s="942" t="s">
        <v>116</v>
      </c>
      <c r="F5106" s="942" t="s">
        <v>117</v>
      </c>
      <c r="G5106" s="1595" t="s">
        <v>118</v>
      </c>
      <c r="H5106" s="1596"/>
      <c r="I5106" s="356" t="s">
        <v>296</v>
      </c>
      <c r="J5106" s="356" t="s">
        <v>284</v>
      </c>
      <c r="K5106" s="581" t="s">
        <v>285</v>
      </c>
      <c r="L5106" s="382"/>
      <c r="N5106" s="54"/>
      <c r="O5106" s="336"/>
      <c r="P5106" s="334"/>
      <c r="Q5106" s="335"/>
      <c r="R5106" s="336"/>
      <c r="S5106" s="337"/>
    </row>
    <row r="5107" spans="1:19" ht="30" customHeight="1" x14ac:dyDescent="0.25">
      <c r="A5107" s="447" t="s">
        <v>1904</v>
      </c>
      <c r="B5107" s="1609" t="s">
        <v>2788</v>
      </c>
      <c r="C5107" s="1610"/>
      <c r="D5107" s="1611"/>
      <c r="E5107" s="965">
        <v>61.5</v>
      </c>
      <c r="F5107" s="946" t="s">
        <v>205</v>
      </c>
      <c r="G5107" s="966"/>
      <c r="H5107" s="948"/>
      <c r="I5107" s="447">
        <v>1.05</v>
      </c>
      <c r="J5107" s="933">
        <f>+'2022 MILCON Inflation Table'!$F$13</f>
        <v>1.2561273320332946</v>
      </c>
      <c r="K5107" s="951">
        <f>+E5107*I5107*J5107</f>
        <v>81.114422466050002</v>
      </c>
      <c r="L5107" s="946" t="s">
        <v>205</v>
      </c>
      <c r="O5107" s="336"/>
      <c r="P5107" s="334"/>
      <c r="Q5107" s="335"/>
      <c r="R5107" s="336"/>
      <c r="S5107" s="337"/>
    </row>
    <row r="5108" spans="1:19" ht="30" customHeight="1" x14ac:dyDescent="0.25">
      <c r="A5108" s="1083" t="s">
        <v>406</v>
      </c>
      <c r="B5108" s="1692" t="s">
        <v>2789</v>
      </c>
      <c r="C5108" s="1693"/>
      <c r="D5108" s="1694"/>
      <c r="E5108" s="1084">
        <v>5.26</v>
      </c>
      <c r="F5108" s="946" t="s">
        <v>205</v>
      </c>
      <c r="G5108" s="967"/>
      <c r="H5108" s="968"/>
      <c r="I5108" s="447">
        <v>1.07</v>
      </c>
      <c r="J5108" s="946"/>
      <c r="K5108" s="951">
        <f>+E5108*I5108</f>
        <v>5.6282000000000005</v>
      </c>
      <c r="L5108" s="946" t="s">
        <v>205</v>
      </c>
      <c r="O5108" s="336"/>
      <c r="P5108" s="334"/>
      <c r="Q5108" s="335"/>
      <c r="R5108" s="336"/>
      <c r="S5108" s="337"/>
    </row>
    <row r="5109" spans="1:19" ht="30" customHeight="1" x14ac:dyDescent="0.25">
      <c r="A5109" s="835" t="s">
        <v>406</v>
      </c>
      <c r="B5109" s="1159" t="s">
        <v>1137</v>
      </c>
      <c r="C5109" s="1159"/>
      <c r="D5109" s="1159"/>
      <c r="E5109" s="232">
        <f>0.15*E5108</f>
        <v>0.78899999999999992</v>
      </c>
      <c r="F5109" s="948" t="s">
        <v>205</v>
      </c>
      <c r="G5109" s="967"/>
      <c r="H5109" s="968"/>
      <c r="I5109" s="447">
        <v>1.07</v>
      </c>
      <c r="J5109" s="946"/>
      <c r="K5109" s="951">
        <f>+E5109*I5109</f>
        <v>0.84422999999999992</v>
      </c>
      <c r="L5109" s="946" t="s">
        <v>205</v>
      </c>
      <c r="O5109" s="336"/>
      <c r="P5109" s="334"/>
      <c r="Q5109" s="335"/>
      <c r="R5109" s="336"/>
      <c r="S5109" s="337"/>
    </row>
    <row r="5110" spans="1:19" ht="30" customHeight="1" x14ac:dyDescent="0.25">
      <c r="A5110" s="835" t="s">
        <v>406</v>
      </c>
      <c r="B5110" s="1159" t="s">
        <v>1138</v>
      </c>
      <c r="C5110" s="1159"/>
      <c r="D5110" s="1159"/>
      <c r="E5110" s="232">
        <f xml:space="preserve"> 0.53+((1.06+1.57)/2)</f>
        <v>1.845</v>
      </c>
      <c r="F5110" s="948" t="s">
        <v>205</v>
      </c>
      <c r="G5110" s="967"/>
      <c r="H5110" s="968"/>
      <c r="I5110" s="447">
        <v>1.07</v>
      </c>
      <c r="J5110" s="946"/>
      <c r="K5110" s="951">
        <f>+E5110*I5110</f>
        <v>1.9741500000000001</v>
      </c>
      <c r="L5110" s="946" t="s">
        <v>205</v>
      </c>
      <c r="O5110" s="336"/>
      <c r="P5110" s="334"/>
      <c r="Q5110" s="335"/>
      <c r="R5110" s="336"/>
      <c r="S5110" s="337"/>
    </row>
    <row r="5111" spans="1:19" ht="30" customHeight="1" x14ac:dyDescent="0.25">
      <c r="A5111" s="835"/>
      <c r="B5111" s="840"/>
      <c r="C5111" s="840"/>
      <c r="D5111" s="840"/>
      <c r="E5111" s="840"/>
      <c r="F5111" s="968"/>
      <c r="G5111" s="447"/>
      <c r="H5111" s="447"/>
      <c r="I5111" s="447"/>
      <c r="J5111" s="447" t="s">
        <v>343</v>
      </c>
      <c r="K5111" s="945">
        <f>SUM(K5107:K5110)</f>
        <v>89.561002466049999</v>
      </c>
      <c r="L5111" s="447" t="s">
        <v>205</v>
      </c>
      <c r="O5111" s="336"/>
      <c r="P5111" s="334"/>
      <c r="Q5111" s="335"/>
      <c r="R5111" s="336"/>
      <c r="S5111" s="337"/>
    </row>
    <row r="5112" spans="1:19" ht="30" customHeight="1" x14ac:dyDescent="0.25">
      <c r="A5112" s="835"/>
      <c r="B5112" s="840"/>
      <c r="C5112" s="840"/>
      <c r="D5112" s="840"/>
      <c r="E5112" s="840"/>
      <c r="F5112" s="1282" t="s">
        <v>303</v>
      </c>
      <c r="G5112" s="1283" t="s">
        <v>304</v>
      </c>
      <c r="H5112" s="1283"/>
      <c r="I5112" s="1283"/>
      <c r="J5112" s="1283"/>
      <c r="K5112" s="250">
        <v>1.07</v>
      </c>
      <c r="L5112" s="365"/>
      <c r="O5112" s="336"/>
      <c r="P5112" s="334"/>
      <c r="Q5112" s="335"/>
      <c r="R5112" s="336"/>
      <c r="S5112" s="337"/>
    </row>
    <row r="5113" spans="1:19" ht="30" customHeight="1" x14ac:dyDescent="0.25">
      <c r="A5113" s="835"/>
      <c r="B5113" s="847"/>
      <c r="C5113" s="847"/>
      <c r="D5113" s="847"/>
      <c r="E5113" s="231"/>
      <c r="F5113" s="1187"/>
      <c r="G5113" s="1284" t="s">
        <v>438</v>
      </c>
      <c r="H5113" s="1284"/>
      <c r="I5113" s="1284"/>
      <c r="J5113" s="1284"/>
      <c r="K5113" s="250">
        <v>1.08</v>
      </c>
      <c r="L5113" s="365"/>
      <c r="O5113" s="336"/>
      <c r="P5113" s="334"/>
      <c r="Q5113" s="335"/>
      <c r="R5113" s="336"/>
      <c r="S5113" s="337"/>
    </row>
    <row r="5114" spans="1:19" ht="30" customHeight="1" x14ac:dyDescent="0.25">
      <c r="A5114" s="946"/>
      <c r="B5114" s="946"/>
      <c r="C5114" s="1085"/>
      <c r="D5114" s="1085"/>
      <c r="E5114" s="1085"/>
      <c r="F5114" s="442"/>
      <c r="G5114" s="442"/>
      <c r="H5114" s="442"/>
      <c r="I5114" s="442"/>
      <c r="J5114" s="447" t="s">
        <v>72</v>
      </c>
      <c r="K5114" s="951">
        <f>+K5111*K5112/K5113</f>
        <v>88.731733924697679</v>
      </c>
      <c r="L5114" s="447" t="s">
        <v>205</v>
      </c>
      <c r="N5114" s="10"/>
      <c r="O5114" s="336"/>
      <c r="P5114" s="334"/>
      <c r="Q5114" s="335"/>
      <c r="R5114" s="336"/>
      <c r="S5114" s="337"/>
    </row>
    <row r="5115" spans="1:19" ht="30" customHeight="1" x14ac:dyDescent="0.25">
      <c r="A5115" s="447"/>
      <c r="B5115" s="447"/>
      <c r="C5115" s="442"/>
      <c r="D5115" s="442"/>
      <c r="E5115" s="442"/>
      <c r="F5115" s="442"/>
      <c r="G5115" s="408" t="s">
        <v>414</v>
      </c>
      <c r="H5115" s="442"/>
      <c r="I5115" s="442"/>
      <c r="J5115" s="521">
        <f>VLOOKUP(B5105,'Mil Cost Premiums for PUCs'!$A$4:$R$277,18,FALSE)</f>
        <v>1.1323590634842093</v>
      </c>
      <c r="K5115" s="951">
        <f>+K5114*J5115</f>
        <v>100.4761831283007</v>
      </c>
      <c r="L5115" s="447" t="s">
        <v>205</v>
      </c>
      <c r="N5115" s="10"/>
      <c r="O5115" s="336"/>
      <c r="P5115" s="334"/>
      <c r="Q5115" s="335"/>
      <c r="R5115" s="336"/>
      <c r="S5115" s="337"/>
    </row>
    <row r="5116" spans="1:19" ht="30" customHeight="1" x14ac:dyDescent="0.25">
      <c r="A5116" s="844"/>
      <c r="B5116" s="844"/>
      <c r="C5116" s="471"/>
      <c r="D5116" s="471"/>
      <c r="E5116" s="471"/>
      <c r="F5116" s="1278" t="s">
        <v>1148</v>
      </c>
      <c r="G5116" s="1278"/>
      <c r="H5116" s="1278"/>
      <c r="I5116" s="1278"/>
      <c r="J5116" s="987">
        <v>1.0833999999999999</v>
      </c>
      <c r="K5116" s="1060">
        <f>K5115*J5116</f>
        <v>108.85589680120097</v>
      </c>
      <c r="L5116" s="447" t="s">
        <v>205</v>
      </c>
      <c r="O5116" s="336"/>
      <c r="P5116" s="334"/>
      <c r="Q5116" s="335"/>
      <c r="R5116" s="336"/>
      <c r="S5116" s="337"/>
    </row>
    <row r="5117" spans="1:19" ht="75" customHeight="1" x14ac:dyDescent="0.25">
      <c r="A5117" s="1209" t="s">
        <v>2790</v>
      </c>
      <c r="B5117" s="1210"/>
      <c r="C5117" s="1210"/>
      <c r="D5117" s="1210"/>
      <c r="E5117" s="1210"/>
      <c r="F5117" s="1210"/>
      <c r="G5117" s="1210"/>
      <c r="H5117" s="1210"/>
      <c r="I5117" s="1210"/>
      <c r="J5117" s="1210"/>
      <c r="K5117" s="1210"/>
      <c r="L5117" s="1211"/>
      <c r="O5117" s="336"/>
      <c r="Q5117" s="335"/>
      <c r="R5117" s="336"/>
      <c r="S5117" s="337"/>
    </row>
    <row r="5118" spans="1:19" ht="45" customHeight="1" x14ac:dyDescent="0.25">
      <c r="A5118" s="1268" t="s">
        <v>308</v>
      </c>
      <c r="B5118" s="1167"/>
      <c r="C5118" s="1168"/>
      <c r="D5118" s="1230" t="s">
        <v>3466</v>
      </c>
      <c r="E5118" s="1231"/>
      <c r="F5118" s="1231"/>
      <c r="G5118" s="1231"/>
      <c r="H5118" s="1231"/>
      <c r="I5118" s="1231"/>
      <c r="J5118" s="1231"/>
      <c r="K5118" s="1231"/>
      <c r="L5118" s="1232"/>
      <c r="O5118" s="336"/>
      <c r="Q5118" s="335"/>
      <c r="R5118" s="336"/>
      <c r="S5118" s="337"/>
    </row>
    <row r="5119" spans="1:19" ht="30" customHeight="1" x14ac:dyDescent="0.25">
      <c r="A5119" s="1268" t="s">
        <v>310</v>
      </c>
      <c r="B5119" s="1167"/>
      <c r="C5119" s="1168"/>
      <c r="D5119" s="1230" t="s">
        <v>2791</v>
      </c>
      <c r="E5119" s="1231"/>
      <c r="F5119" s="1231"/>
      <c r="G5119" s="1231"/>
      <c r="H5119" s="1231"/>
      <c r="I5119" s="1231"/>
      <c r="J5119" s="1231"/>
      <c r="K5119" s="1231"/>
      <c r="L5119" s="1232"/>
      <c r="O5119" s="336"/>
      <c r="Q5119" s="335"/>
      <c r="R5119" s="336"/>
      <c r="S5119" s="337"/>
    </row>
    <row r="5120" spans="1:19" ht="30" customHeight="1" x14ac:dyDescent="0.25">
      <c r="A5120" s="1268" t="s">
        <v>312</v>
      </c>
      <c r="B5120" s="1167"/>
      <c r="C5120" s="1168"/>
      <c r="D5120" s="1230" t="s">
        <v>2792</v>
      </c>
      <c r="E5120" s="1231"/>
      <c r="F5120" s="1231"/>
      <c r="G5120" s="1231"/>
      <c r="H5120" s="1231"/>
      <c r="I5120" s="1231"/>
      <c r="J5120" s="1231"/>
      <c r="K5120" s="1231"/>
      <c r="L5120" s="1232"/>
      <c r="O5120" s="336"/>
    </row>
    <row r="5121" spans="1:26" ht="30" customHeight="1" x14ac:dyDescent="0.25">
      <c r="A5121" s="1268" t="s">
        <v>314</v>
      </c>
      <c r="B5121" s="1167"/>
      <c r="C5121" s="1168"/>
      <c r="D5121" s="1230" t="s">
        <v>2793</v>
      </c>
      <c r="E5121" s="1231"/>
      <c r="F5121" s="1231"/>
      <c r="G5121" s="1231"/>
      <c r="H5121" s="1231"/>
      <c r="I5121" s="1231"/>
      <c r="J5121" s="1231"/>
      <c r="K5121" s="1231"/>
      <c r="L5121" s="1232"/>
      <c r="O5121" s="336"/>
    </row>
    <row r="5122" spans="1:26" ht="30" customHeight="1" x14ac:dyDescent="0.25">
      <c r="A5122" s="1268" t="s">
        <v>316</v>
      </c>
      <c r="B5122" s="1167"/>
      <c r="C5122" s="1168"/>
      <c r="D5122" s="1230" t="s">
        <v>1632</v>
      </c>
      <c r="E5122" s="1231"/>
      <c r="F5122" s="1231"/>
      <c r="G5122" s="1231"/>
      <c r="H5122" s="1231"/>
      <c r="I5122" s="1231"/>
      <c r="J5122" s="1231"/>
      <c r="K5122" s="1231"/>
      <c r="L5122" s="1232"/>
      <c r="M5122" s="54"/>
      <c r="O5122" s="336"/>
    </row>
    <row r="5123" spans="1:26" ht="30" customHeight="1" x14ac:dyDescent="0.25">
      <c r="A5123" s="1268" t="s">
        <v>318</v>
      </c>
      <c r="B5123" s="1167"/>
      <c r="C5123" s="1168"/>
      <c r="D5123" s="1230" t="s">
        <v>2794</v>
      </c>
      <c r="E5123" s="1231"/>
      <c r="F5123" s="1231"/>
      <c r="G5123" s="1231"/>
      <c r="H5123" s="1231"/>
      <c r="I5123" s="1231"/>
      <c r="J5123" s="1231"/>
      <c r="K5123" s="1231"/>
      <c r="L5123" s="1232"/>
      <c r="O5123" s="336"/>
    </row>
    <row r="5124" spans="1:26" ht="30" customHeight="1" x14ac:dyDescent="0.25">
      <c r="A5124" s="1268" t="s">
        <v>320</v>
      </c>
      <c r="B5124" s="1167"/>
      <c r="C5124" s="1168"/>
      <c r="D5124" s="1230" t="s">
        <v>2795</v>
      </c>
      <c r="E5124" s="1231"/>
      <c r="F5124" s="1231"/>
      <c r="G5124" s="1231"/>
      <c r="H5124" s="1231"/>
      <c r="I5124" s="1231"/>
      <c r="J5124" s="1231"/>
      <c r="K5124" s="1231"/>
      <c r="L5124" s="1232"/>
      <c r="O5124" s="336"/>
    </row>
    <row r="5125" spans="1:26" ht="30" customHeight="1" x14ac:dyDescent="0.25">
      <c r="A5125" s="1268" t="s">
        <v>322</v>
      </c>
      <c r="B5125" s="1167"/>
      <c r="C5125" s="1168"/>
      <c r="D5125" s="1230" t="s">
        <v>422</v>
      </c>
      <c r="E5125" s="1231"/>
      <c r="F5125" s="1231"/>
      <c r="G5125" s="1231"/>
      <c r="H5125" s="1231"/>
      <c r="I5125" s="1231"/>
      <c r="J5125" s="1231"/>
      <c r="K5125" s="1231"/>
      <c r="L5125" s="1232"/>
      <c r="O5125" s="336"/>
    </row>
    <row r="5126" spans="1:26" ht="45" customHeight="1" thickBot="1" x14ac:dyDescent="0.3">
      <c r="A5126" s="1265" t="s">
        <v>350</v>
      </c>
      <c r="B5126" s="1266"/>
      <c r="C5126" s="1267"/>
      <c r="D5126" s="1291" t="s">
        <v>3467</v>
      </c>
      <c r="E5126" s="1292"/>
      <c r="F5126" s="1292"/>
      <c r="G5126" s="1292"/>
      <c r="H5126" s="1292"/>
      <c r="I5126" s="1292"/>
      <c r="J5126" s="1292"/>
      <c r="K5126" s="1292"/>
      <c r="L5126" s="1293"/>
      <c r="O5126" s="336"/>
      <c r="Y5126" s="340"/>
    </row>
    <row r="5127" spans="1:26" ht="30" customHeight="1" thickBot="1" x14ac:dyDescent="0.3">
      <c r="A5127" s="1180"/>
      <c r="B5127" s="1181"/>
      <c r="C5127" s="1181"/>
      <c r="D5127" s="1181"/>
      <c r="E5127" s="1181"/>
      <c r="F5127" s="1181"/>
      <c r="G5127" s="1181"/>
      <c r="H5127" s="1181"/>
      <c r="I5127" s="1181"/>
      <c r="J5127" s="1181"/>
      <c r="K5127" s="1181"/>
      <c r="L5127" s="1182"/>
      <c r="O5127" s="336"/>
      <c r="Y5127" s="340"/>
      <c r="Z5127" s="340"/>
    </row>
    <row r="5128" spans="1:26" ht="30" customHeight="1" x14ac:dyDescent="0.25">
      <c r="A5128" s="327" t="s">
        <v>5</v>
      </c>
      <c r="B5128" s="328">
        <v>8921</v>
      </c>
      <c r="C5128" s="1251" t="s">
        <v>2796</v>
      </c>
      <c r="D5128" s="1252"/>
      <c r="E5128" s="331" t="s">
        <v>8</v>
      </c>
      <c r="F5128" s="332" t="s">
        <v>76</v>
      </c>
      <c r="G5128" s="333" t="s">
        <v>7</v>
      </c>
      <c r="H5128" s="156">
        <v>1</v>
      </c>
      <c r="I5128" s="331" t="s">
        <v>10</v>
      </c>
      <c r="J5128" s="1220" t="s">
        <v>3388</v>
      </c>
      <c r="K5128" s="1220"/>
      <c r="L5128" s="1221"/>
      <c r="Y5128" s="340"/>
      <c r="Z5128" s="340"/>
    </row>
    <row r="5129" spans="1:26" ht="30" customHeight="1" x14ac:dyDescent="0.25">
      <c r="A5129" s="359" t="s">
        <v>295</v>
      </c>
      <c r="B5129" s="1222" t="s">
        <v>326</v>
      </c>
      <c r="C5129" s="1235"/>
      <c r="D5129" s="1223"/>
      <c r="E5129" s="577" t="s">
        <v>116</v>
      </c>
      <c r="F5129" s="577" t="s">
        <v>117</v>
      </c>
      <c r="G5129" s="1194" t="s">
        <v>118</v>
      </c>
      <c r="H5129" s="1195"/>
      <c r="I5129" s="356" t="s">
        <v>296</v>
      </c>
      <c r="J5129" s="356"/>
      <c r="K5129" s="1236" t="s">
        <v>285</v>
      </c>
      <c r="L5129" s="1237"/>
      <c r="Z5129" s="340"/>
    </row>
    <row r="5130" spans="1:26" s="340" customFormat="1" ht="30" customHeight="1" x14ac:dyDescent="0.25">
      <c r="A5130" s="365" t="s">
        <v>327</v>
      </c>
      <c r="B5130" s="1209" t="s">
        <v>2797</v>
      </c>
      <c r="C5130" s="1210"/>
      <c r="D5130" s="1211"/>
      <c r="E5130" s="7">
        <v>95</v>
      </c>
      <c r="F5130" s="396" t="s">
        <v>205</v>
      </c>
      <c r="G5130" s="776">
        <v>1105</v>
      </c>
      <c r="H5130" s="690" t="s">
        <v>329</v>
      </c>
      <c r="I5130" s="365">
        <v>1.05</v>
      </c>
      <c r="J5130" s="365"/>
      <c r="K5130" s="7">
        <f>+E5130*G5130*I5130</f>
        <v>110223.75</v>
      </c>
      <c r="L5130" s="396" t="s">
        <v>76</v>
      </c>
      <c r="M5130" s="10"/>
      <c r="N5130" s="11"/>
      <c r="O5130" s="334"/>
      <c r="Q5130" s="334"/>
      <c r="R5130" s="334"/>
      <c r="S5130" s="334"/>
      <c r="T5130" s="334"/>
      <c r="U5130" s="334"/>
      <c r="V5130" s="334"/>
      <c r="W5130" s="334"/>
      <c r="X5130" s="334"/>
      <c r="Y5130" s="334"/>
      <c r="Z5130" s="334"/>
    </row>
    <row r="5131" spans="1:26" s="340" customFormat="1" ht="30" customHeight="1" x14ac:dyDescent="0.25">
      <c r="A5131" s="895" t="s">
        <v>436</v>
      </c>
      <c r="B5131" s="1209" t="s">
        <v>2798</v>
      </c>
      <c r="C5131" s="1210"/>
      <c r="D5131" s="1211"/>
      <c r="E5131" s="7">
        <v>23.55</v>
      </c>
      <c r="F5131" s="396" t="s">
        <v>205</v>
      </c>
      <c r="G5131" s="776">
        <v>1105</v>
      </c>
      <c r="H5131" s="690" t="s">
        <v>329</v>
      </c>
      <c r="I5131" s="365">
        <v>1.05</v>
      </c>
      <c r="J5131" s="365"/>
      <c r="K5131" s="716">
        <f>+E5131*G5131*I5131</f>
        <v>27323.887500000001</v>
      </c>
      <c r="L5131" s="396" t="s">
        <v>76</v>
      </c>
      <c r="M5131" s="10"/>
      <c r="N5131" s="11"/>
      <c r="O5131" s="334"/>
      <c r="Q5131" s="334"/>
      <c r="R5131" s="334"/>
      <c r="S5131" s="334"/>
      <c r="T5131" s="334"/>
      <c r="U5131" s="334"/>
      <c r="V5131" s="334"/>
      <c r="W5131" s="334"/>
      <c r="X5131" s="334"/>
      <c r="Y5131" s="334"/>
      <c r="Z5131" s="334"/>
    </row>
    <row r="5132" spans="1:26" s="340" customFormat="1" ht="30" customHeight="1" x14ac:dyDescent="0.25">
      <c r="A5132" s="895" t="s">
        <v>1764</v>
      </c>
      <c r="B5132" s="1209" t="s">
        <v>2799</v>
      </c>
      <c r="C5132" s="1210"/>
      <c r="D5132" s="1211"/>
      <c r="E5132" s="7">
        <f>+(10000+11900)/2</f>
        <v>10950</v>
      </c>
      <c r="F5132" s="396" t="s">
        <v>76</v>
      </c>
      <c r="G5132" s="911"/>
      <c r="H5132" s="690"/>
      <c r="I5132" s="706">
        <v>1.06</v>
      </c>
      <c r="J5132" s="365"/>
      <c r="K5132" s="716">
        <f>+E5132*I5132</f>
        <v>11607</v>
      </c>
      <c r="L5132" s="396" t="s">
        <v>76</v>
      </c>
      <c r="M5132" s="11"/>
      <c r="N5132" s="11"/>
      <c r="O5132" s="334"/>
      <c r="Q5132" s="334"/>
      <c r="R5132" s="334"/>
      <c r="S5132" s="334"/>
      <c r="T5132" s="334"/>
      <c r="U5132" s="334"/>
      <c r="V5132" s="334"/>
      <c r="W5132" s="334"/>
      <c r="X5132" s="334"/>
      <c r="Y5132" s="334"/>
      <c r="Z5132" s="334"/>
    </row>
    <row r="5133" spans="1:26" ht="30" customHeight="1" x14ac:dyDescent="0.25">
      <c r="A5133" s="895" t="s">
        <v>398</v>
      </c>
      <c r="B5133" s="1209" t="s">
        <v>2800</v>
      </c>
      <c r="C5133" s="1210"/>
      <c r="D5133" s="1211"/>
      <c r="E5133" s="7">
        <v>125000</v>
      </c>
      <c r="F5133" s="396" t="s">
        <v>76</v>
      </c>
      <c r="G5133" s="911"/>
      <c r="H5133" s="690"/>
      <c r="I5133" s="706">
        <v>1</v>
      </c>
      <c r="J5133" s="365"/>
      <c r="K5133" s="716">
        <f>+E5133*I5133</f>
        <v>125000</v>
      </c>
      <c r="L5133" s="396" t="s">
        <v>76</v>
      </c>
    </row>
    <row r="5134" spans="1:26" ht="30" customHeight="1" x14ac:dyDescent="0.25">
      <c r="A5134" s="755"/>
      <c r="B5134" s="1214" t="s">
        <v>2801</v>
      </c>
      <c r="C5134" s="1215"/>
      <c r="D5134" s="1216"/>
      <c r="E5134" s="247"/>
      <c r="F5134" s="365"/>
      <c r="G5134" s="365"/>
      <c r="H5134" s="365"/>
      <c r="I5134" s="365"/>
      <c r="J5134" s="365" t="s">
        <v>408</v>
      </c>
      <c r="K5134" s="247">
        <f>SUM(K5130:K5133)</f>
        <v>274154.63750000001</v>
      </c>
      <c r="L5134" s="365" t="s">
        <v>76</v>
      </c>
    </row>
    <row r="5135" spans="1:26" ht="30" customHeight="1" x14ac:dyDescent="0.25">
      <c r="A5135" s="365"/>
      <c r="B5135" s="578"/>
      <c r="C5135" s="578"/>
      <c r="D5135" s="578"/>
      <c r="E5135" s="247"/>
      <c r="F5135" s="1272" t="s">
        <v>303</v>
      </c>
      <c r="G5135" s="1283" t="s">
        <v>304</v>
      </c>
      <c r="H5135" s="1283"/>
      <c r="I5135" s="1283"/>
      <c r="J5135" s="1283"/>
      <c r="K5135" s="250">
        <v>1.07</v>
      </c>
      <c r="L5135" s="365"/>
    </row>
    <row r="5136" spans="1:26" ht="30" customHeight="1" x14ac:dyDescent="0.25">
      <c r="A5136" s="365"/>
      <c r="B5136" s="578"/>
      <c r="C5136" s="578"/>
      <c r="D5136" s="578"/>
      <c r="E5136" s="247"/>
      <c r="F5136" s="1273"/>
      <c r="G5136" s="1284" t="s">
        <v>438</v>
      </c>
      <c r="H5136" s="1284"/>
      <c r="I5136" s="1284"/>
      <c r="J5136" s="1284"/>
      <c r="K5136" s="250">
        <v>1.08</v>
      </c>
      <c r="L5136" s="365"/>
    </row>
    <row r="5137" spans="1:19" ht="30" customHeight="1" x14ac:dyDescent="0.25">
      <c r="A5137" s="365"/>
      <c r="B5137" s="365"/>
      <c r="C5137" s="366"/>
      <c r="D5137" s="366"/>
      <c r="E5137" s="366"/>
      <c r="F5137" s="366"/>
      <c r="G5137" s="366"/>
      <c r="H5137" s="366"/>
      <c r="I5137" s="366"/>
      <c r="J5137" s="365" t="s">
        <v>72</v>
      </c>
      <c r="K5137" s="246">
        <f>+K5134*K5135/K5136</f>
        <v>271616.16863425926</v>
      </c>
      <c r="L5137" s="365" t="s">
        <v>76</v>
      </c>
    </row>
    <row r="5138" spans="1:19" ht="30" customHeight="1" x14ac:dyDescent="0.25">
      <c r="A5138" s="365"/>
      <c r="B5138" s="365"/>
      <c r="C5138" s="366"/>
      <c r="D5138" s="366"/>
      <c r="E5138" s="366"/>
      <c r="F5138" s="366"/>
      <c r="G5138" s="580" t="s">
        <v>306</v>
      </c>
      <c r="H5138" s="366"/>
      <c r="I5138" s="366"/>
      <c r="J5138" s="521">
        <f>VLOOKUP(B5128,'Mil Cost Premiums for PUCs'!$A$4:$R$277,18,FALSE)</f>
        <v>1.1199953840399997</v>
      </c>
      <c r="K5138" s="246">
        <f>+K5137*J5138</f>
        <v>304208.85510100052</v>
      </c>
      <c r="L5138" s="365" t="s">
        <v>76</v>
      </c>
    </row>
    <row r="5139" spans="1:19" ht="30" customHeight="1" thickBot="1" x14ac:dyDescent="0.3">
      <c r="A5139" s="844"/>
      <c r="B5139" s="844"/>
      <c r="C5139" s="471"/>
      <c r="D5139" s="471"/>
      <c r="E5139" s="471"/>
      <c r="F5139" s="1278" t="s">
        <v>1148</v>
      </c>
      <c r="G5139" s="1278"/>
      <c r="H5139" s="1278"/>
      <c r="I5139" s="1278"/>
      <c r="J5139" s="987">
        <v>1.0833999999999999</v>
      </c>
      <c r="K5139" s="1060">
        <f>K5138*J5139</f>
        <v>329579.87361642392</v>
      </c>
      <c r="L5139" s="365" t="s">
        <v>76</v>
      </c>
      <c r="O5139" s="336"/>
      <c r="P5139" s="334"/>
      <c r="Q5139" s="335"/>
      <c r="R5139" s="336"/>
      <c r="S5139" s="337"/>
    </row>
    <row r="5140" spans="1:19" ht="30" customHeight="1" thickBot="1" x14ac:dyDescent="0.3">
      <c r="A5140" s="1180"/>
      <c r="B5140" s="1181"/>
      <c r="C5140" s="1181"/>
      <c r="D5140" s="1181"/>
      <c r="E5140" s="1181"/>
      <c r="F5140" s="1181"/>
      <c r="G5140" s="1181"/>
      <c r="H5140" s="1181"/>
      <c r="I5140" s="1181"/>
      <c r="J5140" s="1181"/>
      <c r="K5140" s="1181"/>
      <c r="L5140" s="1182"/>
    </row>
    <row r="5141" spans="1:19" ht="30" customHeight="1" x14ac:dyDescent="0.25">
      <c r="A5141" s="327" t="s">
        <v>5</v>
      </c>
      <c r="B5141" s="328">
        <v>8922</v>
      </c>
      <c r="C5141" s="1251" t="s">
        <v>2802</v>
      </c>
      <c r="D5141" s="1252"/>
      <c r="E5141" s="331" t="s">
        <v>8</v>
      </c>
      <c r="F5141" s="332" t="s">
        <v>76</v>
      </c>
      <c r="G5141" s="333" t="s">
        <v>7</v>
      </c>
      <c r="H5141" s="156">
        <v>1</v>
      </c>
      <c r="I5141" s="331" t="s">
        <v>10</v>
      </c>
      <c r="J5141" s="1220" t="s">
        <v>294</v>
      </c>
      <c r="K5141" s="1220"/>
      <c r="L5141" s="1221"/>
    </row>
    <row r="5142" spans="1:19" ht="30" customHeight="1" x14ac:dyDescent="0.25">
      <c r="A5142" s="359" t="s">
        <v>295</v>
      </c>
      <c r="B5142" s="1222" t="s">
        <v>326</v>
      </c>
      <c r="C5142" s="1235"/>
      <c r="D5142" s="1223"/>
      <c r="E5142" s="577" t="s">
        <v>116</v>
      </c>
      <c r="F5142" s="577" t="s">
        <v>117</v>
      </c>
      <c r="G5142" s="1194" t="s">
        <v>118</v>
      </c>
      <c r="H5142" s="1195"/>
      <c r="I5142" s="356" t="s">
        <v>296</v>
      </c>
      <c r="J5142" s="356"/>
      <c r="K5142" s="1236" t="s">
        <v>285</v>
      </c>
      <c r="L5142" s="1237"/>
    </row>
    <row r="5143" spans="1:19" ht="30" customHeight="1" x14ac:dyDescent="0.25">
      <c r="A5143" s="365" t="s">
        <v>398</v>
      </c>
      <c r="B5143" s="1209" t="s">
        <v>2803</v>
      </c>
      <c r="C5143" s="1210"/>
      <c r="D5143" s="1211"/>
      <c r="E5143" s="7">
        <v>85750</v>
      </c>
      <c r="F5143" s="396"/>
      <c r="G5143" s="20"/>
      <c r="H5143" s="690"/>
      <c r="I5143" s="706">
        <v>1.19</v>
      </c>
      <c r="J5143" s="396"/>
      <c r="K5143" s="246">
        <f>+E5143*I5143</f>
        <v>102042.5</v>
      </c>
      <c r="L5143" s="396" t="s">
        <v>76</v>
      </c>
    </row>
    <row r="5144" spans="1:19" ht="30" customHeight="1" x14ac:dyDescent="0.25">
      <c r="A5144" s="365"/>
      <c r="B5144" s="578"/>
      <c r="C5144" s="578"/>
      <c r="D5144" s="578"/>
      <c r="E5144" s="247"/>
      <c r="F5144" s="1272" t="s">
        <v>303</v>
      </c>
      <c r="G5144" s="1283" t="s">
        <v>304</v>
      </c>
      <c r="H5144" s="1283"/>
      <c r="I5144" s="1283"/>
      <c r="J5144" s="1283"/>
      <c r="K5144" s="250">
        <v>1.06</v>
      </c>
      <c r="L5144" s="365"/>
    </row>
    <row r="5145" spans="1:19" ht="30" customHeight="1" x14ac:dyDescent="0.25">
      <c r="A5145" s="365"/>
      <c r="B5145" s="578"/>
      <c r="C5145" s="578"/>
      <c r="D5145" s="578"/>
      <c r="E5145" s="247"/>
      <c r="F5145" s="1273"/>
      <c r="G5145" s="1284" t="s">
        <v>305</v>
      </c>
      <c r="H5145" s="1284"/>
      <c r="I5145" s="1284"/>
      <c r="J5145" s="1284"/>
      <c r="K5145" s="250">
        <v>1.06</v>
      </c>
      <c r="L5145" s="365"/>
    </row>
    <row r="5146" spans="1:19" ht="30" customHeight="1" x14ac:dyDescent="0.25">
      <c r="A5146" s="755"/>
      <c r="B5146" s="452"/>
      <c r="C5146" s="587"/>
      <c r="D5146" s="391"/>
      <c r="E5146" s="247"/>
      <c r="F5146" s="396"/>
      <c r="G5146" s="661"/>
      <c r="H5146" s="698"/>
      <c r="I5146" s="365"/>
      <c r="J5146" s="365" t="s">
        <v>72</v>
      </c>
      <c r="K5146" s="246">
        <f>+K5143*K5144/K5145</f>
        <v>102042.5</v>
      </c>
      <c r="L5146" s="365" t="s">
        <v>76</v>
      </c>
    </row>
    <row r="5147" spans="1:19" ht="30" customHeight="1" thickBot="1" x14ac:dyDescent="0.3">
      <c r="A5147" s="365"/>
      <c r="B5147" s="365"/>
      <c r="C5147" s="366"/>
      <c r="D5147" s="366"/>
      <c r="E5147" s="366"/>
      <c r="F5147" s="366"/>
      <c r="G5147" s="580" t="s">
        <v>306</v>
      </c>
      <c r="H5147" s="366"/>
      <c r="I5147" s="366"/>
      <c r="J5147" s="521">
        <f>VLOOKUP(B5141,'Mil Cost Premiums for PUCs'!$A$4:$R$277,18,FALSE)</f>
        <v>1.0209999999999999</v>
      </c>
      <c r="K5147" s="246">
        <f>+K5146*J5147</f>
        <v>104185.39249999999</v>
      </c>
      <c r="L5147" s="365" t="s">
        <v>76</v>
      </c>
    </row>
    <row r="5148" spans="1:19" ht="30" customHeight="1" thickBot="1" x14ac:dyDescent="0.3">
      <c r="A5148" s="1180"/>
      <c r="B5148" s="1181"/>
      <c r="C5148" s="1181"/>
      <c r="D5148" s="1181"/>
      <c r="E5148" s="1181"/>
      <c r="F5148" s="1181"/>
      <c r="G5148" s="1181"/>
      <c r="H5148" s="1181"/>
      <c r="I5148" s="1181"/>
      <c r="J5148" s="1181"/>
      <c r="K5148" s="1181"/>
      <c r="L5148" s="1182"/>
    </row>
    <row r="5149" spans="1:19" ht="30" customHeight="1" x14ac:dyDescent="0.25">
      <c r="A5149" s="327" t="s">
        <v>5</v>
      </c>
      <c r="B5149" s="328">
        <v>8923</v>
      </c>
      <c r="C5149" s="1251" t="s">
        <v>2804</v>
      </c>
      <c r="D5149" s="1252"/>
      <c r="E5149" s="331" t="s">
        <v>8</v>
      </c>
      <c r="F5149" s="332" t="s">
        <v>76</v>
      </c>
      <c r="G5149" s="333" t="s">
        <v>7</v>
      </c>
      <c r="H5149" s="156">
        <v>1</v>
      </c>
      <c r="I5149" s="331" t="s">
        <v>10</v>
      </c>
      <c r="J5149" s="1220" t="s">
        <v>294</v>
      </c>
      <c r="K5149" s="1220"/>
      <c r="L5149" s="1221"/>
    </row>
    <row r="5150" spans="1:19" ht="30" customHeight="1" x14ac:dyDescent="0.25">
      <c r="A5150" s="359" t="s">
        <v>295</v>
      </c>
      <c r="B5150" s="1222" t="s">
        <v>326</v>
      </c>
      <c r="C5150" s="1235"/>
      <c r="D5150" s="1223"/>
      <c r="E5150" s="577" t="s">
        <v>116</v>
      </c>
      <c r="F5150" s="577" t="s">
        <v>117</v>
      </c>
      <c r="G5150" s="1194" t="s">
        <v>118</v>
      </c>
      <c r="H5150" s="1195"/>
      <c r="I5150" s="356" t="s">
        <v>296</v>
      </c>
      <c r="J5150" s="356"/>
      <c r="K5150" s="1236" t="s">
        <v>285</v>
      </c>
      <c r="L5150" s="1237"/>
    </row>
    <row r="5151" spans="1:19" ht="30" customHeight="1" x14ac:dyDescent="0.25">
      <c r="A5151" s="365" t="s">
        <v>2671</v>
      </c>
      <c r="B5151" s="1209" t="s">
        <v>2805</v>
      </c>
      <c r="C5151" s="1210"/>
      <c r="D5151" s="1211"/>
      <c r="E5151" s="7">
        <v>60000</v>
      </c>
      <c r="F5151" s="396" t="s">
        <v>76</v>
      </c>
      <c r="G5151" s="20"/>
      <c r="H5151" s="690"/>
      <c r="I5151" s="365">
        <v>1.17</v>
      </c>
      <c r="J5151" s="396"/>
      <c r="K5151" s="246">
        <f>+E5151*I5151</f>
        <v>70200</v>
      </c>
      <c r="L5151" s="396" t="s">
        <v>76</v>
      </c>
    </row>
    <row r="5152" spans="1:19" ht="30" customHeight="1" x14ac:dyDescent="0.25">
      <c r="A5152" s="365"/>
      <c r="B5152" s="578"/>
      <c r="C5152" s="578"/>
      <c r="D5152" s="578"/>
      <c r="E5152" s="247"/>
      <c r="F5152" s="1272" t="s">
        <v>303</v>
      </c>
      <c r="G5152" s="1283" t="s">
        <v>304</v>
      </c>
      <c r="H5152" s="1283"/>
      <c r="I5152" s="1283"/>
      <c r="J5152" s="1283"/>
      <c r="K5152" s="250">
        <v>1.06</v>
      </c>
      <c r="L5152" s="365"/>
    </row>
    <row r="5153" spans="1:12" ht="30" customHeight="1" x14ac:dyDescent="0.25">
      <c r="A5153" s="365"/>
      <c r="B5153" s="578"/>
      <c r="C5153" s="578"/>
      <c r="D5153" s="578"/>
      <c r="E5153" s="247"/>
      <c r="F5153" s="1273"/>
      <c r="G5153" s="1284" t="s">
        <v>305</v>
      </c>
      <c r="H5153" s="1284"/>
      <c r="I5153" s="1284"/>
      <c r="J5153" s="1284"/>
      <c r="K5153" s="250">
        <v>1.06</v>
      </c>
      <c r="L5153" s="365"/>
    </row>
    <row r="5154" spans="1:12" ht="30" customHeight="1" x14ac:dyDescent="0.25">
      <c r="A5154" s="755"/>
      <c r="B5154" s="452"/>
      <c r="C5154" s="587"/>
      <c r="D5154" s="391"/>
      <c r="E5154" s="247"/>
      <c r="F5154" s="396"/>
      <c r="G5154" s="661"/>
      <c r="H5154" s="698"/>
      <c r="I5154" s="365"/>
      <c r="J5154" s="365" t="s">
        <v>72</v>
      </c>
      <c r="K5154" s="246">
        <f>+K5151*K5152/K5153</f>
        <v>70200</v>
      </c>
      <c r="L5154" s="365" t="s">
        <v>76</v>
      </c>
    </row>
    <row r="5155" spans="1:12" ht="30" customHeight="1" thickBot="1" x14ac:dyDescent="0.3">
      <c r="A5155" s="365"/>
      <c r="B5155" s="365"/>
      <c r="C5155" s="366"/>
      <c r="D5155" s="366"/>
      <c r="E5155" s="366"/>
      <c r="F5155" s="366"/>
      <c r="G5155" s="580" t="s">
        <v>306</v>
      </c>
      <c r="H5155" s="366"/>
      <c r="I5155" s="366"/>
      <c r="J5155" s="521">
        <f>VLOOKUP(B5149,'Mil Cost Premiums for PUCs'!$A$4:$R$277,18,FALSE)</f>
        <v>1.0240629999999997</v>
      </c>
      <c r="K5155" s="246">
        <f>+K5154*J5155</f>
        <v>71889.222599999979</v>
      </c>
      <c r="L5155" s="365" t="s">
        <v>76</v>
      </c>
    </row>
    <row r="5156" spans="1:12" ht="30" customHeight="1" thickBot="1" x14ac:dyDescent="0.3">
      <c r="A5156" s="1180"/>
      <c r="B5156" s="1181"/>
      <c r="C5156" s="1181"/>
      <c r="D5156" s="1181"/>
      <c r="E5156" s="1181"/>
      <c r="F5156" s="1181"/>
      <c r="G5156" s="1181"/>
      <c r="H5156" s="1181"/>
      <c r="I5156" s="1181"/>
      <c r="J5156" s="1181"/>
      <c r="K5156" s="1181"/>
      <c r="L5156" s="1182"/>
    </row>
    <row r="5157" spans="1:12" ht="30" customHeight="1" x14ac:dyDescent="0.25">
      <c r="A5157" s="327" t="s">
        <v>5</v>
      </c>
      <c r="B5157" s="328">
        <v>8924</v>
      </c>
      <c r="C5157" s="329" t="s">
        <v>2806</v>
      </c>
      <c r="D5157" s="576"/>
      <c r="E5157" s="331" t="s">
        <v>8</v>
      </c>
      <c r="F5157" s="332" t="s">
        <v>76</v>
      </c>
      <c r="G5157" s="333" t="s">
        <v>7</v>
      </c>
      <c r="H5157" s="156">
        <v>1</v>
      </c>
      <c r="I5157" s="331" t="s">
        <v>10</v>
      </c>
      <c r="J5157" s="1220" t="s">
        <v>294</v>
      </c>
      <c r="K5157" s="1220"/>
      <c r="L5157" s="1221"/>
    </row>
    <row r="5158" spans="1:12" ht="30" customHeight="1" x14ac:dyDescent="0.25">
      <c r="A5158" s="359" t="s">
        <v>282</v>
      </c>
      <c r="B5158" s="1222" t="s">
        <v>326</v>
      </c>
      <c r="C5158" s="1235"/>
      <c r="D5158" s="1223"/>
      <c r="E5158" s="577" t="s">
        <v>116</v>
      </c>
      <c r="F5158" s="577" t="s">
        <v>117</v>
      </c>
      <c r="G5158" s="1633" t="s">
        <v>118</v>
      </c>
      <c r="H5158" s="1633"/>
      <c r="I5158" s="356" t="s">
        <v>296</v>
      </c>
      <c r="J5158" s="356"/>
      <c r="K5158" s="1236" t="s">
        <v>285</v>
      </c>
      <c r="L5158" s="1237"/>
    </row>
    <row r="5159" spans="1:12" ht="30" customHeight="1" x14ac:dyDescent="0.25">
      <c r="A5159" s="365" t="s">
        <v>662</v>
      </c>
      <c r="B5159" s="1209" t="s">
        <v>2807</v>
      </c>
      <c r="C5159" s="1210"/>
      <c r="D5159" s="1211"/>
      <c r="E5159" s="247">
        <v>14500</v>
      </c>
      <c r="F5159" s="365" t="s">
        <v>76</v>
      </c>
      <c r="G5159" s="661"/>
      <c r="H5159" s="391"/>
      <c r="I5159" s="742">
        <v>1.24</v>
      </c>
      <c r="J5159" s="365"/>
      <c r="K5159" s="247">
        <f>+E5159*I5159</f>
        <v>17980</v>
      </c>
      <c r="L5159" s="365" t="s">
        <v>76</v>
      </c>
    </row>
    <row r="5160" spans="1:12" ht="30" customHeight="1" x14ac:dyDescent="0.25">
      <c r="A5160" s="365" t="s">
        <v>535</v>
      </c>
      <c r="B5160" s="1209" t="s">
        <v>2808</v>
      </c>
      <c r="C5160" s="1210"/>
      <c r="D5160" s="1211"/>
      <c r="E5160" s="716">
        <v>30.5</v>
      </c>
      <c r="F5160" s="396" t="s">
        <v>537</v>
      </c>
      <c r="G5160" s="689">
        <v>64</v>
      </c>
      <c r="H5160" s="690" t="s">
        <v>2809</v>
      </c>
      <c r="I5160" s="365">
        <v>1.1200000000000001</v>
      </c>
      <c r="J5160" s="365"/>
      <c r="K5160" s="247">
        <f>+E5160*I5160</f>
        <v>34.160000000000004</v>
      </c>
      <c r="L5160" s="396" t="s">
        <v>76</v>
      </c>
    </row>
    <row r="5161" spans="1:12" ht="30" customHeight="1" x14ac:dyDescent="0.25">
      <c r="A5161" s="365"/>
      <c r="B5161" s="365"/>
      <c r="C5161" s="366"/>
      <c r="D5161" s="366"/>
      <c r="E5161" s="366"/>
      <c r="F5161" s="366"/>
      <c r="G5161" s="366"/>
      <c r="H5161" s="366"/>
      <c r="I5161" s="366"/>
      <c r="J5161" s="366" t="s">
        <v>343</v>
      </c>
      <c r="K5161" s="246">
        <f>SUM(K5159:K5160)</f>
        <v>18014.16</v>
      </c>
      <c r="L5161" s="365" t="s">
        <v>76</v>
      </c>
    </row>
    <row r="5162" spans="1:12" ht="30" customHeight="1" x14ac:dyDescent="0.25">
      <c r="A5162" s="365"/>
      <c r="B5162" s="578"/>
      <c r="C5162" s="578"/>
      <c r="D5162" s="578"/>
      <c r="E5162" s="247"/>
      <c r="F5162" s="1272" t="s">
        <v>303</v>
      </c>
      <c r="G5162" s="1283" t="s">
        <v>304</v>
      </c>
      <c r="H5162" s="1283"/>
      <c r="I5162" s="1283"/>
      <c r="J5162" s="1283"/>
      <c r="K5162" s="250">
        <v>1.06</v>
      </c>
      <c r="L5162" s="365"/>
    </row>
    <row r="5163" spans="1:12" ht="30" customHeight="1" x14ac:dyDescent="0.25">
      <c r="A5163" s="365"/>
      <c r="B5163" s="578"/>
      <c r="C5163" s="578"/>
      <c r="D5163" s="578"/>
      <c r="E5163" s="247"/>
      <c r="F5163" s="1273"/>
      <c r="G5163" s="1284" t="s">
        <v>305</v>
      </c>
      <c r="H5163" s="1284"/>
      <c r="I5163" s="1284"/>
      <c r="J5163" s="1284"/>
      <c r="K5163" s="250">
        <v>1.06</v>
      </c>
      <c r="L5163" s="365"/>
    </row>
    <row r="5164" spans="1:12" ht="30" customHeight="1" x14ac:dyDescent="0.25">
      <c r="A5164" s="365"/>
      <c r="B5164" s="365"/>
      <c r="C5164" s="366"/>
      <c r="D5164" s="366"/>
      <c r="E5164" s="366"/>
      <c r="F5164" s="366"/>
      <c r="G5164" s="366"/>
      <c r="H5164" s="366"/>
      <c r="I5164" s="366"/>
      <c r="J5164" s="366" t="s">
        <v>72</v>
      </c>
      <c r="K5164" s="246">
        <f>+K5161*K5162/K5163</f>
        <v>18014.16</v>
      </c>
      <c r="L5164" s="365" t="s">
        <v>76</v>
      </c>
    </row>
    <row r="5165" spans="1:12" ht="30" customHeight="1" thickBot="1" x14ac:dyDescent="0.3">
      <c r="A5165" s="365"/>
      <c r="B5165" s="365"/>
      <c r="C5165" s="366"/>
      <c r="D5165" s="366"/>
      <c r="E5165" s="366"/>
      <c r="F5165" s="366"/>
      <c r="G5165" s="580" t="s">
        <v>306</v>
      </c>
      <c r="H5165" s="366"/>
      <c r="I5165" s="366"/>
      <c r="J5165" s="521">
        <f>VLOOKUP(B5157,'Mil Cost Premiums for PUCs'!$A$4:$R$277,18,FALSE)</f>
        <v>1.0240629999999997</v>
      </c>
      <c r="K5165" s="246">
        <f>+K5164*J5165</f>
        <v>18447.634732079994</v>
      </c>
      <c r="L5165" s="365" t="s">
        <v>76</v>
      </c>
    </row>
    <row r="5166" spans="1:12" ht="30" customHeight="1" thickBot="1" x14ac:dyDescent="0.3">
      <c r="A5166" s="1180"/>
      <c r="B5166" s="1181"/>
      <c r="C5166" s="1181"/>
      <c r="D5166" s="1181"/>
      <c r="E5166" s="1181"/>
      <c r="F5166" s="1181"/>
      <c r="G5166" s="1181"/>
      <c r="H5166" s="1181"/>
      <c r="I5166" s="1181"/>
      <c r="J5166" s="1181"/>
      <c r="K5166" s="1181"/>
      <c r="L5166" s="1182"/>
    </row>
    <row r="5167" spans="1:12" ht="30" customHeight="1" x14ac:dyDescent="0.25">
      <c r="A5167" s="327" t="s">
        <v>5</v>
      </c>
      <c r="B5167" s="328">
        <v>8926</v>
      </c>
      <c r="C5167" s="1218" t="s">
        <v>2810</v>
      </c>
      <c r="D5167" s="1219"/>
      <c r="E5167" s="331" t="s">
        <v>8</v>
      </c>
      <c r="F5167" s="332" t="s">
        <v>76</v>
      </c>
      <c r="G5167" s="333" t="s">
        <v>7</v>
      </c>
      <c r="H5167" s="156">
        <v>1</v>
      </c>
      <c r="I5167" s="331" t="s">
        <v>10</v>
      </c>
      <c r="J5167" s="1220" t="s">
        <v>294</v>
      </c>
      <c r="K5167" s="1220"/>
      <c r="L5167" s="1221"/>
    </row>
    <row r="5168" spans="1:12" ht="30" customHeight="1" x14ac:dyDescent="0.25">
      <c r="A5168" s="359" t="s">
        <v>295</v>
      </c>
      <c r="B5168" s="1222" t="s">
        <v>326</v>
      </c>
      <c r="C5168" s="1235"/>
      <c r="D5168" s="1223"/>
      <c r="E5168" s="577" t="s">
        <v>116</v>
      </c>
      <c r="F5168" s="577" t="s">
        <v>117</v>
      </c>
      <c r="G5168" s="1194" t="s">
        <v>118</v>
      </c>
      <c r="H5168" s="1195"/>
      <c r="I5168" s="356" t="s">
        <v>296</v>
      </c>
      <c r="J5168" s="356"/>
      <c r="K5168" s="1236" t="s">
        <v>285</v>
      </c>
      <c r="L5168" s="1237"/>
    </row>
    <row r="5169" spans="1:12" ht="30" customHeight="1" x14ac:dyDescent="0.25">
      <c r="A5169" s="359"/>
      <c r="B5169" s="1086" t="s">
        <v>2811</v>
      </c>
      <c r="C5169" s="857"/>
      <c r="D5169" s="659"/>
      <c r="E5169" s="577"/>
      <c r="F5169" s="577"/>
      <c r="G5169" s="750"/>
      <c r="H5169" s="751"/>
      <c r="I5169" s="1052"/>
      <c r="J5169" s="356"/>
      <c r="K5169" s="577"/>
      <c r="L5169" s="577"/>
    </row>
    <row r="5170" spans="1:12" ht="30" customHeight="1" x14ac:dyDescent="0.25">
      <c r="A5170" s="365" t="s">
        <v>2812</v>
      </c>
      <c r="B5170" s="1616" t="s">
        <v>2813</v>
      </c>
      <c r="C5170" s="1617"/>
      <c r="D5170" s="1390"/>
      <c r="E5170" s="716">
        <v>46</v>
      </c>
      <c r="F5170" s="396" t="s">
        <v>205</v>
      </c>
      <c r="G5170" s="689">
        <v>5000</v>
      </c>
      <c r="H5170" s="690" t="s">
        <v>329</v>
      </c>
      <c r="I5170" s="365">
        <v>1.22</v>
      </c>
      <c r="J5170" s="365"/>
      <c r="K5170" s="139">
        <f>+E5170*G5170*I5170</f>
        <v>280600</v>
      </c>
      <c r="L5170" s="365" t="s">
        <v>76</v>
      </c>
    </row>
    <row r="5171" spans="1:12" ht="30" customHeight="1" x14ac:dyDescent="0.25">
      <c r="A5171" s="927" t="s">
        <v>430</v>
      </c>
      <c r="B5171" s="1209" t="s">
        <v>2814</v>
      </c>
      <c r="C5171" s="1210"/>
      <c r="D5171" s="1211"/>
      <c r="E5171" s="7">
        <f>+(785+1160)/2</f>
        <v>972.5</v>
      </c>
      <c r="F5171" s="396" t="s">
        <v>2815</v>
      </c>
      <c r="G5171" s="689">
        <v>100</v>
      </c>
      <c r="H5171" s="984" t="s">
        <v>2816</v>
      </c>
      <c r="I5171" s="365">
        <v>1.21</v>
      </c>
      <c r="J5171" s="365"/>
      <c r="K5171" s="139">
        <f>+E5171*G5171*I5171</f>
        <v>117672.5</v>
      </c>
      <c r="L5171" s="365" t="s">
        <v>76</v>
      </c>
    </row>
    <row r="5172" spans="1:12" ht="30" customHeight="1" x14ac:dyDescent="0.25">
      <c r="A5172" s="927" t="s">
        <v>406</v>
      </c>
      <c r="B5172" s="1209" t="s">
        <v>2817</v>
      </c>
      <c r="C5172" s="1210"/>
      <c r="D5172" s="1211"/>
      <c r="E5172" s="7">
        <v>3.71</v>
      </c>
      <c r="F5172" s="396" t="s">
        <v>1882</v>
      </c>
      <c r="G5172" s="689">
        <v>1.1499999999999999</v>
      </c>
      <c r="H5172" s="984" t="s">
        <v>2818</v>
      </c>
      <c r="I5172" s="365">
        <v>1.22</v>
      </c>
      <c r="J5172" s="365"/>
      <c r="K5172" s="139">
        <f>5000*E5172*G5172*I5172</f>
        <v>26025.649999999998</v>
      </c>
      <c r="L5172" s="396"/>
    </row>
    <row r="5173" spans="1:12" ht="30" customHeight="1" x14ac:dyDescent="0.25">
      <c r="A5173" s="927" t="s">
        <v>426</v>
      </c>
      <c r="B5173" s="1209" t="s">
        <v>2819</v>
      </c>
      <c r="C5173" s="1210"/>
      <c r="D5173" s="1211"/>
      <c r="E5173" s="7">
        <f>+(24+37.25)/2</f>
        <v>30.625</v>
      </c>
      <c r="F5173" s="396" t="s">
        <v>1455</v>
      </c>
      <c r="G5173" s="689">
        <v>81</v>
      </c>
      <c r="H5173" s="984"/>
      <c r="I5173" s="365">
        <v>1.07</v>
      </c>
      <c r="J5173" s="365"/>
      <c r="K5173" s="139">
        <f t="shared" ref="K5173:K5178" si="66">+E5173*G5173*I5173</f>
        <v>2654.2687500000002</v>
      </c>
      <c r="L5173" s="396"/>
    </row>
    <row r="5174" spans="1:12" ht="30" customHeight="1" x14ac:dyDescent="0.25">
      <c r="A5174" s="927" t="s">
        <v>426</v>
      </c>
      <c r="B5174" s="1209" t="s">
        <v>1252</v>
      </c>
      <c r="C5174" s="1210"/>
      <c r="D5174" s="1211"/>
      <c r="E5174" s="7">
        <f>+(2020+2850)/2</f>
        <v>2435</v>
      </c>
      <c r="F5174" s="396" t="s">
        <v>2820</v>
      </c>
      <c r="G5174" s="689">
        <v>1</v>
      </c>
      <c r="H5174" s="984"/>
      <c r="I5174" s="365">
        <v>1.07</v>
      </c>
      <c r="J5174" s="365"/>
      <c r="K5174" s="139">
        <f t="shared" si="66"/>
        <v>2605.4500000000003</v>
      </c>
      <c r="L5174" s="396"/>
    </row>
    <row r="5175" spans="1:12" ht="30" customHeight="1" x14ac:dyDescent="0.25">
      <c r="A5175" s="927" t="s">
        <v>430</v>
      </c>
      <c r="B5175" s="1209" t="s">
        <v>2821</v>
      </c>
      <c r="C5175" s="1210"/>
      <c r="D5175" s="1211"/>
      <c r="E5175" s="7">
        <f>+(34.5+82)/2</f>
        <v>58.25</v>
      </c>
      <c r="F5175" s="396" t="s">
        <v>40</v>
      </c>
      <c r="G5175" s="689">
        <v>10</v>
      </c>
      <c r="H5175" s="984"/>
      <c r="I5175" s="365">
        <v>1.21</v>
      </c>
      <c r="J5175" s="365"/>
      <c r="K5175" s="139">
        <f t="shared" si="66"/>
        <v>704.82499999999993</v>
      </c>
      <c r="L5175" s="396"/>
    </row>
    <row r="5176" spans="1:12" ht="30" customHeight="1" x14ac:dyDescent="0.25">
      <c r="A5176" s="927" t="s">
        <v>430</v>
      </c>
      <c r="B5176" s="1209" t="s">
        <v>433</v>
      </c>
      <c r="C5176" s="1210"/>
      <c r="D5176" s="1211"/>
      <c r="E5176" s="7">
        <f>+(6450+12300)/2</f>
        <v>9375</v>
      </c>
      <c r="F5176" s="396" t="s">
        <v>2820</v>
      </c>
      <c r="G5176" s="689">
        <v>1</v>
      </c>
      <c r="H5176" s="984"/>
      <c r="I5176" s="365">
        <v>1.21</v>
      </c>
      <c r="J5176" s="365"/>
      <c r="K5176" s="139">
        <f t="shared" si="66"/>
        <v>11343.75</v>
      </c>
      <c r="L5176" s="396"/>
    </row>
    <row r="5177" spans="1:12" ht="30" customHeight="1" x14ac:dyDescent="0.25">
      <c r="A5177" s="927" t="s">
        <v>430</v>
      </c>
      <c r="B5177" s="1616" t="s">
        <v>2822</v>
      </c>
      <c r="C5177" s="1617"/>
      <c r="D5177" s="1390"/>
      <c r="E5177" s="7">
        <f>+(660+1010)/2</f>
        <v>835</v>
      </c>
      <c r="F5177" s="396" t="s">
        <v>2820</v>
      </c>
      <c r="G5177" s="689">
        <v>1</v>
      </c>
      <c r="H5177" s="984"/>
      <c r="I5177" s="365">
        <v>1.21</v>
      </c>
      <c r="J5177" s="365"/>
      <c r="K5177" s="139">
        <f t="shared" si="66"/>
        <v>1010.35</v>
      </c>
      <c r="L5177" s="396"/>
    </row>
    <row r="5178" spans="1:12" ht="30" customHeight="1" x14ac:dyDescent="0.25">
      <c r="A5178" s="927" t="s">
        <v>430</v>
      </c>
      <c r="B5178" s="1209" t="s">
        <v>435</v>
      </c>
      <c r="C5178" s="1210"/>
      <c r="D5178" s="1211"/>
      <c r="E5178" s="7">
        <f>+(1160+3475)/2</f>
        <v>2317.5</v>
      </c>
      <c r="F5178" s="396" t="s">
        <v>2820</v>
      </c>
      <c r="G5178" s="689">
        <v>1</v>
      </c>
      <c r="H5178" s="984"/>
      <c r="I5178" s="365">
        <v>1.21</v>
      </c>
      <c r="J5178" s="365"/>
      <c r="K5178" s="139">
        <f t="shared" si="66"/>
        <v>2804.1749999999997</v>
      </c>
      <c r="L5178" s="396"/>
    </row>
    <row r="5179" spans="1:12" ht="30" customHeight="1" x14ac:dyDescent="0.25">
      <c r="A5179" s="366"/>
      <c r="B5179" s="1285" t="s">
        <v>2823</v>
      </c>
      <c r="C5179" s="1286"/>
      <c r="D5179" s="1287"/>
      <c r="E5179" s="366"/>
      <c r="F5179" s="366"/>
      <c r="G5179" s="366"/>
      <c r="H5179" s="366"/>
      <c r="I5179" s="365"/>
      <c r="J5179" s="365"/>
      <c r="K5179" s="252"/>
      <c r="L5179" s="366"/>
    </row>
    <row r="5180" spans="1:12" ht="30" customHeight="1" x14ac:dyDescent="0.25">
      <c r="A5180" s="365" t="s">
        <v>430</v>
      </c>
      <c r="B5180" s="1229" t="s">
        <v>2824</v>
      </c>
      <c r="C5180" s="1288"/>
      <c r="D5180" s="1289"/>
      <c r="E5180" s="246">
        <v>1.21</v>
      </c>
      <c r="F5180" s="365" t="s">
        <v>76</v>
      </c>
      <c r="G5180" s="366">
        <v>1</v>
      </c>
      <c r="H5180" s="366" t="s">
        <v>76</v>
      </c>
      <c r="I5180" s="365">
        <v>1.05</v>
      </c>
      <c r="J5180" s="365"/>
      <c r="K5180" s="252">
        <f>+E5180*G5180*I5180</f>
        <v>1.2705</v>
      </c>
      <c r="L5180" s="366"/>
    </row>
    <row r="5181" spans="1:12" ht="30" customHeight="1" x14ac:dyDescent="0.25">
      <c r="A5181" s="365" t="s">
        <v>430</v>
      </c>
      <c r="B5181" s="1229" t="s">
        <v>2825</v>
      </c>
      <c r="C5181" s="1288"/>
      <c r="D5181" s="1289"/>
      <c r="E5181" s="246">
        <f>+(940+1320)/2</f>
        <v>1130</v>
      </c>
      <c r="F5181" s="365" t="s">
        <v>76</v>
      </c>
      <c r="G5181" s="366">
        <v>1</v>
      </c>
      <c r="H5181" s="366" t="s">
        <v>76</v>
      </c>
      <c r="I5181" s="365">
        <v>1.21</v>
      </c>
      <c r="J5181" s="365"/>
      <c r="K5181" s="252">
        <f>+E5181*G5181*I5181</f>
        <v>1367.3</v>
      </c>
      <c r="L5181" s="366"/>
    </row>
    <row r="5182" spans="1:12" ht="30" customHeight="1" x14ac:dyDescent="0.25">
      <c r="A5182" s="366"/>
      <c r="B5182" s="1269"/>
      <c r="C5182" s="1269"/>
      <c r="D5182" s="1269"/>
      <c r="E5182" s="247"/>
      <c r="F5182" s="365"/>
      <c r="G5182" s="365"/>
      <c r="H5182" s="365"/>
      <c r="I5182" s="367"/>
      <c r="J5182" s="365" t="s">
        <v>408</v>
      </c>
      <c r="K5182" s="252">
        <f>SUM(K5170:K5181)</f>
        <v>446789.53924999997</v>
      </c>
      <c r="L5182" s="365" t="s">
        <v>76</v>
      </c>
    </row>
    <row r="5183" spans="1:12" ht="30" customHeight="1" x14ac:dyDescent="0.25">
      <c r="A5183" s="365"/>
      <c r="B5183" s="578"/>
      <c r="C5183" s="578"/>
      <c r="D5183" s="578"/>
      <c r="E5183" s="247"/>
      <c r="F5183" s="1272" t="s">
        <v>303</v>
      </c>
      <c r="G5183" s="1283" t="s">
        <v>304</v>
      </c>
      <c r="H5183" s="1283"/>
      <c r="I5183" s="1283"/>
      <c r="J5183" s="1283"/>
      <c r="K5183" s="251">
        <v>1.06</v>
      </c>
      <c r="L5183" s="365"/>
    </row>
    <row r="5184" spans="1:12" ht="30" customHeight="1" x14ac:dyDescent="0.25">
      <c r="A5184" s="365"/>
      <c r="B5184" s="578"/>
      <c r="C5184" s="578"/>
      <c r="D5184" s="578"/>
      <c r="E5184" s="247"/>
      <c r="F5184" s="1273"/>
      <c r="G5184" s="1284" t="s">
        <v>305</v>
      </c>
      <c r="H5184" s="1284"/>
      <c r="I5184" s="1284"/>
      <c r="J5184" s="1284"/>
      <c r="K5184" s="251">
        <v>1.06</v>
      </c>
      <c r="L5184" s="365"/>
    </row>
    <row r="5185" spans="1:12" ht="30" customHeight="1" x14ac:dyDescent="0.25">
      <c r="A5185" s="366"/>
      <c r="B5185" s="365"/>
      <c r="C5185" s="366"/>
      <c r="D5185" s="366"/>
      <c r="E5185" s="366"/>
      <c r="F5185" s="366"/>
      <c r="G5185" s="366"/>
      <c r="H5185" s="366"/>
      <c r="I5185" s="367"/>
      <c r="J5185" s="365" t="s">
        <v>72</v>
      </c>
      <c r="K5185" s="252">
        <f>+K5182*K5183/K5184</f>
        <v>446789.53924999997</v>
      </c>
      <c r="L5185" s="365" t="s">
        <v>76</v>
      </c>
    </row>
    <row r="5186" spans="1:12" ht="30" customHeight="1" x14ac:dyDescent="0.25">
      <c r="A5186" s="366"/>
      <c r="B5186" s="365"/>
      <c r="C5186" s="366"/>
      <c r="D5186" s="366"/>
      <c r="E5186" s="366"/>
      <c r="F5186" s="366"/>
      <c r="G5186" s="398" t="s">
        <v>414</v>
      </c>
      <c r="H5186" s="366"/>
      <c r="I5186" s="367"/>
      <c r="J5186" s="521">
        <f>VLOOKUP(B5167,'Mil Cost Premiums for PUCs'!$A$4:$R$277,18,FALSE)</f>
        <v>1.0517127009999996</v>
      </c>
      <c r="K5186" s="252">
        <f>+K5185*J5186</f>
        <v>469894.23310316278</v>
      </c>
      <c r="L5186" s="365" t="s">
        <v>76</v>
      </c>
    </row>
    <row r="5187" spans="1:12" ht="75" customHeight="1" x14ac:dyDescent="0.25">
      <c r="A5187" s="1230" t="s">
        <v>307</v>
      </c>
      <c r="B5187" s="1231"/>
      <c r="C5187" s="1231"/>
      <c r="D5187" s="1231"/>
      <c r="E5187" s="1231"/>
      <c r="F5187" s="1231"/>
      <c r="G5187" s="1231"/>
      <c r="H5187" s="1231"/>
      <c r="I5187" s="1231"/>
      <c r="J5187" s="1231"/>
      <c r="K5187" s="1231"/>
      <c r="L5187" s="1232"/>
    </row>
    <row r="5188" spans="1:12" ht="30" customHeight="1" x14ac:dyDescent="0.25">
      <c r="A5188" s="1268" t="s">
        <v>308</v>
      </c>
      <c r="B5188" s="1167"/>
      <c r="C5188" s="1168"/>
      <c r="D5188" s="1230" t="s">
        <v>2826</v>
      </c>
      <c r="E5188" s="1231"/>
      <c r="F5188" s="1231"/>
      <c r="G5188" s="1231"/>
      <c r="H5188" s="1231"/>
      <c r="I5188" s="1231"/>
      <c r="J5188" s="1231"/>
      <c r="K5188" s="1231"/>
      <c r="L5188" s="1232"/>
    </row>
    <row r="5189" spans="1:12" ht="30" customHeight="1" x14ac:dyDescent="0.25">
      <c r="A5189" s="1268" t="s">
        <v>310</v>
      </c>
      <c r="B5189" s="1167"/>
      <c r="C5189" s="1168"/>
      <c r="D5189" s="1230" t="s">
        <v>2827</v>
      </c>
      <c r="E5189" s="1231"/>
      <c r="F5189" s="1231"/>
      <c r="G5189" s="1231"/>
      <c r="H5189" s="1231"/>
      <c r="I5189" s="1231"/>
      <c r="J5189" s="1231"/>
      <c r="K5189" s="1231"/>
      <c r="L5189" s="1232"/>
    </row>
    <row r="5190" spans="1:12" ht="30" customHeight="1" x14ac:dyDescent="0.25">
      <c r="A5190" s="1268" t="s">
        <v>312</v>
      </c>
      <c r="B5190" s="1167"/>
      <c r="C5190" s="1168"/>
      <c r="D5190" s="1230" t="s">
        <v>2828</v>
      </c>
      <c r="E5190" s="1231"/>
      <c r="F5190" s="1231"/>
      <c r="G5190" s="1231"/>
      <c r="H5190" s="1231"/>
      <c r="I5190" s="1231"/>
      <c r="J5190" s="1231"/>
      <c r="K5190" s="1231"/>
      <c r="L5190" s="1232"/>
    </row>
    <row r="5191" spans="1:12" ht="30" customHeight="1" x14ac:dyDescent="0.25">
      <c r="A5191" s="1268" t="s">
        <v>314</v>
      </c>
      <c r="B5191" s="1167"/>
      <c r="C5191" s="1168"/>
      <c r="D5191" s="1230" t="s">
        <v>2829</v>
      </c>
      <c r="E5191" s="1231"/>
      <c r="F5191" s="1231"/>
      <c r="G5191" s="1231"/>
      <c r="H5191" s="1231"/>
      <c r="I5191" s="1231"/>
      <c r="J5191" s="1231"/>
      <c r="K5191" s="1231"/>
      <c r="L5191" s="1232"/>
    </row>
    <row r="5192" spans="1:12" ht="30" customHeight="1" x14ac:dyDescent="0.25">
      <c r="A5192" s="1268" t="s">
        <v>316</v>
      </c>
      <c r="B5192" s="1167"/>
      <c r="C5192" s="1168"/>
      <c r="D5192" s="1230" t="s">
        <v>2830</v>
      </c>
      <c r="E5192" s="1231"/>
      <c r="F5192" s="1231"/>
      <c r="G5192" s="1231"/>
      <c r="H5192" s="1231"/>
      <c r="I5192" s="1231"/>
      <c r="J5192" s="1231"/>
      <c r="K5192" s="1231"/>
      <c r="L5192" s="1232"/>
    </row>
    <row r="5193" spans="1:12" ht="30" customHeight="1" x14ac:dyDescent="0.25">
      <c r="A5193" s="1268" t="s">
        <v>318</v>
      </c>
      <c r="B5193" s="1167"/>
      <c r="C5193" s="1168"/>
      <c r="D5193" s="1230" t="s">
        <v>2250</v>
      </c>
      <c r="E5193" s="1231"/>
      <c r="F5193" s="1231"/>
      <c r="G5193" s="1231"/>
      <c r="H5193" s="1231"/>
      <c r="I5193" s="1231"/>
      <c r="J5193" s="1231"/>
      <c r="K5193" s="1231"/>
      <c r="L5193" s="1232"/>
    </row>
    <row r="5194" spans="1:12" ht="30" customHeight="1" x14ac:dyDescent="0.25">
      <c r="A5194" s="1268" t="s">
        <v>320</v>
      </c>
      <c r="B5194" s="1167"/>
      <c r="C5194" s="1168"/>
      <c r="D5194" s="1230" t="s">
        <v>2831</v>
      </c>
      <c r="E5194" s="1231"/>
      <c r="F5194" s="1231"/>
      <c r="G5194" s="1231"/>
      <c r="H5194" s="1231"/>
      <c r="I5194" s="1231"/>
      <c r="J5194" s="1231"/>
      <c r="K5194" s="1231"/>
      <c r="L5194" s="1232"/>
    </row>
    <row r="5195" spans="1:12" ht="60" customHeight="1" x14ac:dyDescent="0.25">
      <c r="A5195" s="1268" t="s">
        <v>322</v>
      </c>
      <c r="B5195" s="1167"/>
      <c r="C5195" s="1168"/>
      <c r="D5195" s="1230" t="s">
        <v>1049</v>
      </c>
      <c r="E5195" s="1231"/>
      <c r="F5195" s="1231"/>
      <c r="G5195" s="1231"/>
      <c r="H5195" s="1231"/>
      <c r="I5195" s="1231"/>
      <c r="J5195" s="1231"/>
      <c r="K5195" s="1231"/>
      <c r="L5195" s="1232"/>
    </row>
    <row r="5196" spans="1:12" ht="90" customHeight="1" thickBot="1" x14ac:dyDescent="0.3">
      <c r="A5196" s="1265" t="s">
        <v>350</v>
      </c>
      <c r="B5196" s="1266"/>
      <c r="C5196" s="1267"/>
      <c r="D5196" s="1291" t="s">
        <v>3468</v>
      </c>
      <c r="E5196" s="1292"/>
      <c r="F5196" s="1292"/>
      <c r="G5196" s="1292"/>
      <c r="H5196" s="1292"/>
      <c r="I5196" s="1292"/>
      <c r="J5196" s="1292"/>
      <c r="K5196" s="1292"/>
      <c r="L5196" s="1293"/>
    </row>
    <row r="5197" spans="1:12" ht="30" customHeight="1" thickBot="1" x14ac:dyDescent="0.3">
      <c r="A5197" s="1308"/>
      <c r="B5197" s="1309"/>
      <c r="C5197" s="1309"/>
      <c r="D5197" s="1309"/>
      <c r="E5197" s="1309"/>
      <c r="F5197" s="1309"/>
      <c r="G5197" s="1309"/>
      <c r="H5197" s="1309"/>
      <c r="I5197" s="1309"/>
      <c r="J5197" s="1309"/>
      <c r="K5197" s="1309"/>
      <c r="L5197" s="1310"/>
    </row>
    <row r="5198" spans="1:12" ht="30" customHeight="1" x14ac:dyDescent="0.25">
      <c r="A5198" s="327" t="s">
        <v>5</v>
      </c>
      <c r="B5198" s="328">
        <v>8927</v>
      </c>
      <c r="C5198" s="1251" t="s">
        <v>2832</v>
      </c>
      <c r="D5198" s="1252"/>
      <c r="E5198" s="331" t="s">
        <v>8</v>
      </c>
      <c r="F5198" s="332" t="s">
        <v>76</v>
      </c>
      <c r="G5198" s="333" t="s">
        <v>7</v>
      </c>
      <c r="H5198" s="156">
        <v>1</v>
      </c>
      <c r="I5198" s="331" t="s">
        <v>10</v>
      </c>
      <c r="J5198" s="1220" t="s">
        <v>294</v>
      </c>
      <c r="K5198" s="1220"/>
      <c r="L5198" s="1221"/>
    </row>
    <row r="5199" spans="1:12" ht="30" customHeight="1" x14ac:dyDescent="0.25">
      <c r="A5199" s="359" t="s">
        <v>295</v>
      </c>
      <c r="B5199" s="1222" t="s">
        <v>326</v>
      </c>
      <c r="C5199" s="1235"/>
      <c r="D5199" s="1223"/>
      <c r="E5199" s="577" t="s">
        <v>116</v>
      </c>
      <c r="F5199" s="577" t="s">
        <v>117</v>
      </c>
      <c r="G5199" s="1194" t="s">
        <v>118</v>
      </c>
      <c r="H5199" s="1195"/>
      <c r="I5199" s="356" t="s">
        <v>296</v>
      </c>
      <c r="J5199" s="356"/>
      <c r="K5199" s="1236" t="s">
        <v>285</v>
      </c>
      <c r="L5199" s="1237"/>
    </row>
    <row r="5200" spans="1:12" ht="30" customHeight="1" x14ac:dyDescent="0.25">
      <c r="A5200" s="365" t="s">
        <v>535</v>
      </c>
      <c r="B5200" s="1209" t="s">
        <v>2833</v>
      </c>
      <c r="C5200" s="1210"/>
      <c r="D5200" s="1211"/>
      <c r="E5200" s="716">
        <v>30.5</v>
      </c>
      <c r="F5200" s="396" t="s">
        <v>537</v>
      </c>
      <c r="G5200" s="689">
        <v>900</v>
      </c>
      <c r="H5200" s="690" t="s">
        <v>2809</v>
      </c>
      <c r="I5200" s="365">
        <v>1.1200000000000001</v>
      </c>
      <c r="J5200" s="365"/>
      <c r="K5200" s="752">
        <f>+E5200*G5200*I5200</f>
        <v>30744.000000000004</v>
      </c>
      <c r="L5200" s="396" t="s">
        <v>76</v>
      </c>
    </row>
    <row r="5201" spans="1:12" ht="30" customHeight="1" x14ac:dyDescent="0.25">
      <c r="A5201" s="365"/>
      <c r="B5201" s="1214" t="s">
        <v>2834</v>
      </c>
      <c r="C5201" s="1215"/>
      <c r="D5201" s="1216"/>
      <c r="E5201" s="7"/>
      <c r="F5201" s="396"/>
      <c r="G5201" s="689"/>
      <c r="H5201" s="690"/>
      <c r="I5201" s="365"/>
      <c r="J5201" s="365"/>
      <c r="K5201" s="752"/>
      <c r="L5201" s="396"/>
    </row>
    <row r="5202" spans="1:12" ht="30" customHeight="1" x14ac:dyDescent="0.25">
      <c r="A5202" s="366"/>
      <c r="B5202" s="1269"/>
      <c r="C5202" s="1269"/>
      <c r="D5202" s="1269"/>
      <c r="E5202" s="247"/>
      <c r="F5202" s="365"/>
      <c r="G5202" s="365"/>
      <c r="H5202" s="365"/>
      <c r="I5202" s="365"/>
      <c r="J5202" s="365" t="s">
        <v>343</v>
      </c>
      <c r="K5202" s="259">
        <f>SUM(K5200:K5201)</f>
        <v>30744.000000000004</v>
      </c>
      <c r="L5202" s="365" t="s">
        <v>76</v>
      </c>
    </row>
    <row r="5203" spans="1:12" ht="30" customHeight="1" x14ac:dyDescent="0.25">
      <c r="A5203" s="365"/>
      <c r="B5203" s="578"/>
      <c r="C5203" s="578"/>
      <c r="D5203" s="578"/>
      <c r="E5203" s="247"/>
      <c r="F5203" s="1272" t="s">
        <v>303</v>
      </c>
      <c r="G5203" s="1283" t="s">
        <v>304</v>
      </c>
      <c r="H5203" s="1283"/>
      <c r="I5203" s="1283"/>
      <c r="J5203" s="1283"/>
      <c r="K5203" s="250">
        <v>1.06</v>
      </c>
      <c r="L5203" s="365"/>
    </row>
    <row r="5204" spans="1:12" ht="30" customHeight="1" x14ac:dyDescent="0.25">
      <c r="A5204" s="365"/>
      <c r="B5204" s="578"/>
      <c r="C5204" s="578"/>
      <c r="D5204" s="578"/>
      <c r="E5204" s="247"/>
      <c r="F5204" s="1273"/>
      <c r="G5204" s="1284" t="s">
        <v>305</v>
      </c>
      <c r="H5204" s="1284"/>
      <c r="I5204" s="1284"/>
      <c r="J5204" s="1284"/>
      <c r="K5204" s="250">
        <v>1.06</v>
      </c>
      <c r="L5204" s="365"/>
    </row>
    <row r="5205" spans="1:12" ht="30" customHeight="1" x14ac:dyDescent="0.25">
      <c r="A5205" s="366"/>
      <c r="B5205" s="365"/>
      <c r="C5205" s="366"/>
      <c r="D5205" s="366"/>
      <c r="E5205" s="366"/>
      <c r="F5205" s="366"/>
      <c r="G5205" s="366"/>
      <c r="H5205" s="366"/>
      <c r="I5205" s="366"/>
      <c r="J5205" s="365" t="s">
        <v>72</v>
      </c>
      <c r="K5205" s="246">
        <f>+K5202*K5203/K5204</f>
        <v>30744.000000000004</v>
      </c>
      <c r="L5205" s="365" t="s">
        <v>76</v>
      </c>
    </row>
    <row r="5206" spans="1:12" ht="30" customHeight="1" thickBot="1" x14ac:dyDescent="0.3">
      <c r="A5206" s="365"/>
      <c r="B5206" s="365"/>
      <c r="C5206" s="366"/>
      <c r="D5206" s="366"/>
      <c r="E5206" s="366"/>
      <c r="F5206" s="366"/>
      <c r="G5206" s="580" t="s">
        <v>306</v>
      </c>
      <c r="H5206" s="366"/>
      <c r="I5206" s="366"/>
      <c r="J5206" s="521">
        <f>VLOOKUP(B5198,'Mil Cost Premiums for PUCs'!$A$4:$R$277,18,FALSE)</f>
        <v>1.0209999999999999</v>
      </c>
      <c r="K5206" s="246">
        <f>+K5205*J5206</f>
        <v>31389.624</v>
      </c>
      <c r="L5206" s="365" t="s">
        <v>76</v>
      </c>
    </row>
    <row r="5207" spans="1:12" ht="30" customHeight="1" thickBot="1" x14ac:dyDescent="0.3">
      <c r="A5207" s="1180"/>
      <c r="B5207" s="1181"/>
      <c r="C5207" s="1181"/>
      <c r="D5207" s="1181"/>
      <c r="E5207" s="1181"/>
      <c r="F5207" s="1181"/>
      <c r="G5207" s="1181"/>
      <c r="H5207" s="1181"/>
      <c r="I5207" s="1181"/>
      <c r="J5207" s="1181"/>
      <c r="K5207" s="1181"/>
      <c r="L5207" s="1182"/>
    </row>
    <row r="5208" spans="1:12" ht="30" customHeight="1" x14ac:dyDescent="0.25">
      <c r="A5208" s="327" t="s">
        <v>5</v>
      </c>
      <c r="B5208" s="328">
        <v>8928</v>
      </c>
      <c r="C5208" s="1251" t="s">
        <v>2835</v>
      </c>
      <c r="D5208" s="1252"/>
      <c r="E5208" s="331" t="s">
        <v>8</v>
      </c>
      <c r="F5208" s="332" t="s">
        <v>76</v>
      </c>
      <c r="G5208" s="333" t="s">
        <v>7</v>
      </c>
      <c r="H5208" s="156">
        <v>1</v>
      </c>
      <c r="I5208" s="331" t="s">
        <v>10</v>
      </c>
      <c r="J5208" s="1220" t="s">
        <v>294</v>
      </c>
      <c r="K5208" s="1220"/>
      <c r="L5208" s="1221"/>
    </row>
    <row r="5209" spans="1:12" ht="30" customHeight="1" x14ac:dyDescent="0.25">
      <c r="A5209" s="359" t="s">
        <v>295</v>
      </c>
      <c r="B5209" s="1222" t="s">
        <v>326</v>
      </c>
      <c r="C5209" s="1235"/>
      <c r="D5209" s="1223"/>
      <c r="E5209" s="577" t="s">
        <v>116</v>
      </c>
      <c r="F5209" s="577" t="s">
        <v>117</v>
      </c>
      <c r="G5209" s="1194" t="s">
        <v>118</v>
      </c>
      <c r="H5209" s="1195"/>
      <c r="I5209" s="356" t="s">
        <v>296</v>
      </c>
      <c r="J5209" s="356"/>
      <c r="K5209" s="1236" t="s">
        <v>285</v>
      </c>
      <c r="L5209" s="1237"/>
    </row>
    <row r="5210" spans="1:12" ht="30" customHeight="1" x14ac:dyDescent="0.25">
      <c r="A5210" s="365" t="s">
        <v>436</v>
      </c>
      <c r="B5210" s="1209" t="s">
        <v>2836</v>
      </c>
      <c r="C5210" s="1210"/>
      <c r="D5210" s="1211"/>
      <c r="E5210" s="716">
        <f>+(43.75+64)/2</f>
        <v>53.875</v>
      </c>
      <c r="F5210" s="396" t="s">
        <v>205</v>
      </c>
      <c r="G5210" s="689">
        <v>360</v>
      </c>
      <c r="H5210" s="690" t="s">
        <v>329</v>
      </c>
      <c r="I5210" s="365">
        <v>1.22</v>
      </c>
      <c r="J5210" s="365"/>
      <c r="K5210" s="752">
        <f>+E5210*G5210*I5210</f>
        <v>23661.899999999998</v>
      </c>
      <c r="L5210" s="396" t="s">
        <v>76</v>
      </c>
    </row>
    <row r="5211" spans="1:12" ht="30" customHeight="1" x14ac:dyDescent="0.25">
      <c r="A5211" s="365"/>
      <c r="B5211" s="1214" t="s">
        <v>2837</v>
      </c>
      <c r="C5211" s="1215"/>
      <c r="D5211" s="1216"/>
      <c r="E5211" s="247"/>
      <c r="F5211" s="1272" t="s">
        <v>303</v>
      </c>
      <c r="G5211" s="1283" t="s">
        <v>304</v>
      </c>
      <c r="H5211" s="1283"/>
      <c r="I5211" s="1283"/>
      <c r="J5211" s="1283"/>
      <c r="K5211" s="250">
        <v>1.06</v>
      </c>
      <c r="L5211" s="365"/>
    </row>
    <row r="5212" spans="1:12" ht="30" customHeight="1" x14ac:dyDescent="0.25">
      <c r="A5212" s="365"/>
      <c r="B5212" s="578"/>
      <c r="C5212" s="578"/>
      <c r="D5212" s="578"/>
      <c r="E5212" s="247"/>
      <c r="F5212" s="1273"/>
      <c r="G5212" s="1284" t="s">
        <v>305</v>
      </c>
      <c r="H5212" s="1284"/>
      <c r="I5212" s="1284"/>
      <c r="J5212" s="1284"/>
      <c r="K5212" s="250">
        <v>1.06</v>
      </c>
      <c r="L5212" s="365"/>
    </row>
    <row r="5213" spans="1:12" ht="30" customHeight="1" x14ac:dyDescent="0.25">
      <c r="A5213" s="366"/>
      <c r="B5213" s="1214"/>
      <c r="C5213" s="1215"/>
      <c r="D5213" s="1216"/>
      <c r="E5213" s="247"/>
      <c r="F5213" s="396"/>
      <c r="G5213" s="661"/>
      <c r="H5213" s="698"/>
      <c r="I5213" s="365"/>
      <c r="J5213" s="365" t="s">
        <v>72</v>
      </c>
      <c r="K5213" s="259">
        <f>+K5210*K5211/K5212</f>
        <v>23661.899999999998</v>
      </c>
      <c r="L5213" s="396" t="s">
        <v>76</v>
      </c>
    </row>
    <row r="5214" spans="1:12" ht="30" customHeight="1" thickBot="1" x14ac:dyDescent="0.3">
      <c r="A5214" s="365"/>
      <c r="B5214" s="365"/>
      <c r="C5214" s="366"/>
      <c r="D5214" s="366"/>
      <c r="E5214" s="366"/>
      <c r="F5214" s="366"/>
      <c r="G5214" s="580" t="s">
        <v>306</v>
      </c>
      <c r="H5214" s="366"/>
      <c r="I5214" s="366"/>
      <c r="J5214" s="521">
        <f>VLOOKUP(B5208,'Mil Cost Premiums for PUCs'!$A$4:$R$277,18,FALSE)</f>
        <v>1.0209999999999999</v>
      </c>
      <c r="K5214" s="246">
        <f>+K5213*J5214</f>
        <v>24158.799899999995</v>
      </c>
      <c r="L5214" s="365" t="s">
        <v>76</v>
      </c>
    </row>
    <row r="5215" spans="1:12" ht="30" customHeight="1" thickBot="1" x14ac:dyDescent="0.3">
      <c r="A5215" s="1180"/>
      <c r="B5215" s="1181"/>
      <c r="C5215" s="1181"/>
      <c r="D5215" s="1181"/>
      <c r="E5215" s="1181"/>
      <c r="F5215" s="1181"/>
      <c r="G5215" s="1181"/>
      <c r="H5215" s="1181"/>
      <c r="I5215" s="1181"/>
      <c r="J5215" s="1181"/>
      <c r="K5215" s="1181"/>
      <c r="L5215" s="1182"/>
    </row>
    <row r="5216" spans="1:12" ht="30" customHeight="1" x14ac:dyDescent="0.25">
      <c r="A5216" s="327" t="s">
        <v>5</v>
      </c>
      <c r="B5216" s="328">
        <v>8930</v>
      </c>
      <c r="C5216" s="1251" t="s">
        <v>2838</v>
      </c>
      <c r="D5216" s="1252"/>
      <c r="E5216" s="331" t="s">
        <v>8</v>
      </c>
      <c r="F5216" s="332" t="s">
        <v>40</v>
      </c>
      <c r="G5216" s="342" t="s">
        <v>74</v>
      </c>
      <c r="H5216" s="156">
        <v>4128</v>
      </c>
      <c r="I5216" s="331" t="s">
        <v>10</v>
      </c>
      <c r="J5216" s="1220" t="s">
        <v>294</v>
      </c>
      <c r="K5216" s="1220"/>
      <c r="L5216" s="1221"/>
    </row>
    <row r="5217" spans="1:12" ht="30" customHeight="1" x14ac:dyDescent="0.25">
      <c r="A5217" s="359" t="s">
        <v>295</v>
      </c>
      <c r="B5217" s="1222" t="s">
        <v>326</v>
      </c>
      <c r="C5217" s="1235"/>
      <c r="D5217" s="1223"/>
      <c r="E5217" s="577" t="s">
        <v>116</v>
      </c>
      <c r="F5217" s="577" t="s">
        <v>117</v>
      </c>
      <c r="G5217" s="1194" t="s">
        <v>118</v>
      </c>
      <c r="H5217" s="1195"/>
      <c r="I5217" s="356" t="s">
        <v>296</v>
      </c>
      <c r="J5217" s="356"/>
      <c r="K5217" s="1236" t="s">
        <v>285</v>
      </c>
      <c r="L5217" s="1237"/>
    </row>
    <row r="5218" spans="1:12" ht="30" customHeight="1" x14ac:dyDescent="0.25">
      <c r="A5218" s="365" t="s">
        <v>339</v>
      </c>
      <c r="B5218" s="1214" t="s">
        <v>2839</v>
      </c>
      <c r="C5218" s="1215"/>
      <c r="D5218" s="1216"/>
      <c r="E5218" s="716">
        <v>19.95</v>
      </c>
      <c r="F5218" s="396" t="s">
        <v>40</v>
      </c>
      <c r="G5218" s="689"/>
      <c r="H5218" s="690"/>
      <c r="I5218" s="365">
        <v>1.21</v>
      </c>
      <c r="J5218" s="365"/>
      <c r="K5218" s="752">
        <f>+E5218*I5218</f>
        <v>24.139499999999998</v>
      </c>
      <c r="L5218" s="396" t="s">
        <v>40</v>
      </c>
    </row>
    <row r="5219" spans="1:12" ht="30" customHeight="1" x14ac:dyDescent="0.25">
      <c r="A5219" s="365" t="s">
        <v>339</v>
      </c>
      <c r="B5219" s="1214" t="s">
        <v>2840</v>
      </c>
      <c r="C5219" s="1215"/>
      <c r="D5219" s="1216"/>
      <c r="E5219" s="7">
        <v>19.7</v>
      </c>
      <c r="F5219" s="396" t="s">
        <v>40</v>
      </c>
      <c r="G5219" s="689"/>
      <c r="H5219" s="690"/>
      <c r="I5219" s="365">
        <v>1.21</v>
      </c>
      <c r="J5219" s="365"/>
      <c r="K5219" s="752">
        <f>+E5219*I5219</f>
        <v>23.837</v>
      </c>
      <c r="L5219" s="396" t="s">
        <v>40</v>
      </c>
    </row>
    <row r="5220" spans="1:12" ht="30" customHeight="1" x14ac:dyDescent="0.25">
      <c r="A5220" s="366"/>
      <c r="B5220" s="1269"/>
      <c r="C5220" s="1269"/>
      <c r="D5220" s="1269"/>
      <c r="E5220" s="247"/>
      <c r="F5220" s="365"/>
      <c r="G5220" s="365"/>
      <c r="H5220" s="365"/>
      <c r="I5220" s="365"/>
      <c r="J5220" s="365" t="s">
        <v>300</v>
      </c>
      <c r="K5220" s="259">
        <f>AVERAGE(K5218:K5219)</f>
        <v>23.988250000000001</v>
      </c>
      <c r="L5220" s="365" t="s">
        <v>40</v>
      </c>
    </row>
    <row r="5221" spans="1:12" ht="30" customHeight="1" x14ac:dyDescent="0.25">
      <c r="A5221" s="365"/>
      <c r="B5221" s="1214"/>
      <c r="C5221" s="1215"/>
      <c r="D5221" s="1216"/>
      <c r="E5221" s="247"/>
      <c r="F5221" s="1272" t="s">
        <v>303</v>
      </c>
      <c r="G5221" s="1283" t="s">
        <v>304</v>
      </c>
      <c r="H5221" s="1283"/>
      <c r="I5221" s="1283"/>
      <c r="J5221" s="1283"/>
      <c r="K5221" s="251">
        <v>1.06</v>
      </c>
      <c r="L5221" s="365"/>
    </row>
    <row r="5222" spans="1:12" ht="30" customHeight="1" x14ac:dyDescent="0.25">
      <c r="A5222" s="365"/>
      <c r="B5222" s="578"/>
      <c r="C5222" s="578"/>
      <c r="D5222" s="578"/>
      <c r="E5222" s="247"/>
      <c r="F5222" s="1273"/>
      <c r="G5222" s="1284" t="s">
        <v>305</v>
      </c>
      <c r="H5222" s="1284"/>
      <c r="I5222" s="1284"/>
      <c r="J5222" s="1284"/>
      <c r="K5222" s="251">
        <v>1.06</v>
      </c>
      <c r="L5222" s="365"/>
    </row>
    <row r="5223" spans="1:12" ht="30" customHeight="1" x14ac:dyDescent="0.25">
      <c r="A5223" s="366"/>
      <c r="B5223" s="365"/>
      <c r="C5223" s="366"/>
      <c r="D5223" s="366"/>
      <c r="E5223" s="366"/>
      <c r="F5223" s="366"/>
      <c r="G5223" s="366"/>
      <c r="H5223" s="366"/>
      <c r="I5223" s="366"/>
      <c r="J5223" s="365" t="s">
        <v>72</v>
      </c>
      <c r="K5223" s="246">
        <f>+K5220*K5221/K5222</f>
        <v>23.988250000000001</v>
      </c>
      <c r="L5223" s="365" t="s">
        <v>40</v>
      </c>
    </row>
    <row r="5224" spans="1:12" ht="30" customHeight="1" thickBot="1" x14ac:dyDescent="0.3">
      <c r="A5224" s="365"/>
      <c r="B5224" s="365"/>
      <c r="C5224" s="366"/>
      <c r="D5224" s="366"/>
      <c r="E5224" s="366"/>
      <c r="F5224" s="366"/>
      <c r="G5224" s="580" t="s">
        <v>306</v>
      </c>
      <c r="H5224" s="366"/>
      <c r="I5224" s="366"/>
      <c r="J5224" s="521">
        <f>VLOOKUP(B5216,'Mil Cost Premiums for PUCs'!$A$4:$R$277,18,FALSE)</f>
        <v>1.0905505199999999</v>
      </c>
      <c r="K5224" s="246">
        <f>+K5223*J5224</f>
        <v>26.160398511389996</v>
      </c>
      <c r="L5224" s="365" t="s">
        <v>40</v>
      </c>
    </row>
    <row r="5225" spans="1:12" ht="30" customHeight="1" thickBot="1" x14ac:dyDescent="0.3">
      <c r="A5225" s="1180"/>
      <c r="B5225" s="1181"/>
      <c r="C5225" s="1181"/>
      <c r="D5225" s="1181"/>
      <c r="E5225" s="1181"/>
      <c r="F5225" s="1181"/>
      <c r="G5225" s="1181"/>
      <c r="H5225" s="1181"/>
      <c r="I5225" s="1181"/>
      <c r="J5225" s="1181"/>
      <c r="K5225" s="1181"/>
      <c r="L5225" s="1182"/>
    </row>
    <row r="5226" spans="1:12" ht="30" customHeight="1" x14ac:dyDescent="0.25">
      <c r="A5226" s="327" t="s">
        <v>5</v>
      </c>
      <c r="B5226" s="328">
        <v>8931</v>
      </c>
      <c r="C5226" s="1251" t="s">
        <v>2841</v>
      </c>
      <c r="D5226" s="1252"/>
      <c r="E5226" s="331" t="s">
        <v>8</v>
      </c>
      <c r="F5226" s="332" t="s">
        <v>40</v>
      </c>
      <c r="G5226" s="342" t="s">
        <v>74</v>
      </c>
      <c r="H5226" s="156">
        <v>5362</v>
      </c>
      <c r="I5226" s="331" t="s">
        <v>10</v>
      </c>
      <c r="J5226" s="1220" t="s">
        <v>3388</v>
      </c>
      <c r="K5226" s="1220"/>
      <c r="L5226" s="1221"/>
    </row>
    <row r="5227" spans="1:12" ht="30" customHeight="1" x14ac:dyDescent="0.25">
      <c r="A5227" s="359" t="s">
        <v>295</v>
      </c>
      <c r="B5227" s="1222" t="s">
        <v>326</v>
      </c>
      <c r="C5227" s="1235"/>
      <c r="D5227" s="1223"/>
      <c r="E5227" s="577" t="s">
        <v>116</v>
      </c>
      <c r="F5227" s="577" t="s">
        <v>117</v>
      </c>
      <c r="G5227" s="1194" t="s">
        <v>118</v>
      </c>
      <c r="H5227" s="1195"/>
      <c r="I5227" s="356" t="s">
        <v>296</v>
      </c>
      <c r="J5227" s="356" t="s">
        <v>2842</v>
      </c>
      <c r="K5227" s="1236" t="s">
        <v>285</v>
      </c>
      <c r="L5227" s="1237"/>
    </row>
    <row r="5228" spans="1:12" ht="30" customHeight="1" x14ac:dyDescent="0.25">
      <c r="A5228" s="365" t="s">
        <v>535</v>
      </c>
      <c r="B5228" s="1209" t="s">
        <v>2843</v>
      </c>
      <c r="C5228" s="1210"/>
      <c r="D5228" s="1211"/>
      <c r="E5228" s="716">
        <v>23.9</v>
      </c>
      <c r="F5228" s="396" t="s">
        <v>537</v>
      </c>
      <c r="G5228" s="689">
        <v>35</v>
      </c>
      <c r="H5228" s="690" t="s">
        <v>2844</v>
      </c>
      <c r="I5228" s="365">
        <v>1.07</v>
      </c>
      <c r="J5228" s="365"/>
      <c r="K5228" s="752">
        <f>+E5228*G5228*I5228</f>
        <v>895.05500000000006</v>
      </c>
      <c r="L5228" s="396" t="s">
        <v>40</v>
      </c>
    </row>
    <row r="5229" spans="1:12" ht="30" customHeight="1" x14ac:dyDescent="0.25">
      <c r="A5229" s="365" t="s">
        <v>535</v>
      </c>
      <c r="B5229" s="1209" t="s">
        <v>2845</v>
      </c>
      <c r="C5229" s="1210"/>
      <c r="D5229" s="1211"/>
      <c r="E5229" s="7">
        <v>23.9</v>
      </c>
      <c r="F5229" s="396" t="s">
        <v>537</v>
      </c>
      <c r="G5229" s="689">
        <v>2</v>
      </c>
      <c r="H5229" s="690" t="s">
        <v>2844</v>
      </c>
      <c r="I5229" s="365">
        <v>1.07</v>
      </c>
      <c r="J5229" s="365"/>
      <c r="K5229" s="752">
        <f>+E5229*G5229*I5229</f>
        <v>51.146000000000001</v>
      </c>
      <c r="L5229" s="396" t="s">
        <v>40</v>
      </c>
    </row>
    <row r="5230" spans="1:12" ht="30" customHeight="1" x14ac:dyDescent="0.25">
      <c r="A5230" s="366"/>
      <c r="B5230" s="1269" t="s">
        <v>2846</v>
      </c>
      <c r="C5230" s="1269"/>
      <c r="D5230" s="1269"/>
      <c r="E5230" s="247"/>
      <c r="F5230" s="365"/>
      <c r="G5230" s="365"/>
      <c r="H5230" s="365"/>
      <c r="I5230" s="365"/>
      <c r="J5230" s="365" t="s">
        <v>2847</v>
      </c>
      <c r="K5230" s="259">
        <f>+((K5228*0.12)+(K5229*0.88))/2</f>
        <v>76.207539999999995</v>
      </c>
      <c r="L5230" s="365" t="s">
        <v>40</v>
      </c>
    </row>
    <row r="5231" spans="1:12" ht="30" customHeight="1" x14ac:dyDescent="0.25">
      <c r="A5231" s="365"/>
      <c r="B5231" s="1214"/>
      <c r="C5231" s="1215"/>
      <c r="D5231" s="1216"/>
      <c r="E5231" s="247"/>
      <c r="F5231" s="1272" t="s">
        <v>303</v>
      </c>
      <c r="G5231" s="1283" t="s">
        <v>304</v>
      </c>
      <c r="H5231" s="1283"/>
      <c r="I5231" s="1283"/>
      <c r="J5231" s="1283"/>
      <c r="K5231" s="250">
        <v>1.07</v>
      </c>
      <c r="L5231" s="365"/>
    </row>
    <row r="5232" spans="1:12" ht="30" customHeight="1" x14ac:dyDescent="0.25">
      <c r="A5232" s="365"/>
      <c r="B5232" s="578"/>
      <c r="C5232" s="578"/>
      <c r="D5232" s="578"/>
      <c r="E5232" s="247"/>
      <c r="F5232" s="1273"/>
      <c r="G5232" s="1284" t="s">
        <v>438</v>
      </c>
      <c r="H5232" s="1284"/>
      <c r="I5232" s="1284"/>
      <c r="J5232" s="1284"/>
      <c r="K5232" s="250">
        <v>1.08</v>
      </c>
      <c r="L5232" s="365"/>
    </row>
    <row r="5233" spans="1:19" ht="30" customHeight="1" x14ac:dyDescent="0.25">
      <c r="A5233" s="366"/>
      <c r="B5233" s="365"/>
      <c r="C5233" s="366"/>
      <c r="D5233" s="366"/>
      <c r="E5233" s="366"/>
      <c r="F5233" s="366"/>
      <c r="G5233" s="366"/>
      <c r="H5233" s="366"/>
      <c r="I5233" s="366"/>
      <c r="J5233" s="366" t="s">
        <v>72</v>
      </c>
      <c r="K5233" s="246">
        <f>+K5230*K5231/K5232</f>
        <v>75.501914629629624</v>
      </c>
      <c r="L5233" s="365" t="s">
        <v>40</v>
      </c>
    </row>
    <row r="5234" spans="1:19" ht="30" customHeight="1" x14ac:dyDescent="0.25">
      <c r="A5234" s="365"/>
      <c r="B5234" s="365"/>
      <c r="C5234" s="366"/>
      <c r="D5234" s="366"/>
      <c r="E5234" s="366"/>
      <c r="F5234" s="366"/>
      <c r="G5234" s="580" t="s">
        <v>306</v>
      </c>
      <c r="H5234" s="366"/>
      <c r="I5234" s="366"/>
      <c r="J5234" s="521">
        <f>VLOOKUP(B5226,'Mil Cost Premiums for PUCs'!$A$4:$R$277,18,FALSE)</f>
        <v>1.0905505199999999</v>
      </c>
      <c r="K5234" s="246">
        <f>+K5233*J5234</f>
        <v>82.338652260338179</v>
      </c>
      <c r="L5234" s="365" t="s">
        <v>40</v>
      </c>
    </row>
    <row r="5235" spans="1:19" ht="30" customHeight="1" thickBot="1" x14ac:dyDescent="0.3">
      <c r="A5235" s="844"/>
      <c r="B5235" s="844"/>
      <c r="C5235" s="471"/>
      <c r="D5235" s="471"/>
      <c r="E5235" s="471"/>
      <c r="F5235" s="1278" t="s">
        <v>1148</v>
      </c>
      <c r="G5235" s="1278"/>
      <c r="H5235" s="1278"/>
      <c r="I5235" s="1278"/>
      <c r="J5235" s="987">
        <v>1.0833999999999999</v>
      </c>
      <c r="K5235" s="1060">
        <f>K5234*J5235</f>
        <v>89.205695858850376</v>
      </c>
      <c r="L5235" s="365" t="s">
        <v>40</v>
      </c>
      <c r="O5235" s="336"/>
      <c r="P5235" s="334"/>
      <c r="Q5235" s="335"/>
      <c r="R5235" s="336"/>
      <c r="S5235" s="337"/>
    </row>
    <row r="5236" spans="1:19" ht="30" customHeight="1" thickBot="1" x14ac:dyDescent="0.3">
      <c r="A5236" s="1180"/>
      <c r="B5236" s="1181"/>
      <c r="C5236" s="1181"/>
      <c r="D5236" s="1181"/>
      <c r="E5236" s="1181"/>
      <c r="F5236" s="1181"/>
      <c r="G5236" s="1181"/>
      <c r="H5236" s="1181"/>
      <c r="I5236" s="1181"/>
      <c r="J5236" s="1181"/>
      <c r="K5236" s="1181"/>
      <c r="L5236" s="1182"/>
    </row>
    <row r="5237" spans="1:19" ht="30" customHeight="1" x14ac:dyDescent="0.25">
      <c r="A5237" s="327" t="s">
        <v>5</v>
      </c>
      <c r="B5237" s="328">
        <v>8932</v>
      </c>
      <c r="C5237" s="1364" t="s">
        <v>2848</v>
      </c>
      <c r="D5237" s="1365"/>
      <c r="E5237" s="331" t="s">
        <v>8</v>
      </c>
      <c r="F5237" s="332" t="s">
        <v>40</v>
      </c>
      <c r="G5237" s="342" t="s">
        <v>74</v>
      </c>
      <c r="H5237" s="156">
        <v>15956</v>
      </c>
      <c r="I5237" s="331" t="s">
        <v>10</v>
      </c>
      <c r="J5237" s="1220" t="s">
        <v>3388</v>
      </c>
      <c r="K5237" s="1220"/>
      <c r="L5237" s="1221"/>
    </row>
    <row r="5238" spans="1:19" ht="30" customHeight="1" x14ac:dyDescent="0.25">
      <c r="A5238" s="359" t="s">
        <v>295</v>
      </c>
      <c r="B5238" s="1222" t="s">
        <v>326</v>
      </c>
      <c r="C5238" s="1235"/>
      <c r="D5238" s="1223"/>
      <c r="E5238" s="577" t="s">
        <v>116</v>
      </c>
      <c r="F5238" s="577" t="s">
        <v>117</v>
      </c>
      <c r="G5238" s="1194" t="s">
        <v>118</v>
      </c>
      <c r="H5238" s="1195"/>
      <c r="I5238" s="356" t="s">
        <v>296</v>
      </c>
      <c r="J5238" s="356"/>
      <c r="K5238" s="1236" t="s">
        <v>285</v>
      </c>
      <c r="L5238" s="1237"/>
    </row>
    <row r="5239" spans="1:19" ht="30" customHeight="1" x14ac:dyDescent="0.25">
      <c r="A5239" s="365" t="s">
        <v>535</v>
      </c>
      <c r="B5239" s="1209" t="s">
        <v>2849</v>
      </c>
      <c r="C5239" s="1210"/>
      <c r="D5239" s="1211"/>
      <c r="E5239" s="7">
        <v>23.9</v>
      </c>
      <c r="F5239" s="396" t="s">
        <v>537</v>
      </c>
      <c r="G5239" s="689">
        <v>4</v>
      </c>
      <c r="H5239" s="690" t="s">
        <v>2844</v>
      </c>
      <c r="I5239" s="365">
        <v>1.03</v>
      </c>
      <c r="J5239" s="365"/>
      <c r="K5239" s="7">
        <f>+E5239*G5239*I5239</f>
        <v>98.468000000000004</v>
      </c>
      <c r="L5239" s="396" t="s">
        <v>40</v>
      </c>
    </row>
    <row r="5240" spans="1:19" ht="30" customHeight="1" x14ac:dyDescent="0.25">
      <c r="A5240" s="365" t="s">
        <v>535</v>
      </c>
      <c r="B5240" s="1209" t="s">
        <v>2850</v>
      </c>
      <c r="C5240" s="1210"/>
      <c r="D5240" s="1211"/>
      <c r="E5240" s="1087">
        <v>28.5</v>
      </c>
      <c r="F5240" s="698" t="s">
        <v>537</v>
      </c>
      <c r="G5240" s="194">
        <v>8</v>
      </c>
      <c r="H5240" s="698" t="s">
        <v>2844</v>
      </c>
      <c r="I5240" s="365">
        <v>1.03</v>
      </c>
      <c r="J5240" s="365"/>
      <c r="K5240" s="247">
        <f>+E5240*G5240*I5240</f>
        <v>234.84</v>
      </c>
      <c r="L5240" s="365" t="s">
        <v>40</v>
      </c>
    </row>
    <row r="5241" spans="1:19" ht="30" customHeight="1" x14ac:dyDescent="0.25">
      <c r="A5241" s="365" t="s">
        <v>535</v>
      </c>
      <c r="B5241" s="1209" t="s">
        <v>2851</v>
      </c>
      <c r="C5241" s="1210"/>
      <c r="D5241" s="1211"/>
      <c r="E5241" s="1087">
        <v>33</v>
      </c>
      <c r="F5241" s="698" t="s">
        <v>537</v>
      </c>
      <c r="G5241" s="194">
        <v>16</v>
      </c>
      <c r="H5241" s="698" t="s">
        <v>2844</v>
      </c>
      <c r="I5241" s="365">
        <v>1.03</v>
      </c>
      <c r="J5241" s="365"/>
      <c r="K5241" s="247">
        <f>+E5241*G5241*I5241</f>
        <v>543.84</v>
      </c>
      <c r="L5241" s="365" t="s">
        <v>40</v>
      </c>
    </row>
    <row r="5242" spans="1:19" ht="30" customHeight="1" x14ac:dyDescent="0.25">
      <c r="A5242" s="365"/>
      <c r="B5242" s="366"/>
      <c r="C5242" s="366"/>
      <c r="D5242" s="366"/>
      <c r="E5242" s="366"/>
      <c r="F5242" s="366"/>
      <c r="G5242" s="366"/>
      <c r="H5242" s="366"/>
      <c r="I5242" s="567"/>
      <c r="J5242" s="486" t="s">
        <v>300</v>
      </c>
      <c r="K5242" s="247">
        <f>AVERAGE(K5239:K5241)</f>
        <v>292.38266666666669</v>
      </c>
      <c r="L5242" s="365" t="s">
        <v>40</v>
      </c>
    </row>
    <row r="5243" spans="1:19" ht="30" customHeight="1" x14ac:dyDescent="0.25">
      <c r="A5243" s="365"/>
      <c r="B5243" s="1214"/>
      <c r="C5243" s="1215"/>
      <c r="D5243" s="1216"/>
      <c r="E5243" s="247"/>
      <c r="F5243" s="1272" t="s">
        <v>303</v>
      </c>
      <c r="G5243" s="1283" t="s">
        <v>304</v>
      </c>
      <c r="H5243" s="1283"/>
      <c r="I5243" s="1283"/>
      <c r="J5243" s="1283"/>
      <c r="K5243" s="250">
        <v>1.07</v>
      </c>
      <c r="L5243" s="365"/>
    </row>
    <row r="5244" spans="1:19" ht="30" customHeight="1" x14ac:dyDescent="0.25">
      <c r="A5244" s="365"/>
      <c r="B5244" s="578"/>
      <c r="C5244" s="578"/>
      <c r="D5244" s="578"/>
      <c r="E5244" s="247"/>
      <c r="F5244" s="1273"/>
      <c r="G5244" s="1284" t="s">
        <v>438</v>
      </c>
      <c r="H5244" s="1284"/>
      <c r="I5244" s="1284"/>
      <c r="J5244" s="1284"/>
      <c r="K5244" s="250">
        <v>1.08</v>
      </c>
      <c r="L5244" s="365"/>
    </row>
    <row r="5245" spans="1:19" ht="30" customHeight="1" x14ac:dyDescent="0.25">
      <c r="A5245" s="365"/>
      <c r="B5245" s="365"/>
      <c r="C5245" s="366"/>
      <c r="D5245" s="366"/>
      <c r="E5245" s="366"/>
      <c r="F5245" s="366"/>
      <c r="G5245" s="366"/>
      <c r="H5245" s="366"/>
      <c r="I5245" s="366"/>
      <c r="J5245" s="365" t="s">
        <v>72</v>
      </c>
      <c r="K5245" s="246">
        <f>+K5242*K5243/K5244</f>
        <v>289.67541975308643</v>
      </c>
      <c r="L5245" s="365" t="s">
        <v>40</v>
      </c>
    </row>
    <row r="5246" spans="1:19" ht="30" customHeight="1" x14ac:dyDescent="0.25">
      <c r="A5246" s="365"/>
      <c r="B5246" s="365"/>
      <c r="C5246" s="366"/>
      <c r="D5246" s="366"/>
      <c r="E5246" s="366"/>
      <c r="F5246" s="366"/>
      <c r="G5246" s="398" t="s">
        <v>414</v>
      </c>
      <c r="H5246" s="366"/>
      <c r="I5246" s="366"/>
      <c r="J5246" s="521">
        <f>VLOOKUP(B5237,'Mil Cost Premiums for PUCs'!$A$4:$R$277,18,FALSE)</f>
        <v>1.0905505199999999</v>
      </c>
      <c r="K5246" s="246">
        <f>+K5245*J5246</f>
        <v>315.90567964294661</v>
      </c>
      <c r="L5246" s="365" t="s">
        <v>40</v>
      </c>
    </row>
    <row r="5247" spans="1:19" ht="30" customHeight="1" x14ac:dyDescent="0.25">
      <c r="A5247" s="844"/>
      <c r="B5247" s="844"/>
      <c r="C5247" s="471"/>
      <c r="D5247" s="471"/>
      <c r="E5247" s="471"/>
      <c r="F5247" s="1278" t="s">
        <v>1148</v>
      </c>
      <c r="G5247" s="1278"/>
      <c r="H5247" s="1278"/>
      <c r="I5247" s="1278"/>
      <c r="J5247" s="987">
        <v>1.0833999999999999</v>
      </c>
      <c r="K5247" s="1060">
        <f>K5246*J5247</f>
        <v>342.25221332516833</v>
      </c>
      <c r="L5247" s="365" t="s">
        <v>40</v>
      </c>
      <c r="O5247" s="336"/>
      <c r="P5247" s="334"/>
      <c r="Q5247" s="335"/>
      <c r="R5247" s="336"/>
      <c r="S5247" s="337"/>
    </row>
    <row r="5248" spans="1:19" ht="75" customHeight="1" x14ac:dyDescent="0.25">
      <c r="A5248" s="1230" t="s">
        <v>2852</v>
      </c>
      <c r="B5248" s="1231"/>
      <c r="C5248" s="1231"/>
      <c r="D5248" s="1231"/>
      <c r="E5248" s="1231"/>
      <c r="F5248" s="1231"/>
      <c r="G5248" s="1231"/>
      <c r="H5248" s="1231"/>
      <c r="I5248" s="1231"/>
      <c r="J5248" s="1231"/>
      <c r="K5248" s="1231"/>
      <c r="L5248" s="1232"/>
    </row>
    <row r="5249" spans="1:12" ht="30" customHeight="1" x14ac:dyDescent="0.25">
      <c r="A5249" s="1268" t="s">
        <v>308</v>
      </c>
      <c r="B5249" s="1167"/>
      <c r="C5249" s="1168"/>
      <c r="D5249" s="1230" t="s">
        <v>2853</v>
      </c>
      <c r="E5249" s="1231"/>
      <c r="F5249" s="1231"/>
      <c r="G5249" s="1231"/>
      <c r="H5249" s="1231"/>
      <c r="I5249" s="1231"/>
      <c r="J5249" s="1231"/>
      <c r="K5249" s="1231"/>
      <c r="L5249" s="1232"/>
    </row>
    <row r="5250" spans="1:12" ht="30" customHeight="1" x14ac:dyDescent="0.25">
      <c r="A5250" s="1268" t="s">
        <v>310</v>
      </c>
      <c r="B5250" s="1167"/>
      <c r="C5250" s="1168"/>
      <c r="D5250" s="1230" t="s">
        <v>2854</v>
      </c>
      <c r="E5250" s="1231"/>
      <c r="F5250" s="1231"/>
      <c r="G5250" s="1231"/>
      <c r="H5250" s="1231"/>
      <c r="I5250" s="1231"/>
      <c r="J5250" s="1231"/>
      <c r="K5250" s="1231"/>
      <c r="L5250" s="1232"/>
    </row>
    <row r="5251" spans="1:12" ht="30" customHeight="1" x14ac:dyDescent="0.25">
      <c r="A5251" s="1268" t="s">
        <v>312</v>
      </c>
      <c r="B5251" s="1167"/>
      <c r="C5251" s="1168"/>
      <c r="D5251" s="1230" t="s">
        <v>2855</v>
      </c>
      <c r="E5251" s="1231"/>
      <c r="F5251" s="1231"/>
      <c r="G5251" s="1231"/>
      <c r="H5251" s="1231"/>
      <c r="I5251" s="1231"/>
      <c r="J5251" s="1231"/>
      <c r="K5251" s="1231"/>
      <c r="L5251" s="1232"/>
    </row>
    <row r="5252" spans="1:12" ht="30" customHeight="1" x14ac:dyDescent="0.25">
      <c r="A5252" s="1268" t="s">
        <v>314</v>
      </c>
      <c r="B5252" s="1167"/>
      <c r="C5252" s="1168"/>
      <c r="D5252" s="1230" t="s">
        <v>2856</v>
      </c>
      <c r="E5252" s="1231"/>
      <c r="F5252" s="1231"/>
      <c r="G5252" s="1231"/>
      <c r="H5252" s="1231"/>
      <c r="I5252" s="1231"/>
      <c r="J5252" s="1231"/>
      <c r="K5252" s="1231"/>
      <c r="L5252" s="1232"/>
    </row>
    <row r="5253" spans="1:12" ht="30" customHeight="1" x14ac:dyDescent="0.25">
      <c r="A5253" s="1268" t="s">
        <v>316</v>
      </c>
      <c r="B5253" s="1167"/>
      <c r="C5253" s="1168"/>
      <c r="D5253" s="1230" t="s">
        <v>2857</v>
      </c>
      <c r="E5253" s="1231"/>
      <c r="F5253" s="1231"/>
      <c r="G5253" s="1231"/>
      <c r="H5253" s="1231"/>
      <c r="I5253" s="1231"/>
      <c r="J5253" s="1231"/>
      <c r="K5253" s="1231"/>
      <c r="L5253" s="1232"/>
    </row>
    <row r="5254" spans="1:12" ht="30" customHeight="1" x14ac:dyDescent="0.25">
      <c r="A5254" s="1268" t="s">
        <v>318</v>
      </c>
      <c r="B5254" s="1167"/>
      <c r="C5254" s="1168"/>
      <c r="D5254" s="1230" t="s">
        <v>2250</v>
      </c>
      <c r="E5254" s="1231"/>
      <c r="F5254" s="1231"/>
      <c r="G5254" s="1231"/>
      <c r="H5254" s="1231"/>
      <c r="I5254" s="1231"/>
      <c r="J5254" s="1231"/>
      <c r="K5254" s="1231"/>
      <c r="L5254" s="1232"/>
    </row>
    <row r="5255" spans="1:12" ht="30" customHeight="1" x14ac:dyDescent="0.25">
      <c r="A5255" s="1268" t="s">
        <v>320</v>
      </c>
      <c r="B5255" s="1167"/>
      <c r="C5255" s="1168"/>
      <c r="D5255" s="1230" t="s">
        <v>2531</v>
      </c>
      <c r="E5255" s="1231"/>
      <c r="F5255" s="1231"/>
      <c r="G5255" s="1231"/>
      <c r="H5255" s="1231"/>
      <c r="I5255" s="1231"/>
      <c r="J5255" s="1231"/>
      <c r="K5255" s="1231"/>
      <c r="L5255" s="1232"/>
    </row>
    <row r="5256" spans="1:12" ht="30" customHeight="1" x14ac:dyDescent="0.25">
      <c r="A5256" s="1268" t="s">
        <v>322</v>
      </c>
      <c r="B5256" s="1167"/>
      <c r="C5256" s="1168"/>
      <c r="D5256" s="1230" t="s">
        <v>323</v>
      </c>
      <c r="E5256" s="1231"/>
      <c r="F5256" s="1231"/>
      <c r="G5256" s="1231"/>
      <c r="H5256" s="1231"/>
      <c r="I5256" s="1231"/>
      <c r="J5256" s="1231"/>
      <c r="K5256" s="1231"/>
      <c r="L5256" s="1232"/>
    </row>
    <row r="5257" spans="1:12" ht="30" customHeight="1" thickBot="1" x14ac:dyDescent="0.3">
      <c r="A5257" s="1265" t="s">
        <v>350</v>
      </c>
      <c r="B5257" s="1266"/>
      <c r="C5257" s="1267"/>
      <c r="D5257" s="1291" t="s">
        <v>2858</v>
      </c>
      <c r="E5257" s="1292"/>
      <c r="F5257" s="1292"/>
      <c r="G5257" s="1292"/>
      <c r="H5257" s="1292"/>
      <c r="I5257" s="1292"/>
      <c r="J5257" s="1292"/>
      <c r="K5257" s="1292"/>
      <c r="L5257" s="1293"/>
    </row>
    <row r="5258" spans="1:12" ht="30" customHeight="1" thickBot="1" x14ac:dyDescent="0.3">
      <c r="A5258" s="1180"/>
      <c r="B5258" s="1181"/>
      <c r="C5258" s="1181"/>
      <c r="D5258" s="1181"/>
      <c r="E5258" s="1181"/>
      <c r="F5258" s="1181"/>
      <c r="G5258" s="1181"/>
      <c r="H5258" s="1181"/>
      <c r="I5258" s="1181"/>
      <c r="J5258" s="1181"/>
      <c r="K5258" s="1181"/>
      <c r="L5258" s="1182"/>
    </row>
    <row r="5259" spans="1:12" ht="30" customHeight="1" x14ac:dyDescent="0.25">
      <c r="A5259" s="327" t="s">
        <v>5</v>
      </c>
      <c r="B5259" s="328">
        <v>8951</v>
      </c>
      <c r="C5259" s="1294" t="s">
        <v>2859</v>
      </c>
      <c r="D5259" s="1295"/>
      <c r="E5259" s="331" t="s">
        <v>8</v>
      </c>
      <c r="F5259" s="332" t="s">
        <v>214</v>
      </c>
      <c r="G5259" s="342" t="s">
        <v>74</v>
      </c>
      <c r="H5259" s="158">
        <v>321343</v>
      </c>
      <c r="I5259" s="331" t="s">
        <v>10</v>
      </c>
      <c r="J5259" s="1220" t="s">
        <v>3388</v>
      </c>
      <c r="K5259" s="1220"/>
      <c r="L5259" s="1221"/>
    </row>
    <row r="5260" spans="1:12" ht="30" customHeight="1" x14ac:dyDescent="0.25">
      <c r="A5260" s="359" t="s">
        <v>295</v>
      </c>
      <c r="B5260" s="1222" t="s">
        <v>326</v>
      </c>
      <c r="C5260" s="1235"/>
      <c r="D5260" s="1223"/>
      <c r="E5260" s="934" t="s">
        <v>116</v>
      </c>
      <c r="F5260" s="577" t="s">
        <v>117</v>
      </c>
      <c r="G5260" s="1194" t="s">
        <v>118</v>
      </c>
      <c r="H5260" s="1195"/>
      <c r="I5260" s="356" t="s">
        <v>2860</v>
      </c>
      <c r="J5260" s="356" t="s">
        <v>296</v>
      </c>
      <c r="K5260" s="581" t="s">
        <v>285</v>
      </c>
      <c r="L5260" s="382"/>
    </row>
    <row r="5261" spans="1:12" ht="30" customHeight="1" x14ac:dyDescent="0.25">
      <c r="A5261" s="365" t="s">
        <v>2482</v>
      </c>
      <c r="B5261" s="1214" t="s">
        <v>2861</v>
      </c>
      <c r="C5261" s="1215"/>
      <c r="D5261" s="1216"/>
      <c r="E5261" s="588">
        <v>0.3</v>
      </c>
      <c r="F5261" s="396" t="s">
        <v>537</v>
      </c>
      <c r="G5261" s="1088">
        <f>1/7.48</f>
        <v>0.13368983957219249</v>
      </c>
      <c r="H5261" s="690" t="s">
        <v>2484</v>
      </c>
      <c r="I5261" s="293">
        <v>0.56999999999999995</v>
      </c>
      <c r="J5261" s="872">
        <v>1.03</v>
      </c>
      <c r="K5261" s="79">
        <f t="shared" ref="K5261:K5269" si="67">+E5261*G5261*J5261*I5261</f>
        <v>2.3546791443850263E-2</v>
      </c>
      <c r="L5261" s="396" t="s">
        <v>214</v>
      </c>
    </row>
    <row r="5262" spans="1:12" ht="30" customHeight="1" x14ac:dyDescent="0.25">
      <c r="A5262" s="365" t="s">
        <v>1600</v>
      </c>
      <c r="B5262" s="1214" t="s">
        <v>2862</v>
      </c>
      <c r="C5262" s="1215"/>
      <c r="D5262" s="1216"/>
      <c r="E5262" s="588">
        <v>104000</v>
      </c>
      <c r="F5262" s="396" t="s">
        <v>76</v>
      </c>
      <c r="G5262" s="1088">
        <f>1/20000</f>
        <v>5.0000000000000002E-5</v>
      </c>
      <c r="H5262" s="690" t="s">
        <v>1589</v>
      </c>
      <c r="I5262" s="293">
        <v>1E-3</v>
      </c>
      <c r="J5262" s="872">
        <v>1</v>
      </c>
      <c r="K5262" s="79">
        <f t="shared" si="67"/>
        <v>5.2000000000000006E-3</v>
      </c>
      <c r="L5262" s="396" t="s">
        <v>214</v>
      </c>
    </row>
    <row r="5263" spans="1:12" ht="30" customHeight="1" x14ac:dyDescent="0.25">
      <c r="A5263" s="365" t="s">
        <v>2482</v>
      </c>
      <c r="B5263" s="1214" t="s">
        <v>2863</v>
      </c>
      <c r="C5263" s="1215"/>
      <c r="D5263" s="1216"/>
      <c r="E5263" s="588">
        <v>2.0550000000000002</v>
      </c>
      <c r="F5263" s="396" t="s">
        <v>537</v>
      </c>
      <c r="G5263" s="1088">
        <f>1/7.48</f>
        <v>0.13368983957219249</v>
      </c>
      <c r="H5263" s="690" t="s">
        <v>2484</v>
      </c>
      <c r="I5263" s="293">
        <v>8.1000000000000003E-2</v>
      </c>
      <c r="J5263" s="872">
        <v>1.03</v>
      </c>
      <c r="K5263" s="79">
        <f t="shared" si="67"/>
        <v>2.2920942513368982E-2</v>
      </c>
      <c r="L5263" s="396" t="s">
        <v>214</v>
      </c>
    </row>
    <row r="5264" spans="1:12" ht="30" customHeight="1" x14ac:dyDescent="0.25">
      <c r="A5264" s="365" t="s">
        <v>2482</v>
      </c>
      <c r="B5264" s="1214" t="s">
        <v>2864</v>
      </c>
      <c r="C5264" s="1215"/>
      <c r="D5264" s="1216"/>
      <c r="E5264" s="588">
        <v>3.9799999999999995</v>
      </c>
      <c r="F5264" s="396" t="s">
        <v>537</v>
      </c>
      <c r="G5264" s="1088">
        <f>1/7.48</f>
        <v>0.13368983957219249</v>
      </c>
      <c r="H5264" s="690" t="s">
        <v>2484</v>
      </c>
      <c r="I5264" s="293">
        <v>8.0000000000000002E-3</v>
      </c>
      <c r="J5264" s="872">
        <v>1.03</v>
      </c>
      <c r="K5264" s="79">
        <f t="shared" si="67"/>
        <v>4.3843850267379671E-3</v>
      </c>
      <c r="L5264" s="396" t="s">
        <v>214</v>
      </c>
    </row>
    <row r="5265" spans="1:19" ht="30" customHeight="1" x14ac:dyDescent="0.25">
      <c r="A5265" s="365" t="s">
        <v>1587</v>
      </c>
      <c r="B5265" s="1214" t="s">
        <v>2865</v>
      </c>
      <c r="C5265" s="1215"/>
      <c r="D5265" s="1216"/>
      <c r="E5265" s="588">
        <v>5050</v>
      </c>
      <c r="F5265" s="396" t="s">
        <v>76</v>
      </c>
      <c r="G5265" s="1088">
        <f>1/1500</f>
        <v>6.6666666666666664E-4</v>
      </c>
      <c r="H5265" s="690" t="s">
        <v>1589</v>
      </c>
      <c r="I5265" s="293">
        <v>0</v>
      </c>
      <c r="J5265" s="872">
        <v>1</v>
      </c>
      <c r="K5265" s="7">
        <f t="shared" si="67"/>
        <v>0</v>
      </c>
      <c r="L5265" s="396" t="s">
        <v>214</v>
      </c>
    </row>
    <row r="5266" spans="1:19" ht="30" customHeight="1" x14ac:dyDescent="0.25">
      <c r="A5266" s="365" t="s">
        <v>1587</v>
      </c>
      <c r="B5266" s="1214" t="s">
        <v>2866</v>
      </c>
      <c r="C5266" s="1215"/>
      <c r="D5266" s="1216"/>
      <c r="E5266" s="588">
        <v>5650</v>
      </c>
      <c r="F5266" s="396" t="s">
        <v>76</v>
      </c>
      <c r="G5266" s="1088">
        <f>1/2500</f>
        <v>4.0000000000000002E-4</v>
      </c>
      <c r="H5266" s="690" t="s">
        <v>1589</v>
      </c>
      <c r="I5266" s="293">
        <v>7.0000000000000001E-3</v>
      </c>
      <c r="J5266" s="706">
        <v>1</v>
      </c>
      <c r="K5266" s="79">
        <f t="shared" si="67"/>
        <v>1.5820000000000001E-2</v>
      </c>
      <c r="L5266" s="396" t="s">
        <v>214</v>
      </c>
    </row>
    <row r="5267" spans="1:19" ht="30" customHeight="1" x14ac:dyDescent="0.25">
      <c r="A5267" s="365" t="s">
        <v>2482</v>
      </c>
      <c r="B5267" s="1209" t="s">
        <v>2867</v>
      </c>
      <c r="C5267" s="1210"/>
      <c r="D5267" s="1211"/>
      <c r="E5267" s="588">
        <v>3.33</v>
      </c>
      <c r="F5267" s="396" t="s">
        <v>537</v>
      </c>
      <c r="G5267" s="1088">
        <f>1/7.48</f>
        <v>0.13368983957219249</v>
      </c>
      <c r="H5267" s="690" t="s">
        <v>2484</v>
      </c>
      <c r="I5267" s="293">
        <v>1E-3</v>
      </c>
      <c r="J5267" s="706">
        <v>1.03</v>
      </c>
      <c r="K5267" s="79">
        <f t="shared" si="67"/>
        <v>4.5854278074866308E-4</v>
      </c>
      <c r="L5267" s="396" t="s">
        <v>214</v>
      </c>
    </row>
    <row r="5268" spans="1:19" ht="30" customHeight="1" x14ac:dyDescent="0.25">
      <c r="A5268" s="365" t="s">
        <v>1600</v>
      </c>
      <c r="B5268" s="1209" t="s">
        <v>2868</v>
      </c>
      <c r="C5268" s="1210"/>
      <c r="D5268" s="1211"/>
      <c r="E5268" s="588">
        <v>1</v>
      </c>
      <c r="F5268" s="396" t="s">
        <v>214</v>
      </c>
      <c r="G5268" s="1088">
        <v>1</v>
      </c>
      <c r="H5268" s="690"/>
      <c r="I5268" s="293">
        <v>1E-3</v>
      </c>
      <c r="J5268" s="706">
        <v>1</v>
      </c>
      <c r="K5268" s="79">
        <f t="shared" si="67"/>
        <v>1E-3</v>
      </c>
      <c r="L5268" s="396" t="s">
        <v>214</v>
      </c>
    </row>
    <row r="5269" spans="1:19" ht="30" customHeight="1" x14ac:dyDescent="0.25">
      <c r="A5269" s="365" t="s">
        <v>1587</v>
      </c>
      <c r="B5269" s="1214" t="s">
        <v>2869</v>
      </c>
      <c r="C5269" s="1215"/>
      <c r="D5269" s="1216"/>
      <c r="E5269" s="588">
        <v>47100</v>
      </c>
      <c r="F5269" s="396" t="s">
        <v>76</v>
      </c>
      <c r="G5269" s="1089">
        <f>1/30000</f>
        <v>3.3333333333333335E-5</v>
      </c>
      <c r="H5269" s="690" t="s">
        <v>1589</v>
      </c>
      <c r="I5269" s="293">
        <v>0.33100000000000002</v>
      </c>
      <c r="J5269" s="706">
        <v>1</v>
      </c>
      <c r="K5269" s="80">
        <f t="shared" si="67"/>
        <v>0.51967000000000008</v>
      </c>
      <c r="L5269" s="396" t="s">
        <v>214</v>
      </c>
    </row>
    <row r="5270" spans="1:19" ht="30" customHeight="1" x14ac:dyDescent="0.25">
      <c r="A5270" s="365"/>
      <c r="B5270" s="561"/>
      <c r="C5270" s="562"/>
      <c r="D5270" s="563"/>
      <c r="E5270" s="1090"/>
      <c r="F5270" s="381"/>
      <c r="G5270" s="661"/>
      <c r="H5270" s="698"/>
      <c r="I5270" s="1091"/>
      <c r="J5270" s="360" t="s">
        <v>343</v>
      </c>
      <c r="K5270" s="81">
        <f>SUM(K5261:K5269)</f>
        <v>0.59300066176470589</v>
      </c>
      <c r="L5270" s="381" t="s">
        <v>214</v>
      </c>
    </row>
    <row r="5271" spans="1:19" ht="30" customHeight="1" x14ac:dyDescent="0.25">
      <c r="A5271" s="365"/>
      <c r="B5271" s="1375" t="s">
        <v>2870</v>
      </c>
      <c r="C5271" s="1376"/>
      <c r="D5271" s="1377"/>
      <c r="E5271" s="247"/>
      <c r="F5271" s="1272" t="s">
        <v>303</v>
      </c>
      <c r="G5271" s="1283" t="s">
        <v>304</v>
      </c>
      <c r="H5271" s="1283"/>
      <c r="I5271" s="1283"/>
      <c r="J5271" s="1283"/>
      <c r="K5271" s="250">
        <v>1.07</v>
      </c>
      <c r="L5271" s="365"/>
    </row>
    <row r="5272" spans="1:19" ht="30" customHeight="1" x14ac:dyDescent="0.25">
      <c r="A5272" s="365"/>
      <c r="B5272" s="1369"/>
      <c r="C5272" s="1370"/>
      <c r="D5272" s="1371"/>
      <c r="E5272" s="247"/>
      <c r="F5272" s="1273"/>
      <c r="G5272" s="1284" t="s">
        <v>438</v>
      </c>
      <c r="H5272" s="1284"/>
      <c r="I5272" s="1284"/>
      <c r="J5272" s="1284"/>
      <c r="K5272" s="250">
        <v>1.08</v>
      </c>
      <c r="L5272" s="365"/>
    </row>
    <row r="5273" spans="1:19" ht="30" customHeight="1" x14ac:dyDescent="0.25">
      <c r="A5273" s="365"/>
      <c r="B5273" s="1372"/>
      <c r="C5273" s="1373"/>
      <c r="D5273" s="1374"/>
      <c r="E5273" s="1090"/>
      <c r="F5273" s="381"/>
      <c r="G5273" s="661"/>
      <c r="H5273" s="698"/>
      <c r="I5273" s="365"/>
      <c r="J5273" s="486" t="s">
        <v>72</v>
      </c>
      <c r="K5273" s="7">
        <f>+K5270*K5271/K5272</f>
        <v>0.58750991489651427</v>
      </c>
      <c r="L5273" s="396" t="s">
        <v>214</v>
      </c>
    </row>
    <row r="5274" spans="1:19" ht="30" customHeight="1" x14ac:dyDescent="0.25">
      <c r="A5274" s="366"/>
      <c r="B5274" s="365"/>
      <c r="C5274" s="366"/>
      <c r="D5274" s="366"/>
      <c r="E5274" s="366"/>
      <c r="F5274" s="366"/>
      <c r="G5274" s="398" t="s">
        <v>414</v>
      </c>
      <c r="H5274" s="366"/>
      <c r="I5274" s="366"/>
      <c r="J5274" s="521">
        <f>VLOOKUP(B5259,'Mil Cost Premiums for PUCs'!$A$4:$R$277,18,FALSE)</f>
        <v>1.0209999999999999</v>
      </c>
      <c r="K5274" s="247">
        <f>+K5273*J5274</f>
        <v>0.59984762310934103</v>
      </c>
      <c r="L5274" s="396" t="s">
        <v>214</v>
      </c>
    </row>
    <row r="5275" spans="1:19" ht="30" customHeight="1" x14ac:dyDescent="0.25">
      <c r="A5275" s="844"/>
      <c r="B5275" s="844"/>
      <c r="C5275" s="471"/>
      <c r="D5275" s="471"/>
      <c r="E5275" s="471"/>
      <c r="F5275" s="1278" t="s">
        <v>1148</v>
      </c>
      <c r="G5275" s="1278"/>
      <c r="H5275" s="1278"/>
      <c r="I5275" s="1278"/>
      <c r="J5275" s="987">
        <v>1.0833999999999999</v>
      </c>
      <c r="K5275" s="1060">
        <f>K5274*J5275</f>
        <v>0.64987491487666005</v>
      </c>
      <c r="L5275" s="396" t="s">
        <v>214</v>
      </c>
      <c r="O5275" s="336"/>
      <c r="P5275" s="334"/>
      <c r="Q5275" s="335"/>
      <c r="R5275" s="336"/>
      <c r="S5275" s="337"/>
    </row>
    <row r="5276" spans="1:19" ht="75" customHeight="1" x14ac:dyDescent="0.25">
      <c r="A5276" s="1230" t="s">
        <v>307</v>
      </c>
      <c r="B5276" s="1231"/>
      <c r="C5276" s="1231"/>
      <c r="D5276" s="1231"/>
      <c r="E5276" s="1231"/>
      <c r="F5276" s="1231"/>
      <c r="G5276" s="1231"/>
      <c r="H5276" s="1231"/>
      <c r="I5276" s="1231"/>
      <c r="J5276" s="1231"/>
      <c r="K5276" s="1231"/>
      <c r="L5276" s="1232"/>
    </row>
    <row r="5277" spans="1:19" ht="60" customHeight="1" x14ac:dyDescent="0.25">
      <c r="A5277" s="1230" t="s">
        <v>308</v>
      </c>
      <c r="B5277" s="1231"/>
      <c r="C5277" s="1232"/>
      <c r="D5277" s="1230" t="s">
        <v>3470</v>
      </c>
      <c r="E5277" s="1231"/>
      <c r="F5277" s="1231"/>
      <c r="G5277" s="1231"/>
      <c r="H5277" s="1231"/>
      <c r="I5277" s="1231"/>
      <c r="J5277" s="1231"/>
      <c r="K5277" s="1231"/>
      <c r="L5277" s="1232"/>
    </row>
    <row r="5278" spans="1:19" ht="30" customHeight="1" x14ac:dyDescent="0.25">
      <c r="A5278" s="1230" t="s">
        <v>310</v>
      </c>
      <c r="B5278" s="1231"/>
      <c r="C5278" s="1232"/>
      <c r="D5278" s="1230" t="s">
        <v>2871</v>
      </c>
      <c r="E5278" s="1231"/>
      <c r="F5278" s="1231"/>
      <c r="G5278" s="1231"/>
      <c r="H5278" s="1231"/>
      <c r="I5278" s="1231"/>
      <c r="J5278" s="1231"/>
      <c r="K5278" s="1231"/>
      <c r="L5278" s="1232"/>
    </row>
    <row r="5279" spans="1:19" ht="30" customHeight="1" x14ac:dyDescent="0.25">
      <c r="A5279" s="1230" t="s">
        <v>312</v>
      </c>
      <c r="B5279" s="1231"/>
      <c r="C5279" s="1232"/>
      <c r="D5279" s="1230" t="s">
        <v>2872</v>
      </c>
      <c r="E5279" s="1231"/>
      <c r="F5279" s="1231"/>
      <c r="G5279" s="1231"/>
      <c r="H5279" s="1231"/>
      <c r="I5279" s="1231"/>
      <c r="J5279" s="1231"/>
      <c r="K5279" s="1231"/>
      <c r="L5279" s="1232"/>
    </row>
    <row r="5280" spans="1:19" ht="30" customHeight="1" x14ac:dyDescent="0.25">
      <c r="A5280" s="1230" t="s">
        <v>314</v>
      </c>
      <c r="B5280" s="1231"/>
      <c r="C5280" s="1232"/>
      <c r="D5280" s="1230" t="s">
        <v>2873</v>
      </c>
      <c r="E5280" s="1231"/>
      <c r="F5280" s="1231"/>
      <c r="G5280" s="1231"/>
      <c r="H5280" s="1231"/>
      <c r="I5280" s="1231"/>
      <c r="J5280" s="1231"/>
      <c r="K5280" s="1231"/>
      <c r="L5280" s="1232"/>
    </row>
    <row r="5281" spans="1:12" ht="30" customHeight="1" x14ac:dyDescent="0.25">
      <c r="A5281" s="1230" t="s">
        <v>316</v>
      </c>
      <c r="B5281" s="1231"/>
      <c r="C5281" s="1232"/>
      <c r="D5281" s="1230" t="s">
        <v>2874</v>
      </c>
      <c r="E5281" s="1231"/>
      <c r="F5281" s="1231"/>
      <c r="G5281" s="1231"/>
      <c r="H5281" s="1231"/>
      <c r="I5281" s="1231"/>
      <c r="J5281" s="1231"/>
      <c r="K5281" s="1231"/>
      <c r="L5281" s="1232"/>
    </row>
    <row r="5282" spans="1:12" ht="30" customHeight="1" x14ac:dyDescent="0.25">
      <c r="A5282" s="1230" t="s">
        <v>318</v>
      </c>
      <c r="B5282" s="1231"/>
      <c r="C5282" s="1232"/>
      <c r="D5282" s="1230" t="s">
        <v>2250</v>
      </c>
      <c r="E5282" s="1231"/>
      <c r="F5282" s="1231"/>
      <c r="G5282" s="1231"/>
      <c r="H5282" s="1231"/>
      <c r="I5282" s="1231"/>
      <c r="J5282" s="1231"/>
      <c r="K5282" s="1231"/>
      <c r="L5282" s="1232"/>
    </row>
    <row r="5283" spans="1:12" ht="30" customHeight="1" x14ac:dyDescent="0.25">
      <c r="A5283" s="1230" t="s">
        <v>320</v>
      </c>
      <c r="B5283" s="1231"/>
      <c r="C5283" s="1232"/>
      <c r="D5283" s="1230" t="s">
        <v>2875</v>
      </c>
      <c r="E5283" s="1231"/>
      <c r="F5283" s="1231"/>
      <c r="G5283" s="1231"/>
      <c r="H5283" s="1231"/>
      <c r="I5283" s="1231"/>
      <c r="J5283" s="1231"/>
      <c r="K5283" s="1231"/>
      <c r="L5283" s="1232"/>
    </row>
    <row r="5284" spans="1:12" ht="30" customHeight="1" x14ac:dyDescent="0.25">
      <c r="A5284" s="1230" t="s">
        <v>322</v>
      </c>
      <c r="B5284" s="1231"/>
      <c r="C5284" s="1232"/>
      <c r="D5284" s="1230" t="s">
        <v>2876</v>
      </c>
      <c r="E5284" s="1231"/>
      <c r="F5284" s="1231"/>
      <c r="G5284" s="1231"/>
      <c r="H5284" s="1231"/>
      <c r="I5284" s="1231"/>
      <c r="J5284" s="1231"/>
      <c r="K5284" s="1231"/>
      <c r="L5284" s="1232"/>
    </row>
    <row r="5285" spans="1:12" ht="105" customHeight="1" thickBot="1" x14ac:dyDescent="0.3">
      <c r="A5285" s="1291" t="s">
        <v>350</v>
      </c>
      <c r="B5285" s="1292"/>
      <c r="C5285" s="1293"/>
      <c r="D5285" s="1291" t="s">
        <v>3469</v>
      </c>
      <c r="E5285" s="1292"/>
      <c r="F5285" s="1292"/>
      <c r="G5285" s="1292"/>
      <c r="H5285" s="1292"/>
      <c r="I5285" s="1292"/>
      <c r="J5285" s="1292"/>
      <c r="K5285" s="1292"/>
      <c r="L5285" s="1293"/>
    </row>
    <row r="5286" spans="1:12" ht="30" customHeight="1" thickBot="1" x14ac:dyDescent="0.3">
      <c r="A5286" s="1180"/>
      <c r="B5286" s="1181"/>
      <c r="C5286" s="1181"/>
      <c r="D5286" s="1181"/>
      <c r="E5286" s="1181"/>
      <c r="F5286" s="1181"/>
      <c r="G5286" s="1181"/>
      <c r="H5286" s="1181"/>
      <c r="I5286" s="1181"/>
      <c r="J5286" s="1181"/>
      <c r="K5286" s="1181"/>
      <c r="L5286" s="1182"/>
    </row>
  </sheetData>
  <mergeCells count="7154">
    <mergeCell ref="C3578:D3578"/>
    <mergeCell ref="J3578:L3578"/>
    <mergeCell ref="B3579:D3579"/>
    <mergeCell ref="G3579:H3579"/>
    <mergeCell ref="K3579:L3579"/>
    <mergeCell ref="B3580:D3580"/>
    <mergeCell ref="B3581:D3581"/>
    <mergeCell ref="B3584:D3584"/>
    <mergeCell ref="B3585:D3585"/>
    <mergeCell ref="F3586:F3587"/>
    <mergeCell ref="G3586:J3586"/>
    <mergeCell ref="G3587:J3587"/>
    <mergeCell ref="A3590:L3590"/>
    <mergeCell ref="B3582:D3582"/>
    <mergeCell ref="A4169:D4170"/>
    <mergeCell ref="B5218:D5218"/>
    <mergeCell ref="B5229:D5229"/>
    <mergeCell ref="B5230:D5230"/>
    <mergeCell ref="B5089:D5089"/>
    <mergeCell ref="G5089:H5089"/>
    <mergeCell ref="K5089:L5089"/>
    <mergeCell ref="B5090:D5090"/>
    <mergeCell ref="G5090:H5090"/>
    <mergeCell ref="B5093:D5093"/>
    <mergeCell ref="A5248:L5248"/>
    <mergeCell ref="A5249:C5249"/>
    <mergeCell ref="A5250:C5250"/>
    <mergeCell ref="A5251:C5251"/>
    <mergeCell ref="A5252:C5252"/>
    <mergeCell ref="A5253:C5253"/>
    <mergeCell ref="A5254:C5254"/>
    <mergeCell ref="G5085:H5085"/>
    <mergeCell ref="K5085:L5085"/>
    <mergeCell ref="G5093:H5093"/>
    <mergeCell ref="K5093:L5093"/>
    <mergeCell ref="B5094:D5094"/>
    <mergeCell ref="G5094:H5094"/>
    <mergeCell ref="F5103:I5103"/>
    <mergeCell ref="F5116:I5116"/>
    <mergeCell ref="A5117:L5117"/>
    <mergeCell ref="B5107:D5107"/>
    <mergeCell ref="B5108:D5108"/>
    <mergeCell ref="J5226:L5226"/>
    <mergeCell ref="G5184:J5184"/>
    <mergeCell ref="G5150:H5150"/>
    <mergeCell ref="B5177:D5177"/>
    <mergeCell ref="A5255:C5255"/>
    <mergeCell ref="A5122:C5122"/>
    <mergeCell ref="A5123:C5123"/>
    <mergeCell ref="A5124:C5124"/>
    <mergeCell ref="A5125:C5125"/>
    <mergeCell ref="A5126:C5126"/>
    <mergeCell ref="D5118:L5118"/>
    <mergeCell ref="D5119:L5119"/>
    <mergeCell ref="D5120:L5120"/>
    <mergeCell ref="D5121:L5121"/>
    <mergeCell ref="D5122:L5122"/>
    <mergeCell ref="D5123:L5123"/>
    <mergeCell ref="D5124:L5124"/>
    <mergeCell ref="D5125:L5125"/>
    <mergeCell ref="D5126:L5126"/>
    <mergeCell ref="F5139:I5139"/>
    <mergeCell ref="A5256:C5256"/>
    <mergeCell ref="F5235:I5235"/>
    <mergeCell ref="F5247:I5247"/>
    <mergeCell ref="A5156:L5156"/>
    <mergeCell ref="A5166:L5166"/>
    <mergeCell ref="A5207:L5207"/>
    <mergeCell ref="A5215:L5215"/>
    <mergeCell ref="A5225:L5225"/>
    <mergeCell ref="A5236:L5236"/>
    <mergeCell ref="J5237:L5237"/>
    <mergeCell ref="A5118:C5118"/>
    <mergeCell ref="A5119:C5119"/>
    <mergeCell ref="A5120:C5120"/>
    <mergeCell ref="A5121:C5121"/>
    <mergeCell ref="J5216:L5216"/>
    <mergeCell ref="K5217:L5217"/>
    <mergeCell ref="A5257:C5257"/>
    <mergeCell ref="K5209:L5209"/>
    <mergeCell ref="D5249:L5249"/>
    <mergeCell ref="B261:D261"/>
    <mergeCell ref="B623:D623"/>
    <mergeCell ref="B624:D624"/>
    <mergeCell ref="B625:D625"/>
    <mergeCell ref="B630:D630"/>
    <mergeCell ref="B631:D631"/>
    <mergeCell ref="B632:D632"/>
    <mergeCell ref="B633:D633"/>
    <mergeCell ref="B626:D626"/>
    <mergeCell ref="B627:D627"/>
    <mergeCell ref="G627:H627"/>
    <mergeCell ref="C629:D629"/>
    <mergeCell ref="J629:L629"/>
    <mergeCell ref="G633:H633"/>
    <mergeCell ref="A634:L634"/>
    <mergeCell ref="F2864:I2864"/>
    <mergeCell ref="K5227:L5227"/>
    <mergeCell ref="D5052:L5052"/>
    <mergeCell ref="K5238:L5238"/>
    <mergeCell ref="B5134:D5134"/>
    <mergeCell ref="D5250:L5250"/>
    <mergeCell ref="D5251:L5251"/>
    <mergeCell ref="D5252:L5252"/>
    <mergeCell ref="D5253:L5253"/>
    <mergeCell ref="D5254:L5254"/>
    <mergeCell ref="D5255:L5255"/>
    <mergeCell ref="D5256:L5256"/>
    <mergeCell ref="D5257:L5257"/>
    <mergeCell ref="B5086:D5086"/>
    <mergeCell ref="F5275:I5275"/>
    <mergeCell ref="A5276:L5276"/>
    <mergeCell ref="A5277:C5277"/>
    <mergeCell ref="A5278:C5278"/>
    <mergeCell ref="A5279:C5279"/>
    <mergeCell ref="A5280:C5280"/>
    <mergeCell ref="A5281:C5281"/>
    <mergeCell ref="A5282:C5282"/>
    <mergeCell ref="A5283:C5283"/>
    <mergeCell ref="A5284:C5284"/>
    <mergeCell ref="A5285:C5285"/>
    <mergeCell ref="D5277:L5277"/>
    <mergeCell ref="D5278:L5278"/>
    <mergeCell ref="D5279:L5279"/>
    <mergeCell ref="D5280:L5280"/>
    <mergeCell ref="D5281:L5281"/>
    <mergeCell ref="D5282:L5282"/>
    <mergeCell ref="D5283:L5283"/>
    <mergeCell ref="D5284:L5284"/>
    <mergeCell ref="D5285:L5285"/>
    <mergeCell ref="B5178:D5178"/>
    <mergeCell ref="A5029:C5029"/>
    <mergeCell ref="A5030:C5030"/>
    <mergeCell ref="D5022:L5022"/>
    <mergeCell ref="J5092:L5092"/>
    <mergeCell ref="J5198:L5198"/>
    <mergeCell ref="K5199:L5199"/>
    <mergeCell ref="J5208:L5208"/>
    <mergeCell ref="J5105:L5105"/>
    <mergeCell ref="G5203:J5203"/>
    <mergeCell ref="G5204:J5204"/>
    <mergeCell ref="G5199:H5199"/>
    <mergeCell ref="B5200:D5200"/>
    <mergeCell ref="B5201:D5201"/>
    <mergeCell ref="B5202:D5202"/>
    <mergeCell ref="B5174:D5174"/>
    <mergeCell ref="D5193:L5193"/>
    <mergeCell ref="D5194:L5194"/>
    <mergeCell ref="B5170:D5170"/>
    <mergeCell ref="B5172:D5172"/>
    <mergeCell ref="G5033:H5033"/>
    <mergeCell ref="B5059:D5059"/>
    <mergeCell ref="G5059:H5059"/>
    <mergeCell ref="K5059:L5059"/>
    <mergeCell ref="B5060:D5060"/>
    <mergeCell ref="G5060:H5060"/>
    <mergeCell ref="B5063:D5063"/>
    <mergeCell ref="G5063:H5063"/>
    <mergeCell ref="K5063:L5063"/>
    <mergeCell ref="B5064:D5064"/>
    <mergeCell ref="G5064:H5064"/>
    <mergeCell ref="F5078:I5078"/>
    <mergeCell ref="A5054:C5054"/>
    <mergeCell ref="A5055:C5055"/>
    <mergeCell ref="A5056:C5056"/>
    <mergeCell ref="D5048:L5048"/>
    <mergeCell ref="D5049:L5049"/>
    <mergeCell ref="D5050:L5050"/>
    <mergeCell ref="D5051:L5051"/>
    <mergeCell ref="D4874:L4874"/>
    <mergeCell ref="D4875:L4875"/>
    <mergeCell ref="A4973:L4973"/>
    <mergeCell ref="A4982:L4982"/>
    <mergeCell ref="A4994:L4994"/>
    <mergeCell ref="J4917:L4917"/>
    <mergeCell ref="K4918:L4918"/>
    <mergeCell ref="J4959:L4959"/>
    <mergeCell ref="A4956:D4957"/>
    <mergeCell ref="A5025:C5025"/>
    <mergeCell ref="A5026:C5026"/>
    <mergeCell ref="A5027:C5027"/>
    <mergeCell ref="G4975:H4975"/>
    <mergeCell ref="B4976:D4976"/>
    <mergeCell ref="I4977:J4977"/>
    <mergeCell ref="I4978:J4978"/>
    <mergeCell ref="A5005:L5005"/>
    <mergeCell ref="B4960:D4960"/>
    <mergeCell ref="B4954:D4954"/>
    <mergeCell ref="D4845:L4845"/>
    <mergeCell ref="D4846:L4846"/>
    <mergeCell ref="D4847:L4847"/>
    <mergeCell ref="D4848:L4848"/>
    <mergeCell ref="D4849:L4849"/>
    <mergeCell ref="D4850:L4850"/>
    <mergeCell ref="D4851:L4851"/>
    <mergeCell ref="D4852:L4852"/>
    <mergeCell ref="D4853:L4853"/>
    <mergeCell ref="F4972:I4972"/>
    <mergeCell ref="F4993:I4993"/>
    <mergeCell ref="F5004:I5004"/>
    <mergeCell ref="A4867:C4867"/>
    <mergeCell ref="A4868:C4868"/>
    <mergeCell ref="A4869:C4869"/>
    <mergeCell ref="A4870:C4870"/>
    <mergeCell ref="A4871:C4871"/>
    <mergeCell ref="A4872:C4872"/>
    <mergeCell ref="A4873:C4873"/>
    <mergeCell ref="A4874:C4874"/>
    <mergeCell ref="A4875:C4875"/>
    <mergeCell ref="D4867:L4867"/>
    <mergeCell ref="D4868:L4868"/>
    <mergeCell ref="D4869:L4869"/>
    <mergeCell ref="A4866:L4866"/>
    <mergeCell ref="D4870:L4870"/>
    <mergeCell ref="F4824:I4824"/>
    <mergeCell ref="A4825:L4825"/>
    <mergeCell ref="A4826:C4826"/>
    <mergeCell ref="A4827:C4827"/>
    <mergeCell ref="F4865:I4865"/>
    <mergeCell ref="A4828:C4828"/>
    <mergeCell ref="A4829:C4829"/>
    <mergeCell ref="A4830:C4830"/>
    <mergeCell ref="A4831:C4831"/>
    <mergeCell ref="A4832:C4832"/>
    <mergeCell ref="A4833:C4833"/>
    <mergeCell ref="A4834:C4834"/>
    <mergeCell ref="D4826:L4826"/>
    <mergeCell ref="D4827:L4827"/>
    <mergeCell ref="D4828:L4828"/>
    <mergeCell ref="D4829:L4829"/>
    <mergeCell ref="A4846:C4846"/>
    <mergeCell ref="A4847:C4847"/>
    <mergeCell ref="A4848:C4848"/>
    <mergeCell ref="A4849:C4849"/>
    <mergeCell ref="A4850:C4850"/>
    <mergeCell ref="A4851:C4851"/>
    <mergeCell ref="A4852:C4852"/>
    <mergeCell ref="A4853:C4853"/>
    <mergeCell ref="B4857:D4857"/>
    <mergeCell ref="B4858:D4858"/>
    <mergeCell ref="B4860:D4860"/>
    <mergeCell ref="G4860:H4860"/>
    <mergeCell ref="F4861:F4862"/>
    <mergeCell ref="G4862:J4862"/>
    <mergeCell ref="B4863:D4863"/>
    <mergeCell ref="D4778:L4778"/>
    <mergeCell ref="A4812:C4812"/>
    <mergeCell ref="A4813:C4813"/>
    <mergeCell ref="A4814:C4814"/>
    <mergeCell ref="A4815:C4815"/>
    <mergeCell ref="D4807:L4807"/>
    <mergeCell ref="D4808:L4808"/>
    <mergeCell ref="D4809:L4809"/>
    <mergeCell ref="D4810:L4810"/>
    <mergeCell ref="D4811:L4811"/>
    <mergeCell ref="D4812:L4812"/>
    <mergeCell ref="D4813:L4813"/>
    <mergeCell ref="A4730:L4730"/>
    <mergeCell ref="F4757:I4757"/>
    <mergeCell ref="A4772:L4772"/>
    <mergeCell ref="A4773:C4773"/>
    <mergeCell ref="G4784:H4784"/>
    <mergeCell ref="D4773:L4773"/>
    <mergeCell ref="D4744:L4744"/>
    <mergeCell ref="D4746:L4746"/>
    <mergeCell ref="D4747:L4747"/>
    <mergeCell ref="D4748:L4748"/>
    <mergeCell ref="J4731:L4731"/>
    <mergeCell ref="K4732:L4732"/>
    <mergeCell ref="B4755:D4756"/>
    <mergeCell ref="B4797:D4797"/>
    <mergeCell ref="B4786:D4786"/>
    <mergeCell ref="B4798:D4798"/>
    <mergeCell ref="D4775:L4775"/>
    <mergeCell ref="D4776:L4776"/>
    <mergeCell ref="J4759:L4759"/>
    <mergeCell ref="A4634:C4634"/>
    <mergeCell ref="A4635:C4635"/>
    <mergeCell ref="A4739:L4739"/>
    <mergeCell ref="A4593:L4593"/>
    <mergeCell ref="A4600:L4600"/>
    <mergeCell ref="A4611:L4611"/>
    <mergeCell ref="A4615:L4615"/>
    <mergeCell ref="A4637:L4637"/>
    <mergeCell ref="D4830:L4830"/>
    <mergeCell ref="D4831:L4831"/>
    <mergeCell ref="D4832:L4832"/>
    <mergeCell ref="D4833:L4833"/>
    <mergeCell ref="D4834:L4834"/>
    <mergeCell ref="F4843:I4843"/>
    <mergeCell ref="A4844:L4844"/>
    <mergeCell ref="A4845:C4845"/>
    <mergeCell ref="D4779:L4779"/>
    <mergeCell ref="D4780:L4780"/>
    <mergeCell ref="D4781:L4781"/>
    <mergeCell ref="A4777:C4777"/>
    <mergeCell ref="A4778:C4778"/>
    <mergeCell ref="A4779:C4779"/>
    <mergeCell ref="A4780:C4780"/>
    <mergeCell ref="A4781:C4781"/>
    <mergeCell ref="F4771:I4771"/>
    <mergeCell ref="F4793:I4793"/>
    <mergeCell ref="F4805:I4805"/>
    <mergeCell ref="A4806:L4806"/>
    <mergeCell ref="A4807:C4807"/>
    <mergeCell ref="A4808:C4808"/>
    <mergeCell ref="A4809:C4809"/>
    <mergeCell ref="F4738:I4738"/>
    <mergeCell ref="F3770:I3770"/>
    <mergeCell ref="A4816:L4816"/>
    <mergeCell ref="A4835:L4835"/>
    <mergeCell ref="A4854:L4854"/>
    <mergeCell ref="A4876:L4876"/>
    <mergeCell ref="A4881:L4881"/>
    <mergeCell ref="B154:D154"/>
    <mergeCell ref="F4004:I4004"/>
    <mergeCell ref="F4018:I4018"/>
    <mergeCell ref="F4028:I4028"/>
    <mergeCell ref="F4067:I4067"/>
    <mergeCell ref="F4076:I4076"/>
    <mergeCell ref="F4086:I4086"/>
    <mergeCell ref="F4095:I4095"/>
    <mergeCell ref="F4126:I4126"/>
    <mergeCell ref="F4147:I4147"/>
    <mergeCell ref="F4164:I4164"/>
    <mergeCell ref="J4166:L4166"/>
    <mergeCell ref="F4180:I4180"/>
    <mergeCell ref="F4201:I4201"/>
    <mergeCell ref="F4222:I4222"/>
    <mergeCell ref="B160:D160"/>
    <mergeCell ref="B157:D157"/>
    <mergeCell ref="B4118:D4118"/>
    <mergeCell ref="B4119:D4119"/>
    <mergeCell ref="B4141:D4141"/>
    <mergeCell ref="B4142:D4142"/>
    <mergeCell ref="F4143:F4144"/>
    <mergeCell ref="G4143:J4143"/>
    <mergeCell ref="A3771:L3771"/>
    <mergeCell ref="D4814:L4814"/>
    <mergeCell ref="D4815:L4815"/>
    <mergeCell ref="A5258:L5258"/>
    <mergeCell ref="A5286:L5286"/>
    <mergeCell ref="F3415:I3415"/>
    <mergeCell ref="F3426:I3426"/>
    <mergeCell ref="F3439:I3439"/>
    <mergeCell ref="F3482:I3482"/>
    <mergeCell ref="F3454:I3454"/>
    <mergeCell ref="F3465:I3465"/>
    <mergeCell ref="F3503:I3503"/>
    <mergeCell ref="F3512:I3512"/>
    <mergeCell ref="F3530:I3530"/>
    <mergeCell ref="F3549:I3549"/>
    <mergeCell ref="F3561:I3561"/>
    <mergeCell ref="F3605:I3605"/>
    <mergeCell ref="F3631:I3631"/>
    <mergeCell ref="F3644:I3644"/>
    <mergeCell ref="F3655:I3655"/>
    <mergeCell ref="F3672:I3672"/>
    <mergeCell ref="F3683:I3683"/>
    <mergeCell ref="F3694:I3694"/>
    <mergeCell ref="F3709:I3709"/>
    <mergeCell ref="F3726:I3726"/>
    <mergeCell ref="F3737:I3737"/>
    <mergeCell ref="F4524:I4524"/>
    <mergeCell ref="F4558:I4558"/>
    <mergeCell ref="B5034:D5034"/>
    <mergeCell ref="G4960:H4960"/>
    <mergeCell ref="B4961:D4961"/>
    <mergeCell ref="B5007:D5007"/>
    <mergeCell ref="G5007:H5007"/>
    <mergeCell ref="A4645:L4645"/>
    <mergeCell ref="A4653:L4653"/>
    <mergeCell ref="B4977:D4977"/>
    <mergeCell ref="B4978:D4978"/>
    <mergeCell ref="B4979:D4979"/>
    <mergeCell ref="F4626:I4626"/>
    <mergeCell ref="D4634:L4634"/>
    <mergeCell ref="D4635:L4635"/>
    <mergeCell ref="D4636:L4636"/>
    <mergeCell ref="A4629:C4629"/>
    <mergeCell ref="D4629:L4629"/>
    <mergeCell ref="K4647:L4647"/>
    <mergeCell ref="K4751:L4751"/>
    <mergeCell ref="G4677:H4677"/>
    <mergeCell ref="A4749:L4749"/>
    <mergeCell ref="A4758:L4758"/>
    <mergeCell ref="A4740:C4740"/>
    <mergeCell ref="A4741:C4741"/>
    <mergeCell ref="A4742:C4742"/>
    <mergeCell ref="A4743:C4743"/>
    <mergeCell ref="A4744:C4744"/>
    <mergeCell ref="A4745:C4745"/>
    <mergeCell ref="A4746:C4746"/>
    <mergeCell ref="A4747:C4747"/>
    <mergeCell ref="A4748:C4748"/>
    <mergeCell ref="D4740:L4740"/>
    <mergeCell ref="D4741:L4741"/>
    <mergeCell ref="D4742:L4742"/>
    <mergeCell ref="D4743:L4743"/>
    <mergeCell ref="D4745:L4745"/>
    <mergeCell ref="A4810:C4810"/>
    <mergeCell ref="A4811:C4811"/>
    <mergeCell ref="C4783:D4783"/>
    <mergeCell ref="B4784:D4784"/>
    <mergeCell ref="B4280:D4280"/>
    <mergeCell ref="I4309:J4309"/>
    <mergeCell ref="B4310:D4310"/>
    <mergeCell ref="A4461:C4461"/>
    <mergeCell ref="A4462:C4462"/>
    <mergeCell ref="C4464:D4464"/>
    <mergeCell ref="D4461:L4461"/>
    <mergeCell ref="D4462:L4462"/>
    <mergeCell ref="A4454:C4454"/>
    <mergeCell ref="A4455:C4455"/>
    <mergeCell ref="F4328:I4328"/>
    <mergeCell ref="A4457:C4457"/>
    <mergeCell ref="A4458:C4458"/>
    <mergeCell ref="A4459:C4459"/>
    <mergeCell ref="B4438:D4438"/>
    <mergeCell ref="B4439:D4439"/>
    <mergeCell ref="F4440:F4441"/>
    <mergeCell ref="A4460:C4460"/>
    <mergeCell ref="B4448:D4448"/>
    <mergeCell ref="C4576:D4576"/>
    <mergeCell ref="A4588:C4588"/>
    <mergeCell ref="A4589:C4589"/>
    <mergeCell ref="A4590:C4590"/>
    <mergeCell ref="A4591:C4591"/>
    <mergeCell ref="A4592:C4592"/>
    <mergeCell ref="C4512:D4512"/>
    <mergeCell ref="B4513:D4513"/>
    <mergeCell ref="G4513:H4513"/>
    <mergeCell ref="A4525:L4525"/>
    <mergeCell ref="A4543:L4543"/>
    <mergeCell ref="A4463:L4463"/>
    <mergeCell ref="A4471:L4471"/>
    <mergeCell ref="A4480:L4480"/>
    <mergeCell ref="F4400:I4400"/>
    <mergeCell ref="F4411:I4411"/>
    <mergeCell ref="F4422:I4422"/>
    <mergeCell ref="F4444:I4444"/>
    <mergeCell ref="F4479:I4479"/>
    <mergeCell ref="I3922:J3922"/>
    <mergeCell ref="A3782:L3782"/>
    <mergeCell ref="A3793:L3793"/>
    <mergeCell ref="A3853:L3853"/>
    <mergeCell ref="A3864:L3864"/>
    <mergeCell ref="B4158:D4158"/>
    <mergeCell ref="B4321:D4321"/>
    <mergeCell ref="B4322:D4322"/>
    <mergeCell ref="A4636:C4636"/>
    <mergeCell ref="D4630:L4630"/>
    <mergeCell ref="D4631:L4631"/>
    <mergeCell ref="D4632:L4632"/>
    <mergeCell ref="F4391:I4391"/>
    <mergeCell ref="F4238:I4238"/>
    <mergeCell ref="A4019:L4019"/>
    <mergeCell ref="A4029:L4029"/>
    <mergeCell ref="A4046:L4046"/>
    <mergeCell ref="A4051:L4051"/>
    <mergeCell ref="A4068:L4068"/>
    <mergeCell ref="A4077:L4077"/>
    <mergeCell ref="A4087:L4087"/>
    <mergeCell ref="A4096:L4096"/>
    <mergeCell ref="A4137:L4137"/>
    <mergeCell ref="A4148:L4148"/>
    <mergeCell ref="A4165:L4165"/>
    <mergeCell ref="A4172:L4172"/>
    <mergeCell ref="A4181:L4181"/>
    <mergeCell ref="A4193:L4193"/>
    <mergeCell ref="A4202:L4202"/>
    <mergeCell ref="A4210:L4210"/>
    <mergeCell ref="A4223:L4223"/>
    <mergeCell ref="A4567:L4567"/>
    <mergeCell ref="B3543:D3543"/>
    <mergeCell ref="G3543:H3543"/>
    <mergeCell ref="B3753:D3753"/>
    <mergeCell ref="G3722:J3722"/>
    <mergeCell ref="G3723:J3723"/>
    <mergeCell ref="B4187:D4187"/>
    <mergeCell ref="I4187:J4187"/>
    <mergeCell ref="B4188:D4188"/>
    <mergeCell ref="I4188:J4188"/>
    <mergeCell ref="B4189:D4189"/>
    <mergeCell ref="I4189:J4189"/>
    <mergeCell ref="B4115:D4115"/>
    <mergeCell ref="F3781:I3781"/>
    <mergeCell ref="F3792:I3792"/>
    <mergeCell ref="F3803:I3803"/>
    <mergeCell ref="F3824:I3824"/>
    <mergeCell ref="F3840:I3840"/>
    <mergeCell ref="F3852:I3852"/>
    <mergeCell ref="F3863:I3863"/>
    <mergeCell ref="F3881:I3881"/>
    <mergeCell ref="F3890:I3890"/>
    <mergeCell ref="F3899:I3899"/>
    <mergeCell ref="F3908:I3908"/>
    <mergeCell ref="F3919:I3919"/>
    <mergeCell ref="F3936:I3936"/>
    <mergeCell ref="G3784:H3784"/>
    <mergeCell ref="C3921:D3921"/>
    <mergeCell ref="C3783:D3783"/>
    <mergeCell ref="B3784:D3784"/>
    <mergeCell ref="B3922:D3922"/>
    <mergeCell ref="G3922:H3922"/>
    <mergeCell ref="A3695:L3695"/>
    <mergeCell ref="A3710:L3710"/>
    <mergeCell ref="A3715:L3715"/>
    <mergeCell ref="A3727:L3727"/>
    <mergeCell ref="A3738:L3738"/>
    <mergeCell ref="A3749:L3749"/>
    <mergeCell ref="A3760:L3760"/>
    <mergeCell ref="J3728:L3728"/>
    <mergeCell ref="G3669:J3669"/>
    <mergeCell ref="J3696:L3696"/>
    <mergeCell ref="F3705:F3706"/>
    <mergeCell ref="G3705:J3705"/>
    <mergeCell ref="G3706:J3706"/>
    <mergeCell ref="J3711:L3711"/>
    <mergeCell ref="B3741:D3741"/>
    <mergeCell ref="F3722:F3723"/>
    <mergeCell ref="C3728:D3728"/>
    <mergeCell ref="F3755:F3756"/>
    <mergeCell ref="G3717:H3717"/>
    <mergeCell ref="J3674:L3674"/>
    <mergeCell ref="J3685:L3685"/>
    <mergeCell ref="F3748:I3748"/>
    <mergeCell ref="F3759:I3759"/>
    <mergeCell ref="J335:L335"/>
    <mergeCell ref="B603:D603"/>
    <mergeCell ref="G602:H602"/>
    <mergeCell ref="F1848:I1848"/>
    <mergeCell ref="G3680:J3680"/>
    <mergeCell ref="C3674:D3674"/>
    <mergeCell ref="F2409:I2409"/>
    <mergeCell ref="F2441:I2441"/>
    <mergeCell ref="F2471:I2471"/>
    <mergeCell ref="F2501:I2501"/>
    <mergeCell ref="F2615:I2615"/>
    <mergeCell ref="F2650:I2650"/>
    <mergeCell ref="F2670:I2670"/>
    <mergeCell ref="F2692:I2692"/>
    <mergeCell ref="F2885:I2885"/>
    <mergeCell ref="F3060:I3060"/>
    <mergeCell ref="F3071:I3071"/>
    <mergeCell ref="F2382:I2382"/>
    <mergeCell ref="F2148:I2148"/>
    <mergeCell ref="F2173:I2173"/>
    <mergeCell ref="F2187:I2187"/>
    <mergeCell ref="F2208:I2208"/>
    <mergeCell ref="F2253:I2253"/>
    <mergeCell ref="F2266:I2266"/>
    <mergeCell ref="F2304:I2304"/>
    <mergeCell ref="G2611:J2611"/>
    <mergeCell ref="F2611:F2612"/>
    <mergeCell ref="G2960:H2960"/>
    <mergeCell ref="F2006:I2006"/>
    <mergeCell ref="F2024:I2024"/>
    <mergeCell ref="H2861:J2861"/>
    <mergeCell ref="K382:L382"/>
    <mergeCell ref="B3349:D3349"/>
    <mergeCell ref="F3394:I3394"/>
    <mergeCell ref="A3405:L3405"/>
    <mergeCell ref="A3416:L3416"/>
    <mergeCell ref="A3427:L3427"/>
    <mergeCell ref="A3440:L3440"/>
    <mergeCell ref="A3455:L3455"/>
    <mergeCell ref="A3466:L3466"/>
    <mergeCell ref="A3504:L3504"/>
    <mergeCell ref="A3513:L3513"/>
    <mergeCell ref="A3541:L3541"/>
    <mergeCell ref="A3550:L3550"/>
    <mergeCell ref="A3572:L3572"/>
    <mergeCell ref="B2835:D2835"/>
    <mergeCell ref="B2836:D2836"/>
    <mergeCell ref="A401:C401"/>
    <mergeCell ref="D400:L400"/>
    <mergeCell ref="D401:L401"/>
    <mergeCell ref="I395:J395"/>
    <mergeCell ref="I396:J396"/>
    <mergeCell ref="A388:L388"/>
    <mergeCell ref="C389:D389"/>
    <mergeCell ref="J389:L389"/>
    <mergeCell ref="C390:D390"/>
    <mergeCell ref="K390:L390"/>
    <mergeCell ref="B391:D391"/>
    <mergeCell ref="B382:D382"/>
    <mergeCell ref="B383:D383"/>
    <mergeCell ref="D3570:L3570"/>
    <mergeCell ref="G3552:H3552"/>
    <mergeCell ref="I383:J383"/>
    <mergeCell ref="B3729:D3729"/>
    <mergeCell ref="G3729:H3729"/>
    <mergeCell ref="J3716:L3716"/>
    <mergeCell ref="B3699:D3699"/>
    <mergeCell ref="B3700:D3700"/>
    <mergeCell ref="A3595:L3595"/>
    <mergeCell ref="A3616:L3616"/>
    <mergeCell ref="A3621:L3621"/>
    <mergeCell ref="A3632:L3632"/>
    <mergeCell ref="A3645:L3645"/>
    <mergeCell ref="A3656:L3656"/>
    <mergeCell ref="A3661:L3661"/>
    <mergeCell ref="A3673:L3673"/>
    <mergeCell ref="A3684:L3684"/>
    <mergeCell ref="D3571:L3571"/>
    <mergeCell ref="J3646:L3646"/>
    <mergeCell ref="B3687:D3687"/>
    <mergeCell ref="G3575:H3575"/>
    <mergeCell ref="I3575:J3575"/>
    <mergeCell ref="C3573:D3573"/>
    <mergeCell ref="B3576:D3576"/>
    <mergeCell ref="B3664:D3664"/>
    <mergeCell ref="B3665:D3665"/>
    <mergeCell ref="B3666:D3666"/>
    <mergeCell ref="F3668:F3669"/>
    <mergeCell ref="G3668:J3668"/>
    <mergeCell ref="C3637:D3637"/>
    <mergeCell ref="B3638:D3638"/>
    <mergeCell ref="G3638:H3638"/>
    <mergeCell ref="C3662:D3662"/>
    <mergeCell ref="B3663:D3663"/>
    <mergeCell ref="A3569:C3569"/>
    <mergeCell ref="D3568:L3568"/>
    <mergeCell ref="C3417:D3417"/>
    <mergeCell ref="B3418:D3418"/>
    <mergeCell ref="G3418:H3418"/>
    <mergeCell ref="C3761:D3761"/>
    <mergeCell ref="C3750:D3750"/>
    <mergeCell ref="B3751:D3751"/>
    <mergeCell ref="G3751:H3751"/>
    <mergeCell ref="F3744:F3745"/>
    <mergeCell ref="G3744:J3744"/>
    <mergeCell ref="G3745:J3745"/>
    <mergeCell ref="C3739:D3739"/>
    <mergeCell ref="B3740:D3740"/>
    <mergeCell ref="B3697:D3697"/>
    <mergeCell ref="G3697:H3697"/>
    <mergeCell ref="B3698:D3698"/>
    <mergeCell ref="I3713:J3713"/>
    <mergeCell ref="A3570:C3570"/>
    <mergeCell ref="D3569:L3569"/>
    <mergeCell ref="A3571:C3571"/>
    <mergeCell ref="C3591:D3591"/>
    <mergeCell ref="B3592:D3592"/>
    <mergeCell ref="G3592:H3592"/>
    <mergeCell ref="I3592:J3592"/>
    <mergeCell ref="F3690:F3691"/>
    <mergeCell ref="B3701:D3701"/>
    <mergeCell ref="B3688:D3688"/>
    <mergeCell ref="B3717:D3717"/>
    <mergeCell ref="A3562:L3562"/>
    <mergeCell ref="D4586:L4586"/>
    <mergeCell ref="D4587:L4587"/>
    <mergeCell ref="D4588:L4588"/>
    <mergeCell ref="D4589:L4589"/>
    <mergeCell ref="D4590:L4590"/>
    <mergeCell ref="D4591:L4591"/>
    <mergeCell ref="A4627:L4627"/>
    <mergeCell ref="A4628:C4628"/>
    <mergeCell ref="D4628:L4628"/>
    <mergeCell ref="J4601:L4601"/>
    <mergeCell ref="G4570:H4570"/>
    <mergeCell ref="J4616:L4616"/>
    <mergeCell ref="K4617:L4617"/>
    <mergeCell ref="F4610:I4610"/>
    <mergeCell ref="A4526:C4526"/>
    <mergeCell ref="G4521:J4521"/>
    <mergeCell ref="A4531:C4531"/>
    <mergeCell ref="B4578:D4578"/>
    <mergeCell ref="F4579:F4580"/>
    <mergeCell ref="G4579:J4579"/>
    <mergeCell ref="D4592:L4592"/>
    <mergeCell ref="D4527:L4527"/>
    <mergeCell ref="F4539:F4540"/>
    <mergeCell ref="G4539:J4539"/>
    <mergeCell ref="K4570:L4570"/>
    <mergeCell ref="K4545:L4545"/>
    <mergeCell ref="J4536:L4536"/>
    <mergeCell ref="B4541:D4541"/>
    <mergeCell ref="B4542:D4542"/>
    <mergeCell ref="A4559:L4559"/>
    <mergeCell ref="B4563:D4563"/>
    <mergeCell ref="B4618:D4618"/>
    <mergeCell ref="B3774:D3774"/>
    <mergeCell ref="B3775:D3775"/>
    <mergeCell ref="B3702:D3702"/>
    <mergeCell ref="B3703:D3703"/>
    <mergeCell ref="B3704:D3704"/>
    <mergeCell ref="B3752:D3752"/>
    <mergeCell ref="B3742:D3742"/>
    <mergeCell ref="G3740:H3740"/>
    <mergeCell ref="A4633:C4633"/>
    <mergeCell ref="D4526:L4526"/>
    <mergeCell ref="B4577:D4577"/>
    <mergeCell ref="G4577:H4577"/>
    <mergeCell ref="B4570:D4570"/>
    <mergeCell ref="B4571:D4571"/>
    <mergeCell ref="B4572:D4572"/>
    <mergeCell ref="C4613:E4613"/>
    <mergeCell ref="J4594:L4594"/>
    <mergeCell ref="K4561:L4561"/>
    <mergeCell ref="C4544:D4544"/>
    <mergeCell ref="B4545:D4545"/>
    <mergeCell ref="G4545:H4545"/>
    <mergeCell ref="F4606:F4607"/>
    <mergeCell ref="A4573:L4574"/>
    <mergeCell ref="A4532:C4532"/>
    <mergeCell ref="K4602:L4602"/>
    <mergeCell ref="B4566:D4566"/>
    <mergeCell ref="C4569:D4569"/>
    <mergeCell ref="B4561:D4561"/>
    <mergeCell ref="B4596:D4596"/>
    <mergeCell ref="I4596:J4596"/>
    <mergeCell ref="B4597:D4597"/>
    <mergeCell ref="D4633:L4633"/>
    <mergeCell ref="B3553:D3553"/>
    <mergeCell ref="B3554:D3554"/>
    <mergeCell ref="B3555:D3555"/>
    <mergeCell ref="J4194:L4194"/>
    <mergeCell ref="J4211:L4211"/>
    <mergeCell ref="J4231:L4231"/>
    <mergeCell ref="J4240:L4240"/>
    <mergeCell ref="J4316:L4316"/>
    <mergeCell ref="J4330:L4330"/>
    <mergeCell ref="J4379:L4379"/>
    <mergeCell ref="J4393:L4393"/>
    <mergeCell ref="J4402:L4402"/>
    <mergeCell ref="J4413:L4413"/>
    <mergeCell ref="J4434:L4434"/>
    <mergeCell ref="K3647:L3647"/>
    <mergeCell ref="B3676:D3676"/>
    <mergeCell ref="B3677:D3677"/>
    <mergeCell ref="F3679:F3680"/>
    <mergeCell ref="G3679:J3679"/>
    <mergeCell ref="B4116:D4116"/>
    <mergeCell ref="B4117:D4117"/>
    <mergeCell ref="B3675:D3675"/>
    <mergeCell ref="G3675:H3675"/>
    <mergeCell ref="A3871:L3871"/>
    <mergeCell ref="A3882:L3882"/>
    <mergeCell ref="A3891:L3891"/>
    <mergeCell ref="A3900:L3900"/>
    <mergeCell ref="A3909:L3909"/>
    <mergeCell ref="A3920:L3920"/>
    <mergeCell ref="J3739:L3739"/>
    <mergeCell ref="J3750:L3750"/>
    <mergeCell ref="J3761:L3761"/>
    <mergeCell ref="F3545:F3546"/>
    <mergeCell ref="C3551:D3551"/>
    <mergeCell ref="G3691:J3691"/>
    <mergeCell ref="C3696:D3696"/>
    <mergeCell ref="B3718:D3718"/>
    <mergeCell ref="B3720:D3720"/>
    <mergeCell ref="B3713:D3713"/>
    <mergeCell ref="F3640:F3641"/>
    <mergeCell ref="G3640:J3640"/>
    <mergeCell ref="G3641:J3641"/>
    <mergeCell ref="B3648:D3648"/>
    <mergeCell ref="J3657:L3657"/>
    <mergeCell ref="K3658:L3658"/>
    <mergeCell ref="C3685:D3685"/>
    <mergeCell ref="B3686:D3686"/>
    <mergeCell ref="J3591:L3591"/>
    <mergeCell ref="K3592:L3592"/>
    <mergeCell ref="J3596:L3596"/>
    <mergeCell ref="K3597:L3597"/>
    <mergeCell ref="G3690:J3690"/>
    <mergeCell ref="B3714:D3714"/>
    <mergeCell ref="C3716:D3716"/>
    <mergeCell ref="C3711:D3711"/>
    <mergeCell ref="B3712:D3712"/>
    <mergeCell ref="G3712:H3712"/>
    <mergeCell ref="I3712:J3712"/>
    <mergeCell ref="A3577:L3577"/>
    <mergeCell ref="K3552:L3552"/>
    <mergeCell ref="D3567:L3567"/>
    <mergeCell ref="G3558:J3558"/>
    <mergeCell ref="B3552:D3552"/>
    <mergeCell ref="G3412:J3412"/>
    <mergeCell ref="A3534:C3534"/>
    <mergeCell ref="D3533:L3533"/>
    <mergeCell ref="A3535:C3535"/>
    <mergeCell ref="D3534:L3534"/>
    <mergeCell ref="B3524:D3524"/>
    <mergeCell ref="G3546:J3546"/>
    <mergeCell ref="A3537:C3537"/>
    <mergeCell ref="D3536:L3536"/>
    <mergeCell ref="D3537:L3537"/>
    <mergeCell ref="B3515:D3515"/>
    <mergeCell ref="G3515:H3515"/>
    <mergeCell ref="B3516:D3516"/>
    <mergeCell ref="B3517:D3517"/>
    <mergeCell ref="B3518:D3518"/>
    <mergeCell ref="K3515:L3515"/>
    <mergeCell ref="K3495:L3495"/>
    <mergeCell ref="J3514:L3514"/>
    <mergeCell ref="B3519:D3519"/>
    <mergeCell ref="B3544:D3544"/>
    <mergeCell ref="B3522:D3522"/>
    <mergeCell ref="B3523:D3523"/>
    <mergeCell ref="F3526:F3527"/>
    <mergeCell ref="G3526:J3526"/>
    <mergeCell ref="G3527:J3527"/>
    <mergeCell ref="B3498:D3498"/>
    <mergeCell ref="C3542:D3542"/>
    <mergeCell ref="F3499:F3500"/>
    <mergeCell ref="G3499:J3499"/>
    <mergeCell ref="A3536:C3536"/>
    <mergeCell ref="D3535:L3535"/>
    <mergeCell ref="G3545:J3545"/>
    <mergeCell ref="I4614:J4614"/>
    <mergeCell ref="A4630:C4630"/>
    <mergeCell ref="A3532:C3532"/>
    <mergeCell ref="G4494:H4494"/>
    <mergeCell ref="X2959:Z2959"/>
    <mergeCell ref="P2960:R2960"/>
    <mergeCell ref="U2960:V2960"/>
    <mergeCell ref="Y2960:Z2960"/>
    <mergeCell ref="P2961:R2961"/>
    <mergeCell ref="U2961:V2961"/>
    <mergeCell ref="B3012:D3012"/>
    <mergeCell ref="I3012:J3012"/>
    <mergeCell ref="C3008:D3008"/>
    <mergeCell ref="J3008:L3008"/>
    <mergeCell ref="B3009:D3009"/>
    <mergeCell ref="I3009:J3009"/>
    <mergeCell ref="K3009:L3009"/>
    <mergeCell ref="A3007:L3007"/>
    <mergeCell ref="B3013:D3013"/>
    <mergeCell ref="I3013:J3013"/>
    <mergeCell ref="C3445:D3445"/>
    <mergeCell ref="A3398:C3398"/>
    <mergeCell ref="D3397:L3397"/>
    <mergeCell ref="J3303:L3303"/>
    <mergeCell ref="A3374:L3374"/>
    <mergeCell ref="I3245:J3245"/>
    <mergeCell ref="D3301:L3301"/>
    <mergeCell ref="B3021:D3021"/>
    <mergeCell ref="Q2959:R2959"/>
    <mergeCell ref="I3020:J3020"/>
    <mergeCell ref="K3020:L3020"/>
    <mergeCell ref="G3021:H3021"/>
    <mergeCell ref="B3055:D3055"/>
    <mergeCell ref="C3130:D3130"/>
    <mergeCell ref="D3398:L3398"/>
    <mergeCell ref="C3210:D3210"/>
    <mergeCell ref="J4724:L4724"/>
    <mergeCell ref="K4725:L4725"/>
    <mergeCell ref="J4576:L4576"/>
    <mergeCell ref="B3525:D3525"/>
    <mergeCell ref="I4647:J4647"/>
    <mergeCell ref="J4646:L4646"/>
    <mergeCell ref="J3892:L3892"/>
    <mergeCell ref="A4533:C4533"/>
    <mergeCell ref="G4206:J4206"/>
    <mergeCell ref="B4362:D4362"/>
    <mergeCell ref="G4325:J4325"/>
    <mergeCell ref="B4314:D4314"/>
    <mergeCell ref="C4316:D4316"/>
    <mergeCell ref="B4242:D4242"/>
    <mergeCell ref="I4242:J4242"/>
    <mergeCell ref="K4577:L4577"/>
    <mergeCell ref="J3783:L3783"/>
    <mergeCell ref="B3719:D3719"/>
    <mergeCell ref="B4466:D4466"/>
    <mergeCell ref="F4467:F4468"/>
    <mergeCell ref="A4535:L4535"/>
    <mergeCell ref="B4641:D4641"/>
    <mergeCell ref="E4572:H4572"/>
    <mergeCell ref="C4601:D4601"/>
    <mergeCell ref="I4613:J4613"/>
    <mergeCell ref="C4612:D4612"/>
    <mergeCell ref="J4612:L4612"/>
    <mergeCell ref="C4614:D4614"/>
    <mergeCell ref="B3235:D3235"/>
    <mergeCell ref="B3245:D3245"/>
    <mergeCell ref="B3212:D3212"/>
    <mergeCell ref="J3220:L3220"/>
    <mergeCell ref="B3020:D3020"/>
    <mergeCell ref="C3231:D3231"/>
    <mergeCell ref="A3156:C3156"/>
    <mergeCell ref="D3155:L3155"/>
    <mergeCell ref="C3093:D3093"/>
    <mergeCell ref="K3136:L3136"/>
    <mergeCell ref="G3180:H3180"/>
    <mergeCell ref="B3170:D3170"/>
    <mergeCell ref="B3171:D3171"/>
    <mergeCell ref="B3172:D3172"/>
    <mergeCell ref="B3386:D3386"/>
    <mergeCell ref="A3396:C3396"/>
    <mergeCell ref="A3397:C3397"/>
    <mergeCell ref="D3396:L3396"/>
    <mergeCell ref="A3119:L3119"/>
    <mergeCell ref="B3101:D3101"/>
    <mergeCell ref="B3096:D3096"/>
    <mergeCell ref="F3046:F3047"/>
    <mergeCell ref="A3023:L3023"/>
    <mergeCell ref="G3020:H3020"/>
    <mergeCell ref="G3174:J3174"/>
    <mergeCell ref="B3211:D3211"/>
    <mergeCell ref="G3056:J3056"/>
    <mergeCell ref="G3057:J3057"/>
    <mergeCell ref="C3062:D3062"/>
    <mergeCell ref="J3062:L3062"/>
    <mergeCell ref="A3061:L3061"/>
    <mergeCell ref="B3052:D3052"/>
    <mergeCell ref="B2986:D2986"/>
    <mergeCell ref="B3002:D3002"/>
    <mergeCell ref="I2969:J2969"/>
    <mergeCell ref="K2969:L2969"/>
    <mergeCell ref="B2975:D2975"/>
    <mergeCell ref="B2976:D2976"/>
    <mergeCell ref="B2994:D2994"/>
    <mergeCell ref="B2998:D2998"/>
    <mergeCell ref="B2999:D2999"/>
    <mergeCell ref="A2995:L2995"/>
    <mergeCell ref="I2965:J2965"/>
    <mergeCell ref="J4493:L4493"/>
    <mergeCell ref="I2986:J2986"/>
    <mergeCell ref="B2991:D2991"/>
    <mergeCell ref="G4450:J4450"/>
    <mergeCell ref="A4430:C4430"/>
    <mergeCell ref="B4339:D4339"/>
    <mergeCell ref="B4364:D4364"/>
    <mergeCell ref="I4364:J4364"/>
    <mergeCell ref="B4357:D4357"/>
    <mergeCell ref="I4357:J4357"/>
    <mergeCell ref="B4358:D4358"/>
    <mergeCell ref="I4358:J4358"/>
    <mergeCell ref="G4354:H4354"/>
    <mergeCell ref="D4424:L4424"/>
    <mergeCell ref="C4353:D4353"/>
    <mergeCell ref="J4290:L4290"/>
    <mergeCell ref="G3422:J3422"/>
    <mergeCell ref="K3256:L3256"/>
    <mergeCell ref="A3271:L3271"/>
    <mergeCell ref="D3277:L3277"/>
    <mergeCell ref="D3280:L3280"/>
    <mergeCell ref="A2627:L2627"/>
    <mergeCell ref="B2625:D2625"/>
    <mergeCell ref="G2626:H2626"/>
    <mergeCell ref="B2987:D2987"/>
    <mergeCell ref="C2989:D2989"/>
    <mergeCell ref="C4504:D4504"/>
    <mergeCell ref="C4493:D4493"/>
    <mergeCell ref="B4494:D4494"/>
    <mergeCell ref="B4539:D4539"/>
    <mergeCell ref="F3422:F3423"/>
    <mergeCell ref="A4632:C4632"/>
    <mergeCell ref="B2949:D2949"/>
    <mergeCell ref="G2949:H2949"/>
    <mergeCell ref="K2949:L2949"/>
    <mergeCell ref="B2950:D2950"/>
    <mergeCell ref="J2968:L2968"/>
    <mergeCell ref="B2969:D2969"/>
    <mergeCell ref="G2969:H2969"/>
    <mergeCell ref="B2965:D2965"/>
    <mergeCell ref="C2963:D2963"/>
    <mergeCell ref="J2963:L2963"/>
    <mergeCell ref="B2964:D2964"/>
    <mergeCell ref="G2964:H2964"/>
    <mergeCell ref="K2974:L2974"/>
    <mergeCell ref="G2974:H2974"/>
    <mergeCell ref="J2973:L2973"/>
    <mergeCell ref="B2960:D2960"/>
    <mergeCell ref="C3428:D3428"/>
    <mergeCell ref="K2990:L2990"/>
    <mergeCell ref="B2992:D2992"/>
    <mergeCell ref="I2992:J2992"/>
    <mergeCell ref="I2993:J2993"/>
    <mergeCell ref="G2959:H2959"/>
    <mergeCell ref="I2959:J2959"/>
    <mergeCell ref="K2959:L2959"/>
    <mergeCell ref="C2948:D2948"/>
    <mergeCell ref="J2948:L2948"/>
    <mergeCell ref="B2952:D2952"/>
    <mergeCell ref="F2953:F2954"/>
    <mergeCell ref="G2953:J2953"/>
    <mergeCell ref="B2940:D2940"/>
    <mergeCell ref="I2940:J2940"/>
    <mergeCell ref="C2958:D2958"/>
    <mergeCell ref="J2958:L2958"/>
    <mergeCell ref="B2823:D2823"/>
    <mergeCell ref="B2825:D2825"/>
    <mergeCell ref="D2868:L2868"/>
    <mergeCell ref="I2846:J2846"/>
    <mergeCell ref="B2899:D2899"/>
    <mergeCell ref="B2900:D2900"/>
    <mergeCell ref="B2901:D2901"/>
    <mergeCell ref="B2912:D2912"/>
    <mergeCell ref="B2913:D2913"/>
    <mergeCell ref="F2913:F2914"/>
    <mergeCell ref="B2838:D2838"/>
    <mergeCell ref="A2843:L2843"/>
    <mergeCell ref="B2826:D2826"/>
    <mergeCell ref="H2825:J2825"/>
    <mergeCell ref="A2868:C2868"/>
    <mergeCell ref="C2590:D2590"/>
    <mergeCell ref="J2590:L2590"/>
    <mergeCell ref="G2612:J2612"/>
    <mergeCell ref="F2971:H2971"/>
    <mergeCell ref="B2529:D2529"/>
    <mergeCell ref="G2559:I2559"/>
    <mergeCell ref="B2555:D2555"/>
    <mergeCell ref="G2555:H2555"/>
    <mergeCell ref="I2964:J2964"/>
    <mergeCell ref="K2964:L2964"/>
    <mergeCell ref="B2961:D2961"/>
    <mergeCell ref="J2876:L2876"/>
    <mergeCell ref="B2877:D2877"/>
    <mergeCell ref="G2860:J2860"/>
    <mergeCell ref="B2941:D2941"/>
    <mergeCell ref="A2942:L2942"/>
    <mergeCell ref="A2947:L2947"/>
    <mergeCell ref="B2822:D2822"/>
    <mergeCell ref="B2610:E2610"/>
    <mergeCell ref="A2616:L2616"/>
    <mergeCell ref="B2604:D2604"/>
    <mergeCell ref="B2605:D2605"/>
    <mergeCell ref="B2606:D2606"/>
    <mergeCell ref="B2607:D2607"/>
    <mergeCell ref="B2608:D2608"/>
    <mergeCell ref="B2609:D2609"/>
    <mergeCell ref="C2602:D2602"/>
    <mergeCell ref="I2845:J2845"/>
    <mergeCell ref="K2944:L2944"/>
    <mergeCell ref="B2859:D2859"/>
    <mergeCell ref="F2860:F2861"/>
    <mergeCell ref="J2602:L2602"/>
    <mergeCell ref="J3772:L3772"/>
    <mergeCell ref="I4707:J4707"/>
    <mergeCell ref="B4708:D4708"/>
    <mergeCell ref="I4708:J4708"/>
    <mergeCell ref="B2177:D2177"/>
    <mergeCell ref="G603:H603"/>
    <mergeCell ref="J775:L775"/>
    <mergeCell ref="C766:D766"/>
    <mergeCell ref="B2997:D2997"/>
    <mergeCell ref="G2997:H2997"/>
    <mergeCell ref="I2960:J2960"/>
    <mergeCell ref="C2531:D2531"/>
    <mergeCell ref="J2531:L2531"/>
    <mergeCell ref="B2532:D2532"/>
    <mergeCell ref="G2532:H2532"/>
    <mergeCell ref="I2532:J2532"/>
    <mergeCell ref="K2532:L2532"/>
    <mergeCell ref="A2530:L2530"/>
    <mergeCell ref="B2525:D2525"/>
    <mergeCell ref="I2525:J2525"/>
    <mergeCell ref="B2526:D2526"/>
    <mergeCell ref="A2988:L2988"/>
    <mergeCell ref="I2526:J2526"/>
    <mergeCell ref="B2527:D2527"/>
    <mergeCell ref="I2527:J2527"/>
    <mergeCell ref="B2966:D2966"/>
    <mergeCell ref="A2967:L2967"/>
    <mergeCell ref="B2974:D2974"/>
    <mergeCell ref="B2524:D2524"/>
    <mergeCell ref="F2183:F2184"/>
    <mergeCell ref="F2107:I2107"/>
    <mergeCell ref="B787:D787"/>
    <mergeCell ref="C4983:D4983"/>
    <mergeCell ref="J4983:L4983"/>
    <mergeCell ref="B4984:D4984"/>
    <mergeCell ref="G4984:H4984"/>
    <mergeCell ref="J3927:L3927"/>
    <mergeCell ref="J3938:L3938"/>
    <mergeCell ref="J3960:L3960"/>
    <mergeCell ref="J3976:L3976"/>
    <mergeCell ref="J3988:L3988"/>
    <mergeCell ref="J3997:L3997"/>
    <mergeCell ref="J4010:L4010"/>
    <mergeCell ref="J4020:L4020"/>
    <mergeCell ref="J4030:L4030"/>
    <mergeCell ref="J4047:L4047"/>
    <mergeCell ref="J4056:L4056"/>
    <mergeCell ref="J4069:L4069"/>
    <mergeCell ref="J4078:L4078"/>
    <mergeCell ref="J4088:L4088"/>
    <mergeCell ref="J4097:L4097"/>
    <mergeCell ref="K4960:L4960"/>
    <mergeCell ref="G4925:J4925"/>
    <mergeCell ref="G4926:J4926"/>
    <mergeCell ref="J4942:L4942"/>
    <mergeCell ref="A4722:D4722"/>
    <mergeCell ref="B4648:D4648"/>
    <mergeCell ref="I4648:J4648"/>
    <mergeCell ref="B4649:D4649"/>
    <mergeCell ref="I4649:J4649"/>
    <mergeCell ref="B4650:D4650"/>
    <mergeCell ref="I4650:J4650"/>
    <mergeCell ref="C4646:D4646"/>
    <mergeCell ref="B4647:D4647"/>
    <mergeCell ref="G297:H297"/>
    <mergeCell ref="G300:H300"/>
    <mergeCell ref="K300:L300"/>
    <mergeCell ref="J281:L281"/>
    <mergeCell ref="C2047:D2047"/>
    <mergeCell ref="J2047:L2047"/>
    <mergeCell ref="B301:D301"/>
    <mergeCell ref="G301:H301"/>
    <mergeCell ref="B304:D304"/>
    <mergeCell ref="G304:H304"/>
    <mergeCell ref="K304:L304"/>
    <mergeCell ref="B305:D305"/>
    <mergeCell ref="G305:H305"/>
    <mergeCell ref="C1860:D1860"/>
    <mergeCell ref="J1860:L1860"/>
    <mergeCell ref="A302:L302"/>
    <mergeCell ref="C303:D303"/>
    <mergeCell ref="J303:L303"/>
    <mergeCell ref="K602:L602"/>
    <mergeCell ref="A1376:D1377"/>
    <mergeCell ref="A1397:D1398"/>
    <mergeCell ref="B2016:D2016"/>
    <mergeCell ref="F2045:I2045"/>
    <mergeCell ref="A355:L355"/>
    <mergeCell ref="C356:D356"/>
    <mergeCell ref="I358:J358"/>
    <mergeCell ref="F362:F363"/>
    <mergeCell ref="G362:J362"/>
    <mergeCell ref="D368:L368"/>
    <mergeCell ref="C412:D412"/>
    <mergeCell ref="B602:D602"/>
    <mergeCell ref="G382:H382"/>
    <mergeCell ref="J270:L270"/>
    <mergeCell ref="C253:D253"/>
    <mergeCell ref="J253:L253"/>
    <mergeCell ref="A269:L269"/>
    <mergeCell ref="H249:I249"/>
    <mergeCell ref="B254:D254"/>
    <mergeCell ref="B243:D243"/>
    <mergeCell ref="A216:L216"/>
    <mergeCell ref="A266:D268"/>
    <mergeCell ref="H266:I266"/>
    <mergeCell ref="A249:D251"/>
    <mergeCell ref="B255:D255"/>
    <mergeCell ref="A410:B410"/>
    <mergeCell ref="B505:D505"/>
    <mergeCell ref="G505:H505"/>
    <mergeCell ref="B795:D795"/>
    <mergeCell ref="B257:D257"/>
    <mergeCell ref="B258:D258"/>
    <mergeCell ref="B259:D259"/>
    <mergeCell ref="B263:D263"/>
    <mergeCell ref="B260:D260"/>
    <mergeCell ref="B264:D264"/>
    <mergeCell ref="B265:D265"/>
    <mergeCell ref="K296:L296"/>
    <mergeCell ref="A280:L280"/>
    <mergeCell ref="C281:D281"/>
    <mergeCell ref="B384:D384"/>
    <mergeCell ref="F384:F385"/>
    <mergeCell ref="G384:J384"/>
    <mergeCell ref="G385:J385"/>
    <mergeCell ref="I382:J382"/>
    <mergeCell ref="B297:D297"/>
    <mergeCell ref="B244:D244"/>
    <mergeCell ref="B245:D245"/>
    <mergeCell ref="G590:H590"/>
    <mergeCell ref="K786:L786"/>
    <mergeCell ref="F761:F762"/>
    <mergeCell ref="C153:D153"/>
    <mergeCell ref="J153:L153"/>
    <mergeCell ref="B112:D112"/>
    <mergeCell ref="A113:D115"/>
    <mergeCell ref="B320:D320"/>
    <mergeCell ref="G320:H320"/>
    <mergeCell ref="K320:L320"/>
    <mergeCell ref="B321:D321"/>
    <mergeCell ref="G321:H321"/>
    <mergeCell ref="B238:D238"/>
    <mergeCell ref="B239:D239"/>
    <mergeCell ref="B240:D240"/>
    <mergeCell ref="B241:D241"/>
    <mergeCell ref="B242:D242"/>
    <mergeCell ref="G167:H167"/>
    <mergeCell ref="K167:L167"/>
    <mergeCell ref="C217:D217"/>
    <mergeCell ref="A212:L212"/>
    <mergeCell ref="B214:D214"/>
    <mergeCell ref="G214:H214"/>
    <mergeCell ref="K214:L214"/>
    <mergeCell ref="G215:H215"/>
    <mergeCell ref="A236:L236"/>
    <mergeCell ref="A252:L252"/>
    <mergeCell ref="G746:H746"/>
    <mergeCell ref="J746:L746"/>
    <mergeCell ref="C270:D270"/>
    <mergeCell ref="B591:D591"/>
    <mergeCell ref="G591:H591"/>
    <mergeCell ref="K590:L590"/>
    <mergeCell ref="F807:F808"/>
    <mergeCell ref="G807:J807"/>
    <mergeCell ref="G808:J808"/>
    <mergeCell ref="C801:D801"/>
    <mergeCell ref="J766:L766"/>
    <mergeCell ref="B598:D598"/>
    <mergeCell ref="G598:H598"/>
    <mergeCell ref="K598:L598"/>
    <mergeCell ref="B599:D599"/>
    <mergeCell ref="G761:J761"/>
    <mergeCell ref="B590:D590"/>
    <mergeCell ref="C785:D785"/>
    <mergeCell ref="I747:J747"/>
    <mergeCell ref="K747:L747"/>
    <mergeCell ref="B748:D748"/>
    <mergeCell ref="I748:J748"/>
    <mergeCell ref="B749:D749"/>
    <mergeCell ref="G743:I743"/>
    <mergeCell ref="C746:D746"/>
    <mergeCell ref="B657:D657"/>
    <mergeCell ref="I657:J657"/>
    <mergeCell ref="B666:D666"/>
    <mergeCell ref="G666:H666"/>
    <mergeCell ref="K666:L666"/>
    <mergeCell ref="B667:D667"/>
    <mergeCell ref="B797:D797"/>
    <mergeCell ref="G667:H667"/>
    <mergeCell ref="C943:D943"/>
    <mergeCell ref="J943:L943"/>
    <mergeCell ref="A946:L946"/>
    <mergeCell ref="J947:L947"/>
    <mergeCell ref="A950:L950"/>
    <mergeCell ref="A756:L756"/>
    <mergeCell ref="B767:D767"/>
    <mergeCell ref="G767:H767"/>
    <mergeCell ref="K767:L767"/>
    <mergeCell ref="A757:L757"/>
    <mergeCell ref="B818:D818"/>
    <mergeCell ref="G818:H818"/>
    <mergeCell ref="K818:L818"/>
    <mergeCell ref="J785:L785"/>
    <mergeCell ref="F789:F790"/>
    <mergeCell ref="G789:J789"/>
    <mergeCell ref="G790:J790"/>
    <mergeCell ref="C817:D817"/>
    <mergeCell ref="J817:L817"/>
    <mergeCell ref="J813:L813"/>
    <mergeCell ref="B814:D814"/>
    <mergeCell ref="G814:H814"/>
    <mergeCell ref="K814:L814"/>
    <mergeCell ref="C813:D813"/>
    <mergeCell ref="K1965:L1965"/>
    <mergeCell ref="A1911:C1911"/>
    <mergeCell ref="D1911:L1911"/>
    <mergeCell ref="A1912:C1912"/>
    <mergeCell ref="D1912:L1912"/>
    <mergeCell ref="A1913:C1913"/>
    <mergeCell ref="J1066:L1066"/>
    <mergeCell ref="B1067:D1067"/>
    <mergeCell ref="G1067:H1067"/>
    <mergeCell ref="K1067:L1067"/>
    <mergeCell ref="J794:L794"/>
    <mergeCell ref="G795:H795"/>
    <mergeCell ref="K795:L795"/>
    <mergeCell ref="B796:D796"/>
    <mergeCell ref="G796:H796"/>
    <mergeCell ref="A800:L800"/>
    <mergeCell ref="A799:F799"/>
    <mergeCell ref="B1056:D1056"/>
    <mergeCell ref="F5000:F5001"/>
    <mergeCell ref="C5216:D5216"/>
    <mergeCell ref="B5181:D5181"/>
    <mergeCell ref="B5182:D5182"/>
    <mergeCell ref="F5183:F5184"/>
    <mergeCell ref="G5183:J5183"/>
    <mergeCell ref="A1995:C1995"/>
    <mergeCell ref="D1995:L1995"/>
    <mergeCell ref="B1078:D1078"/>
    <mergeCell ref="C1997:D1997"/>
    <mergeCell ref="A1426:D1427"/>
    <mergeCell ref="E1427:L1427"/>
    <mergeCell ref="K1941:L1941"/>
    <mergeCell ref="B1942:D1942"/>
    <mergeCell ref="B1962:D1962"/>
    <mergeCell ref="D1908:L1908"/>
    <mergeCell ref="A1909:C1909"/>
    <mergeCell ref="F1889:I1889"/>
    <mergeCell ref="F1874:I1874"/>
    <mergeCell ref="F1904:I1904"/>
    <mergeCell ref="D1909:L1909"/>
    <mergeCell ref="A1910:C1910"/>
    <mergeCell ref="D1910:L1910"/>
    <mergeCell ref="B1977:D1977"/>
    <mergeCell ref="B1978:D1978"/>
    <mergeCell ref="B1979:D1979"/>
    <mergeCell ref="F1981:F1982"/>
    <mergeCell ref="B1079:D1079"/>
    <mergeCell ref="A1082:D1083"/>
    <mergeCell ref="A1084:L1084"/>
    <mergeCell ref="G1965:H1965"/>
    <mergeCell ref="I1965:J1965"/>
    <mergeCell ref="J5157:L5157"/>
    <mergeCell ref="K5158:L5158"/>
    <mergeCell ref="J5167:L5167"/>
    <mergeCell ref="K5168:L5168"/>
    <mergeCell ref="K5007:L5007"/>
    <mergeCell ref="G5168:H5168"/>
    <mergeCell ref="G5217:H5217"/>
    <mergeCell ref="A5187:L5187"/>
    <mergeCell ref="D5188:L5188"/>
    <mergeCell ref="A5197:L5197"/>
    <mergeCell ref="K5150:L5150"/>
    <mergeCell ref="C5084:D5084"/>
    <mergeCell ref="J5084:L5084"/>
    <mergeCell ref="C5198:D5198"/>
    <mergeCell ref="B5199:D5199"/>
    <mergeCell ref="G5074:J5074"/>
    <mergeCell ref="J5088:L5088"/>
    <mergeCell ref="A5023:C5023"/>
    <mergeCell ref="A5024:C5024"/>
    <mergeCell ref="A5028:C5028"/>
    <mergeCell ref="B5085:D5085"/>
    <mergeCell ref="A5021:L5021"/>
    <mergeCell ref="A5022:C5022"/>
    <mergeCell ref="G5086:H5086"/>
    <mergeCell ref="F5046:I5046"/>
    <mergeCell ref="A5047:L5047"/>
    <mergeCell ref="A5048:C5048"/>
    <mergeCell ref="A5049:C5049"/>
    <mergeCell ref="A5050:C5050"/>
    <mergeCell ref="A5051:C5051"/>
    <mergeCell ref="A5052:C5052"/>
    <mergeCell ref="A5053:C5053"/>
    <mergeCell ref="G4647:H4647"/>
    <mergeCell ref="I4642:J4642"/>
    <mergeCell ref="B4711:D4711"/>
    <mergeCell ref="I4711:J4711"/>
    <mergeCell ref="B4713:D4713"/>
    <mergeCell ref="B4714:D4714"/>
    <mergeCell ref="I4714:J4714"/>
    <mergeCell ref="B4640:D4640"/>
    <mergeCell ref="B4709:D4709"/>
    <mergeCell ref="I4709:J4709"/>
    <mergeCell ref="B4710:D4710"/>
    <mergeCell ref="I4710:J4710"/>
    <mergeCell ref="B4644:D4644"/>
    <mergeCell ref="B4639:D4639"/>
    <mergeCell ref="G4639:H4639"/>
    <mergeCell ref="I4639:J4639"/>
    <mergeCell ref="I4641:J4641"/>
    <mergeCell ref="B4642:D4642"/>
    <mergeCell ref="B4702:D4702"/>
    <mergeCell ref="C4704:D4704"/>
    <mergeCell ref="B4705:D4705"/>
    <mergeCell ref="F4689:I4689"/>
    <mergeCell ref="J4654:L4654"/>
    <mergeCell ref="G4705:H4705"/>
    <mergeCell ref="I4705:J4705"/>
    <mergeCell ref="B4700:D4700"/>
    <mergeCell ref="I4700:J4700"/>
    <mergeCell ref="B4701:D4701"/>
    <mergeCell ref="I4701:J4701"/>
    <mergeCell ref="C4697:D4697"/>
    <mergeCell ref="B4698:D4698"/>
    <mergeCell ref="I4698:J4698"/>
    <mergeCell ref="A4631:C4631"/>
    <mergeCell ref="B4547:D4547"/>
    <mergeCell ref="B4548:D4548"/>
    <mergeCell ref="A4587:C4587"/>
    <mergeCell ref="B4549:D4549"/>
    <mergeCell ref="B4550:D4550"/>
    <mergeCell ref="B4551:D4551"/>
    <mergeCell ref="A4527:C4527"/>
    <mergeCell ref="G4540:J4540"/>
    <mergeCell ref="I4597:J4597"/>
    <mergeCell ref="B4562:D4562"/>
    <mergeCell ref="B4552:D4552"/>
    <mergeCell ref="B4553:D4553"/>
    <mergeCell ref="F4554:F4555"/>
    <mergeCell ref="G4554:J4554"/>
    <mergeCell ref="G4555:J4555"/>
    <mergeCell ref="C4536:D4536"/>
    <mergeCell ref="B4537:D4537"/>
    <mergeCell ref="J4560:L4560"/>
    <mergeCell ref="A4529:C4529"/>
    <mergeCell ref="A4530:C4530"/>
    <mergeCell ref="B4538:D4538"/>
    <mergeCell ref="D4528:L4528"/>
    <mergeCell ref="A4568:L4568"/>
    <mergeCell ref="A4575:L4575"/>
    <mergeCell ref="D4529:L4529"/>
    <mergeCell ref="D4530:L4530"/>
    <mergeCell ref="D4531:L4531"/>
    <mergeCell ref="D4584:L4584"/>
    <mergeCell ref="D4585:L4585"/>
    <mergeCell ref="G4537:H4537"/>
    <mergeCell ref="J4544:L4544"/>
    <mergeCell ref="G4468:J4468"/>
    <mergeCell ref="B4482:D4482"/>
    <mergeCell ref="G4407:J4407"/>
    <mergeCell ref="G4408:J4408"/>
    <mergeCell ref="A4456:C4456"/>
    <mergeCell ref="F4520:F4521"/>
    <mergeCell ref="I4595:J4595"/>
    <mergeCell ref="G4580:J4580"/>
    <mergeCell ref="D4533:L4533"/>
    <mergeCell ref="D4534:L4534"/>
    <mergeCell ref="A4583:L4583"/>
    <mergeCell ref="A4584:C4584"/>
    <mergeCell ref="A4585:C4585"/>
    <mergeCell ref="A4586:C4586"/>
    <mergeCell ref="B4598:D4598"/>
    <mergeCell ref="C4594:D4594"/>
    <mergeCell ref="B4595:D4595"/>
    <mergeCell ref="G4595:H4595"/>
    <mergeCell ref="J4569:L4569"/>
    <mergeCell ref="A4511:L4511"/>
    <mergeCell ref="C4472:D4472"/>
    <mergeCell ref="B4473:D4473"/>
    <mergeCell ref="G4473:H4473"/>
    <mergeCell ref="B4465:D4465"/>
    <mergeCell ref="G4465:H4465"/>
    <mergeCell ref="J4472:L4472"/>
    <mergeCell ref="J4481:L4481"/>
    <mergeCell ref="J4512:L4512"/>
    <mergeCell ref="F4498:F4499"/>
    <mergeCell ref="G4498:J4498"/>
    <mergeCell ref="G4499:J4499"/>
    <mergeCell ref="G4449:J4449"/>
    <mergeCell ref="A954:L954"/>
    <mergeCell ref="A978:D979"/>
    <mergeCell ref="C1054:D1054"/>
    <mergeCell ref="A4534:C4534"/>
    <mergeCell ref="I4354:J4354"/>
    <mergeCell ref="B4514:D4514"/>
    <mergeCell ref="A4528:C4528"/>
    <mergeCell ref="I4362:J4362"/>
    <mergeCell ref="B4505:D4505"/>
    <mergeCell ref="G4505:H4505"/>
    <mergeCell ref="I4505:J4505"/>
    <mergeCell ref="B4506:D4506"/>
    <mergeCell ref="I4506:J4506"/>
    <mergeCell ref="B4497:D4497"/>
    <mergeCell ref="G4487:J4487"/>
    <mergeCell ref="G4488:J4488"/>
    <mergeCell ref="B4474:D4474"/>
    <mergeCell ref="F4475:F4476"/>
    <mergeCell ref="G4475:J4475"/>
    <mergeCell ref="A4431:C4431"/>
    <mergeCell ref="G4482:H4482"/>
    <mergeCell ref="B4486:D4486"/>
    <mergeCell ref="F4487:F4488"/>
    <mergeCell ref="G4476:J4476"/>
    <mergeCell ref="C4481:D4481"/>
    <mergeCell ref="A4492:L4492"/>
    <mergeCell ref="A4503:L4503"/>
    <mergeCell ref="F4491:I4491"/>
    <mergeCell ref="F4502:I4502"/>
    <mergeCell ref="G4467:J4467"/>
    <mergeCell ref="G2003:J2003"/>
    <mergeCell ref="B1976:D1976"/>
    <mergeCell ref="B1068:D1068"/>
    <mergeCell ref="B1069:D1069"/>
    <mergeCell ref="B1070:D1070"/>
    <mergeCell ref="B1071:D1071"/>
    <mergeCell ref="B1072:D1072"/>
    <mergeCell ref="B1073:D1073"/>
    <mergeCell ref="C1066:D1066"/>
    <mergeCell ref="B1057:D1057"/>
    <mergeCell ref="B1058:D1058"/>
    <mergeCell ref="A1132:D1133"/>
    <mergeCell ref="A1150:D1151"/>
    <mergeCell ref="G1998:H1998"/>
    <mergeCell ref="K1998:L1998"/>
    <mergeCell ref="A1988:C1988"/>
    <mergeCell ref="D1988:L1988"/>
    <mergeCell ref="A1989:C1989"/>
    <mergeCell ref="D1989:L1989"/>
    <mergeCell ref="A1990:C1990"/>
    <mergeCell ref="D1990:L1990"/>
    <mergeCell ref="A1987:C1987"/>
    <mergeCell ref="D1987:L1987"/>
    <mergeCell ref="A1994:C1994"/>
    <mergeCell ref="D1994:L1994"/>
    <mergeCell ref="A1107:D1108"/>
    <mergeCell ref="A1914:C1914"/>
    <mergeCell ref="D1914:L1914"/>
    <mergeCell ref="B1966:D1966"/>
    <mergeCell ref="G1966:H1966"/>
    <mergeCell ref="I1966:J1966"/>
    <mergeCell ref="C1969:D1969"/>
    <mergeCell ref="J1969:L1969"/>
    <mergeCell ref="B1965:D1965"/>
    <mergeCell ref="C947:D947"/>
    <mergeCell ref="G599:H599"/>
    <mergeCell ref="J601:L601"/>
    <mergeCell ref="G3686:H3686"/>
    <mergeCell ref="J3494:L3494"/>
    <mergeCell ref="D3538:L3538"/>
    <mergeCell ref="B3507:D3507"/>
    <mergeCell ref="F3508:F3509"/>
    <mergeCell ref="G3508:J3508"/>
    <mergeCell ref="G3509:J3509"/>
    <mergeCell ref="C3514:D3514"/>
    <mergeCell ref="A3538:C3538"/>
    <mergeCell ref="A3533:C3533"/>
    <mergeCell ref="D3532:L3532"/>
    <mergeCell ref="B1970:D1970"/>
    <mergeCell ref="A1963:L1963"/>
    <mergeCell ref="I1787:J1787"/>
    <mergeCell ref="B1971:D1971"/>
    <mergeCell ref="J939:L939"/>
    <mergeCell ref="A942:L942"/>
    <mergeCell ref="G945:H945"/>
    <mergeCell ref="I2991:J2991"/>
    <mergeCell ref="B3429:D3429"/>
    <mergeCell ref="G3429:H3429"/>
    <mergeCell ref="B3420:D3420"/>
    <mergeCell ref="B3421:D3421"/>
    <mergeCell ref="B1932:D1932"/>
    <mergeCell ref="I1932:J1932"/>
    <mergeCell ref="B786:D786"/>
    <mergeCell ref="G786:H786"/>
    <mergeCell ref="J1054:L1054"/>
    <mergeCell ref="B1055:D1055"/>
    <mergeCell ref="G1055:H1055"/>
    <mergeCell ref="K1055:L1055"/>
    <mergeCell ref="C1817:D1817"/>
    <mergeCell ref="J1817:L1817"/>
    <mergeCell ref="B1745:D1745"/>
    <mergeCell ref="G4520:J4520"/>
    <mergeCell ref="D4431:L4431"/>
    <mergeCell ref="I4169:J4169"/>
    <mergeCell ref="A3399:C3399"/>
    <mergeCell ref="J4308:L4308"/>
    <mergeCell ref="B3521:D3521"/>
    <mergeCell ref="H4340:I4340"/>
    <mergeCell ref="J4464:L4464"/>
    <mergeCell ref="J4504:L4504"/>
    <mergeCell ref="B4361:D4361"/>
    <mergeCell ref="I4361:J4361"/>
    <mergeCell ref="B4356:D4356"/>
    <mergeCell ref="I4356:J4356"/>
    <mergeCell ref="D4425:L4425"/>
    <mergeCell ref="D4426:L4426"/>
    <mergeCell ref="D4427:L4427"/>
    <mergeCell ref="D4428:L4428"/>
    <mergeCell ref="G3169:H3169"/>
    <mergeCell ref="K1975:L1975"/>
    <mergeCell ref="G3003:J3003"/>
    <mergeCell ref="G3004:J3004"/>
    <mergeCell ref="B1746:D1746"/>
    <mergeCell ref="G1745:H1745"/>
    <mergeCell ref="K1745:L1745"/>
    <mergeCell ref="B2017:D2017"/>
    <mergeCell ref="G4158:H4158"/>
    <mergeCell ref="B4140:D4140"/>
    <mergeCell ref="A820:L820"/>
    <mergeCell ref="F2020:F2021"/>
    <mergeCell ref="C1744:D1744"/>
    <mergeCell ref="B819:D819"/>
    <mergeCell ref="B1059:D1059"/>
    <mergeCell ref="B1060:D1060"/>
    <mergeCell ref="B1061:D1061"/>
    <mergeCell ref="B1062:D1062"/>
    <mergeCell ref="A1063:D1064"/>
    <mergeCell ref="A1065:L1065"/>
    <mergeCell ref="B1080:D1080"/>
    <mergeCell ref="B1081:D1081"/>
    <mergeCell ref="G819:H819"/>
    <mergeCell ref="I1777:J1777"/>
    <mergeCell ref="K1777:L1777"/>
    <mergeCell ref="A1766:C1766"/>
    <mergeCell ref="D1766:L1766"/>
    <mergeCell ref="A1767:C1767"/>
    <mergeCell ref="D1767:L1767"/>
    <mergeCell ref="A1768:C1768"/>
    <mergeCell ref="D1768:L1768"/>
    <mergeCell ref="A1165:D1166"/>
    <mergeCell ref="C1085:D1085"/>
    <mergeCell ref="J1085:L1085"/>
    <mergeCell ref="B1074:D1074"/>
    <mergeCell ref="B1075:D1075"/>
    <mergeCell ref="B1076:D1076"/>
    <mergeCell ref="B1077:D1077"/>
    <mergeCell ref="C1935:D1935"/>
    <mergeCell ref="K1931:L1931"/>
    <mergeCell ref="K944:L944"/>
    <mergeCell ref="B945:D945"/>
    <mergeCell ref="B804:D804"/>
    <mergeCell ref="B3230:L3230"/>
    <mergeCell ref="J3231:L3231"/>
    <mergeCell ref="B815:D815"/>
    <mergeCell ref="G815:H815"/>
    <mergeCell ref="A816:L816"/>
    <mergeCell ref="A988:D989"/>
    <mergeCell ref="A1001:D1002"/>
    <mergeCell ref="G1981:J1981"/>
    <mergeCell ref="G1982:J1982"/>
    <mergeCell ref="B1972:D1972"/>
    <mergeCell ref="A1968:L1968"/>
    <mergeCell ref="C1974:D1974"/>
    <mergeCell ref="I3085:J3085"/>
    <mergeCell ref="B3106:D3106"/>
    <mergeCell ref="B3107:D3107"/>
    <mergeCell ref="B3108:D3108"/>
    <mergeCell ref="B3109:D3109"/>
    <mergeCell ref="B3110:D3110"/>
    <mergeCell ref="C3103:D3103"/>
    <mergeCell ref="J1974:L1974"/>
    <mergeCell ref="F3003:F3004"/>
    <mergeCell ref="C3041:D3041"/>
    <mergeCell ref="J3041:L3041"/>
    <mergeCell ref="B3063:D3063"/>
    <mergeCell ref="G3063:H3063"/>
    <mergeCell ref="K3063:L3063"/>
    <mergeCell ref="G3034:H3034"/>
    <mergeCell ref="K3034:L3034"/>
    <mergeCell ref="F3056:F3057"/>
    <mergeCell ref="I3015:J3015"/>
    <mergeCell ref="I3001:J3001"/>
    <mergeCell ref="J2996:L2996"/>
    <mergeCell ref="B3000:D3000"/>
    <mergeCell ref="I3002:J3002"/>
    <mergeCell ref="I3014:J3014"/>
    <mergeCell ref="B3015:D3015"/>
    <mergeCell ref="G3052:H3052"/>
    <mergeCell ref="K3052:L3052"/>
    <mergeCell ref="B3053:D3053"/>
    <mergeCell ref="B3054:D3054"/>
    <mergeCell ref="B3016:D3016"/>
    <mergeCell ref="I3016:J3016"/>
    <mergeCell ref="C2996:D2996"/>
    <mergeCell ref="K2997:L2997"/>
    <mergeCell ref="I3010:J3010"/>
    <mergeCell ref="B3010:D3010"/>
    <mergeCell ref="B3014:D3014"/>
    <mergeCell ref="G3047:J3047"/>
    <mergeCell ref="C3051:D3051"/>
    <mergeCell ref="J3051:L3051"/>
    <mergeCell ref="B3034:D3034"/>
    <mergeCell ref="G3037:J3037"/>
    <mergeCell ref="I3021:J3021"/>
    <mergeCell ref="B3022:D3022"/>
    <mergeCell ref="B3131:D3131"/>
    <mergeCell ref="I3131:J3131"/>
    <mergeCell ref="B3104:D3104"/>
    <mergeCell ref="G3104:H3104"/>
    <mergeCell ref="B3105:D3105"/>
    <mergeCell ref="F3036:F3037"/>
    <mergeCell ref="G3036:J3036"/>
    <mergeCell ref="C2984:D2984"/>
    <mergeCell ref="J2984:L2984"/>
    <mergeCell ref="C3019:D3019"/>
    <mergeCell ref="J3019:L3019"/>
    <mergeCell ref="J3130:L3130"/>
    <mergeCell ref="K3131:L3131"/>
    <mergeCell ref="A3120:C3120"/>
    <mergeCell ref="A3121:C3121"/>
    <mergeCell ref="D3120:L3120"/>
    <mergeCell ref="A3122:C3122"/>
    <mergeCell ref="D3121:L3121"/>
    <mergeCell ref="A3123:C3123"/>
    <mergeCell ref="G3115:J3115"/>
    <mergeCell ref="D3127:L3127"/>
    <mergeCell ref="A3125:C3125"/>
    <mergeCell ref="D3124:L3124"/>
    <mergeCell ref="I3095:J3095"/>
    <mergeCell ref="B3111:D3111"/>
    <mergeCell ref="B3112:D3112"/>
    <mergeCell ref="B3113:D3113"/>
    <mergeCell ref="F3114:F3115"/>
    <mergeCell ref="G3114:J3114"/>
    <mergeCell ref="B3094:D3094"/>
    <mergeCell ref="K3094:L3094"/>
    <mergeCell ref="D3123:L3123"/>
    <mergeCell ref="B2176:D2176"/>
    <mergeCell ref="G2176:H2176"/>
    <mergeCell ref="K2176:L2176"/>
    <mergeCell ref="B2515:D2515"/>
    <mergeCell ref="G2515:H2515"/>
    <mergeCell ref="C2624:D2624"/>
    <mergeCell ref="J2624:L2624"/>
    <mergeCell ref="B3076:D3076"/>
    <mergeCell ref="A3082:L3082"/>
    <mergeCell ref="B3043:D3043"/>
    <mergeCell ref="C2928:D2928"/>
    <mergeCell ref="J2928:L2928"/>
    <mergeCell ref="B2929:D2929"/>
    <mergeCell ref="I2929:J2929"/>
    <mergeCell ref="B3044:D3044"/>
    <mergeCell ref="F3028:F3029"/>
    <mergeCell ref="K2924:L2924"/>
    <mergeCell ref="B2888:D2888"/>
    <mergeCell ref="B2925:D2925"/>
    <mergeCell ref="K2929:L2929"/>
    <mergeCell ref="B2951:D2951"/>
    <mergeCell ref="J2989:L2989"/>
    <mergeCell ref="B2990:D2990"/>
    <mergeCell ref="I2990:J2990"/>
    <mergeCell ref="B3011:D3011"/>
    <mergeCell ref="I3011:J3011"/>
    <mergeCell ref="A2981:D2982"/>
    <mergeCell ref="B2902:D2902"/>
    <mergeCell ref="B2903:D2903"/>
    <mergeCell ref="I2939:J2939"/>
    <mergeCell ref="K2939:L2939"/>
    <mergeCell ref="G2845:H2845"/>
    <mergeCell ref="B3100:D3100"/>
    <mergeCell ref="I3100:J3100"/>
    <mergeCell ref="K3099:L3099"/>
    <mergeCell ref="J3103:L3103"/>
    <mergeCell ref="G3376:H3376"/>
    <mergeCell ref="B805:D805"/>
    <mergeCell ref="B806:D806"/>
    <mergeCell ref="A543:C543"/>
    <mergeCell ref="D543:L543"/>
    <mergeCell ref="C589:D589"/>
    <mergeCell ref="J589:L589"/>
    <mergeCell ref="A592:L592"/>
    <mergeCell ref="J801:L801"/>
    <mergeCell ref="B802:D802"/>
    <mergeCell ref="G802:H802"/>
    <mergeCell ref="K802:L802"/>
    <mergeCell ref="B803:D803"/>
    <mergeCell ref="A765:L765"/>
    <mergeCell ref="B776:D776"/>
    <mergeCell ref="G776:H776"/>
    <mergeCell ref="K776:L776"/>
    <mergeCell ref="B777:D777"/>
    <mergeCell ref="B778:D778"/>
    <mergeCell ref="F779:F780"/>
    <mergeCell ref="G779:J779"/>
    <mergeCell ref="G780:J780"/>
    <mergeCell ref="B768:D768"/>
    <mergeCell ref="F769:F770"/>
    <mergeCell ref="G769:J769"/>
    <mergeCell ref="B798:D798"/>
    <mergeCell ref="C794:D794"/>
    <mergeCell ref="A577:C577"/>
    <mergeCell ref="A3126:C3126"/>
    <mergeCell ref="D3128:L3128"/>
    <mergeCell ref="B3085:D3085"/>
    <mergeCell ref="A774:L774"/>
    <mergeCell ref="G762:J762"/>
    <mergeCell ref="A784:L784"/>
    <mergeCell ref="C3303:D3303"/>
    <mergeCell ref="A1820:L1820"/>
    <mergeCell ref="A588:L588"/>
    <mergeCell ref="G770:J770"/>
    <mergeCell ref="C775:D775"/>
    <mergeCell ref="B3408:D3408"/>
    <mergeCell ref="F3411:F3412"/>
    <mergeCell ref="G3423:J3423"/>
    <mergeCell ref="G3372:H3372"/>
    <mergeCell ref="K3372:L3372"/>
    <mergeCell ref="B3373:D3373"/>
    <mergeCell ref="G3373:H3373"/>
    <mergeCell ref="A3401:C3401"/>
    <mergeCell ref="B3340:D3340"/>
    <mergeCell ref="B3341:D3341"/>
    <mergeCell ref="G3411:J3411"/>
    <mergeCell ref="B3387:D3387"/>
    <mergeCell ref="B3388:D3388"/>
    <mergeCell ref="K1787:L1787"/>
    <mergeCell ref="B1788:D1788"/>
    <mergeCell ref="I1788:J1788"/>
    <mergeCell ref="B1789:D1789"/>
    <mergeCell ref="C2008:D2008"/>
    <mergeCell ref="J2008:L2008"/>
    <mergeCell ref="B2009:D2009"/>
    <mergeCell ref="J3325:L3325"/>
    <mergeCell ref="B3246:D3246"/>
    <mergeCell ref="J3371:L3371"/>
    <mergeCell ref="B3372:D3372"/>
    <mergeCell ref="I3246:J3246"/>
    <mergeCell ref="B3377:D3377"/>
    <mergeCell ref="B3378:D3378"/>
    <mergeCell ref="B3379:D3379"/>
    <mergeCell ref="B3380:D3380"/>
    <mergeCell ref="A3361:C3361"/>
    <mergeCell ref="K3349:L3349"/>
    <mergeCell ref="J3375:L3375"/>
    <mergeCell ref="K3376:L3376"/>
    <mergeCell ref="H3393:I3393"/>
    <mergeCell ref="B3338:D3338"/>
    <mergeCell ref="K3251:L3251"/>
    <mergeCell ref="J3255:L3255"/>
    <mergeCell ref="C3255:D3255"/>
    <mergeCell ref="B3247:D3247"/>
    <mergeCell ref="B3383:D3383"/>
    <mergeCell ref="B3384:D3384"/>
    <mergeCell ref="B3385:D3385"/>
    <mergeCell ref="D3368:L3368"/>
    <mergeCell ref="B3327:D3327"/>
    <mergeCell ref="B3328:D3328"/>
    <mergeCell ref="B3329:D3329"/>
    <mergeCell ref="B3330:D3330"/>
    <mergeCell ref="F3319:F3320"/>
    <mergeCell ref="G3319:J3319"/>
    <mergeCell ref="G3320:J3320"/>
    <mergeCell ref="K3283:L3283"/>
    <mergeCell ref="C3375:D3375"/>
    <mergeCell ref="C3348:D3348"/>
    <mergeCell ref="I3247:J3247"/>
    <mergeCell ref="B3351:D3351"/>
    <mergeCell ref="F3342:F3343"/>
    <mergeCell ref="B5220:D5220"/>
    <mergeCell ref="A3395:L3395"/>
    <mergeCell ref="B3233:D3233"/>
    <mergeCell ref="B3234:D3234"/>
    <mergeCell ref="I3212:J3212"/>
    <mergeCell ref="B3192:D3192"/>
    <mergeCell ref="B3193:D3193"/>
    <mergeCell ref="F3194:F3195"/>
    <mergeCell ref="G3194:J3194"/>
    <mergeCell ref="G3195:J3195"/>
    <mergeCell ref="J3210:L3210"/>
    <mergeCell ref="J3215:L3215"/>
    <mergeCell ref="F3225:F3226"/>
    <mergeCell ref="G3225:J3225"/>
    <mergeCell ref="G3226:J3226"/>
    <mergeCell ref="B3252:D3252"/>
    <mergeCell ref="I3252:J3252"/>
    <mergeCell ref="B3253:D3253"/>
    <mergeCell ref="K3211:L3211"/>
    <mergeCell ref="K3216:L3216"/>
    <mergeCell ref="A3219:L3219"/>
    <mergeCell ref="A3199:L3199"/>
    <mergeCell ref="A3214:L3214"/>
    <mergeCell ref="B3201:D3201"/>
    <mergeCell ref="G3201:H3201"/>
    <mergeCell ref="B3202:D3202"/>
    <mergeCell ref="K3326:L3326"/>
    <mergeCell ref="B3248:D3248"/>
    <mergeCell ref="C3250:D3250"/>
    <mergeCell ref="B3251:D3251"/>
    <mergeCell ref="G3251:H3251"/>
    <mergeCell ref="I3251:J3251"/>
    <mergeCell ref="I4640:J4640"/>
    <mergeCell ref="I4975:J4975"/>
    <mergeCell ref="B5173:D5173"/>
    <mergeCell ref="I3244:J3244"/>
    <mergeCell ref="A3400:C3400"/>
    <mergeCell ref="B3419:D3419"/>
    <mergeCell ref="B3447:D3447"/>
    <mergeCell ref="B3448:D3448"/>
    <mergeCell ref="F5231:F5232"/>
    <mergeCell ref="G5231:J5231"/>
    <mergeCell ref="G5232:J5232"/>
    <mergeCell ref="B5070:D5070"/>
    <mergeCell ref="C5066:D5066"/>
    <mergeCell ref="B5067:D5067"/>
    <mergeCell ref="G5067:H5067"/>
    <mergeCell ref="B5211:D5211"/>
    <mergeCell ref="F5211:F5212"/>
    <mergeCell ref="G5211:J5211"/>
    <mergeCell ref="G5212:J5212"/>
    <mergeCell ref="B5213:D5213"/>
    <mergeCell ref="D5195:L5195"/>
    <mergeCell ref="D5196:L5196"/>
    <mergeCell ref="A5192:C5192"/>
    <mergeCell ref="A5193:C5193"/>
    <mergeCell ref="A5194:C5194"/>
    <mergeCell ref="A5195:C5195"/>
    <mergeCell ref="G3349:H3349"/>
    <mergeCell ref="A5196:C5196"/>
    <mergeCell ref="B5151:D5151"/>
    <mergeCell ref="J5149:L5149"/>
    <mergeCell ref="E4957:G4957"/>
    <mergeCell ref="B5068:D5068"/>
    <mergeCell ref="B5069:D5069"/>
    <mergeCell ref="B5176:D5176"/>
    <mergeCell ref="B5171:D5171"/>
    <mergeCell ref="D4532:L4532"/>
    <mergeCell ref="B4507:D4507"/>
    <mergeCell ref="B4546:D4546"/>
    <mergeCell ref="I4507:J4507"/>
    <mergeCell ref="B4508:D4508"/>
    <mergeCell ref="I4508:J4508"/>
    <mergeCell ref="B4510:D4510"/>
    <mergeCell ref="J4638:L4638"/>
    <mergeCell ref="C4638:D4638"/>
    <mergeCell ref="J4855:L4855"/>
    <mergeCell ref="K4856:L4856"/>
    <mergeCell ref="J4836:L4836"/>
    <mergeCell ref="K4837:L4837"/>
    <mergeCell ref="B5150:D5150"/>
    <mergeCell ref="B4985:D4985"/>
    <mergeCell ref="B4986:D4986"/>
    <mergeCell ref="B4987:D4987"/>
    <mergeCell ref="J4750:L4750"/>
    <mergeCell ref="G4606:J4606"/>
    <mergeCell ref="G4607:J4607"/>
    <mergeCell ref="C4560:D4560"/>
    <mergeCell ref="B4581:D4581"/>
    <mergeCell ref="B4515:D4515"/>
    <mergeCell ref="G4516:H4516"/>
    <mergeCell ref="B4517:D4517"/>
    <mergeCell ref="B4518:D4518"/>
    <mergeCell ref="B4519:D4519"/>
    <mergeCell ref="G1777:H1777"/>
    <mergeCell ref="B936:D936"/>
    <mergeCell ref="B2970:D2970"/>
    <mergeCell ref="I2970:J2970"/>
    <mergeCell ref="G4331:H4331"/>
    <mergeCell ref="C4330:D4330"/>
    <mergeCell ref="B4311:D4311"/>
    <mergeCell ref="I4311:J4311"/>
    <mergeCell ref="B4312:D4312"/>
    <mergeCell ref="I4312:J4312"/>
    <mergeCell ref="B4313:D4313"/>
    <mergeCell ref="B4317:D4317"/>
    <mergeCell ref="G4317:H4317"/>
    <mergeCell ref="B4248:D4248"/>
    <mergeCell ref="B4309:D4309"/>
    <mergeCell ref="G4309:H4309"/>
    <mergeCell ref="G4225:H4225"/>
    <mergeCell ref="I4225:J4225"/>
    <mergeCell ref="B4212:D4212"/>
    <mergeCell ref="G4212:H4212"/>
    <mergeCell ref="C3200:D3200"/>
    <mergeCell ref="I3243:J3243"/>
    <mergeCell ref="B3244:D3244"/>
    <mergeCell ref="A4265:L4265"/>
    <mergeCell ref="B4246:D4246"/>
    <mergeCell ref="I4246:J4246"/>
    <mergeCell ref="B4214:D4214"/>
    <mergeCell ref="B4215:D4215"/>
    <mergeCell ref="B3203:D3203"/>
    <mergeCell ref="B4706:D4706"/>
    <mergeCell ref="B4707:D4707"/>
    <mergeCell ref="C5088:D5088"/>
    <mergeCell ref="G5043:J5043"/>
    <mergeCell ref="B5133:D5133"/>
    <mergeCell ref="A5061:L5061"/>
    <mergeCell ref="A5065:L5065"/>
    <mergeCell ref="A5087:L5087"/>
    <mergeCell ref="A5095:L5095"/>
    <mergeCell ref="A5104:L5104"/>
    <mergeCell ref="A5127:L5127"/>
    <mergeCell ref="C5058:D5058"/>
    <mergeCell ref="J5058:L5058"/>
    <mergeCell ref="B5037:D5037"/>
    <mergeCell ref="B5038:D5038"/>
    <mergeCell ref="B5039:D5039"/>
    <mergeCell ref="B5040:D5040"/>
    <mergeCell ref="B5041:D5041"/>
    <mergeCell ref="G5017:J5017"/>
    <mergeCell ref="D5023:L5023"/>
    <mergeCell ref="D5024:L5024"/>
    <mergeCell ref="D5025:L5025"/>
    <mergeCell ref="D5026:L5026"/>
    <mergeCell ref="D5027:L5027"/>
    <mergeCell ref="D5028:L5028"/>
    <mergeCell ref="I4976:J4976"/>
    <mergeCell ref="G4989:J4989"/>
    <mergeCell ref="G4990:J4990"/>
    <mergeCell ref="J4995:L4995"/>
    <mergeCell ref="G4996:H4996"/>
    <mergeCell ref="B5003:F5003"/>
    <mergeCell ref="B4999:D4999"/>
    <mergeCell ref="J5096:L5096"/>
    <mergeCell ref="B4997:D4997"/>
    <mergeCell ref="B4998:D4998"/>
    <mergeCell ref="F5074:F5075"/>
    <mergeCell ref="B5011:D5011"/>
    <mergeCell ref="B5012:D5012"/>
    <mergeCell ref="H5013:J5013"/>
    <mergeCell ref="B4980:D4980"/>
    <mergeCell ref="C5006:D5006"/>
    <mergeCell ref="B4988:D4988"/>
    <mergeCell ref="F4989:F4990"/>
    <mergeCell ref="C4995:D4995"/>
    <mergeCell ref="B4996:D4996"/>
    <mergeCell ref="J5062:L5062"/>
    <mergeCell ref="C5080:D5080"/>
    <mergeCell ref="J5080:L5080"/>
    <mergeCell ref="J5066:L5066"/>
    <mergeCell ref="K5067:L5067"/>
    <mergeCell ref="D5053:L5053"/>
    <mergeCell ref="D5054:L5054"/>
    <mergeCell ref="D5055:L5055"/>
    <mergeCell ref="D5056:L5056"/>
    <mergeCell ref="B5002:D5002"/>
    <mergeCell ref="B5035:D5035"/>
    <mergeCell ref="B5036:D5036"/>
    <mergeCell ref="B5008:D5008"/>
    <mergeCell ref="B5009:D5009"/>
    <mergeCell ref="B5010:D5010"/>
    <mergeCell ref="G5081:H5081"/>
    <mergeCell ref="K5081:L5081"/>
    <mergeCell ref="B5082:D5082"/>
    <mergeCell ref="G5082:H5082"/>
    <mergeCell ref="D5030:L5030"/>
    <mergeCell ref="F5020:I5020"/>
    <mergeCell ref="G5001:J5001"/>
    <mergeCell ref="C5032:D5032"/>
    <mergeCell ref="B5033:D5033"/>
    <mergeCell ref="J5032:L5032"/>
    <mergeCell ref="K5033:L5033"/>
    <mergeCell ref="G5145:J5145"/>
    <mergeCell ref="B5168:D5168"/>
    <mergeCell ref="A5091:L5091"/>
    <mergeCell ref="B5081:D5081"/>
    <mergeCell ref="B5129:D5129"/>
    <mergeCell ref="B5143:D5143"/>
    <mergeCell ref="J5141:L5141"/>
    <mergeCell ref="K5142:L5142"/>
    <mergeCell ref="F5144:F5145"/>
    <mergeCell ref="B5160:D5160"/>
    <mergeCell ref="F5162:F5163"/>
    <mergeCell ref="G5162:J5162"/>
    <mergeCell ref="C5092:D5092"/>
    <mergeCell ref="C5105:D5105"/>
    <mergeCell ref="B5106:D5106"/>
    <mergeCell ref="C5167:D5167"/>
    <mergeCell ref="B5158:D5158"/>
    <mergeCell ref="G5158:H5158"/>
    <mergeCell ref="B5159:D5159"/>
    <mergeCell ref="G5144:J5144"/>
    <mergeCell ref="K5129:L5129"/>
    <mergeCell ref="G5100:J5100"/>
    <mergeCell ref="B5097:D5097"/>
    <mergeCell ref="G5097:H5097"/>
    <mergeCell ref="A5140:L5140"/>
    <mergeCell ref="G5075:J5075"/>
    <mergeCell ref="C5062:D5062"/>
    <mergeCell ref="A5079:L5079"/>
    <mergeCell ref="A5083:L5083"/>
    <mergeCell ref="A5031:L5031"/>
    <mergeCell ref="A5057:L5057"/>
    <mergeCell ref="B4945:D4945"/>
    <mergeCell ref="B4946:D4946"/>
    <mergeCell ref="B4947:D4947"/>
    <mergeCell ref="B4948:D4948"/>
    <mergeCell ref="B4949:D4949"/>
    <mergeCell ref="B5014:D5014"/>
    <mergeCell ref="H5015:J5015"/>
    <mergeCell ref="F5016:F5017"/>
    <mergeCell ref="G5016:J5016"/>
    <mergeCell ref="B4967:D4967"/>
    <mergeCell ref="F4968:F4969"/>
    <mergeCell ref="G4968:J4968"/>
    <mergeCell ref="G4969:J4969"/>
    <mergeCell ref="C4974:D4974"/>
    <mergeCell ref="I4979:J4979"/>
    <mergeCell ref="B4975:D4975"/>
    <mergeCell ref="B4950:D4950"/>
    <mergeCell ref="B4951:D4951"/>
    <mergeCell ref="J4974:L4974"/>
    <mergeCell ref="J5006:L5006"/>
    <mergeCell ref="K4975:L4975"/>
    <mergeCell ref="B4952:D4952"/>
    <mergeCell ref="B4953:D4953"/>
    <mergeCell ref="B4955:D4955"/>
    <mergeCell ref="B4962:D4962"/>
    <mergeCell ref="D5029:L5029"/>
    <mergeCell ref="B4963:D4963"/>
    <mergeCell ref="B4964:D4964"/>
    <mergeCell ref="G5000:J5000"/>
    <mergeCell ref="B4965:D4965"/>
    <mergeCell ref="B4966:D4966"/>
    <mergeCell ref="C4959:D4959"/>
    <mergeCell ref="B4911:D4911"/>
    <mergeCell ref="F4912:F4913"/>
    <mergeCell ref="G4912:J4912"/>
    <mergeCell ref="G4913:J4913"/>
    <mergeCell ref="C4917:D4917"/>
    <mergeCell ref="B4934:D4934"/>
    <mergeCell ref="B4935:D4935"/>
    <mergeCell ref="F4936:F4937"/>
    <mergeCell ref="G4936:J4936"/>
    <mergeCell ref="G4937:J4937"/>
    <mergeCell ref="C4931:D4931"/>
    <mergeCell ref="B4932:D4932"/>
    <mergeCell ref="G4932:H4932"/>
    <mergeCell ref="B4933:D4933"/>
    <mergeCell ref="C4942:D4942"/>
    <mergeCell ref="B4943:D4943"/>
    <mergeCell ref="B4944:D4944"/>
    <mergeCell ref="B4918:D4918"/>
    <mergeCell ref="G4918:H4918"/>
    <mergeCell ref="B4919:D4919"/>
    <mergeCell ref="B4920:D4920"/>
    <mergeCell ref="B4921:D4921"/>
    <mergeCell ref="B4923:D4923"/>
    <mergeCell ref="B4924:D4924"/>
    <mergeCell ref="F4925:F4926"/>
    <mergeCell ref="A4916:L4916"/>
    <mergeCell ref="A4930:L4930"/>
    <mergeCell ref="A4941:L4941"/>
    <mergeCell ref="F4929:I4929"/>
    <mergeCell ref="K4910:L4910"/>
    <mergeCell ref="A4904:L4904"/>
    <mergeCell ref="A4908:L4908"/>
    <mergeCell ref="B4906:D4906"/>
    <mergeCell ref="G4906:H4906"/>
    <mergeCell ref="K4906:L4906"/>
    <mergeCell ref="B4907:D4907"/>
    <mergeCell ref="G4907:H4907"/>
    <mergeCell ref="B4885:D4885"/>
    <mergeCell ref="I4885:J4885"/>
    <mergeCell ref="F4940:I4940"/>
    <mergeCell ref="J4931:L4931"/>
    <mergeCell ref="K4932:L4932"/>
    <mergeCell ref="B4910:D4910"/>
    <mergeCell ref="G4910:H4910"/>
    <mergeCell ref="B4897:D4897"/>
    <mergeCell ref="G4897:H4897"/>
    <mergeCell ref="B4898:D4898"/>
    <mergeCell ref="B4899:D4899"/>
    <mergeCell ref="F4900:F4901"/>
    <mergeCell ref="G4900:J4900"/>
    <mergeCell ref="G4901:J4901"/>
    <mergeCell ref="B4892:D4892"/>
    <mergeCell ref="I4892:J4892"/>
    <mergeCell ref="C4896:D4896"/>
    <mergeCell ref="B4891:D4891"/>
    <mergeCell ref="I4891:J4891"/>
    <mergeCell ref="A4895:L4895"/>
    <mergeCell ref="C4909:D4909"/>
    <mergeCell ref="G4861:J4861"/>
    <mergeCell ref="J4882:L4882"/>
    <mergeCell ref="K4883:L4883"/>
    <mergeCell ref="J4877:L4877"/>
    <mergeCell ref="B4856:D4856"/>
    <mergeCell ref="B4888:D4888"/>
    <mergeCell ref="I4888:J4888"/>
    <mergeCell ref="B4889:D4889"/>
    <mergeCell ref="I4889:J4889"/>
    <mergeCell ref="C4905:D4905"/>
    <mergeCell ref="J4905:L4905"/>
    <mergeCell ref="J4896:L4896"/>
    <mergeCell ref="K4878:L4878"/>
    <mergeCell ref="D4871:L4871"/>
    <mergeCell ref="D4872:L4872"/>
    <mergeCell ref="D4873:L4873"/>
    <mergeCell ref="B4886:D4886"/>
    <mergeCell ref="I4886:J4886"/>
    <mergeCell ref="B4887:D4887"/>
    <mergeCell ref="I4887:J4887"/>
    <mergeCell ref="B4883:D4883"/>
    <mergeCell ref="I4883:J4883"/>
    <mergeCell ref="B4884:D4884"/>
    <mergeCell ref="I4884:J4884"/>
    <mergeCell ref="B4879:D4879"/>
    <mergeCell ref="I4879:J4879"/>
    <mergeCell ref="B4880:D4880"/>
    <mergeCell ref="C4882:D4882"/>
    <mergeCell ref="C4877:D4877"/>
    <mergeCell ref="B4878:D4878"/>
    <mergeCell ref="I4878:J4878"/>
    <mergeCell ref="B4890:D4890"/>
    <mergeCell ref="I4890:J4890"/>
    <mergeCell ref="J4909:L4909"/>
    <mergeCell ref="B4766:D4766"/>
    <mergeCell ref="F4767:F4768"/>
    <mergeCell ref="G4767:J4767"/>
    <mergeCell ref="G4768:J4768"/>
    <mergeCell ref="B4838:D4838"/>
    <mergeCell ref="F4839:F4840"/>
    <mergeCell ref="G4839:J4839"/>
    <mergeCell ref="G4840:J4840"/>
    <mergeCell ref="B4819:D4819"/>
    <mergeCell ref="F4820:F4821"/>
    <mergeCell ref="G4820:J4820"/>
    <mergeCell ref="G4821:J4821"/>
    <mergeCell ref="C4817:D4817"/>
    <mergeCell ref="B4818:D4818"/>
    <mergeCell ref="J4817:L4817"/>
    <mergeCell ref="K4818:L4818"/>
    <mergeCell ref="J4795:L4795"/>
    <mergeCell ref="K4796:L4796"/>
    <mergeCell ref="J4783:L4783"/>
    <mergeCell ref="K4784:L4784"/>
    <mergeCell ref="B4799:D4799"/>
    <mergeCell ref="B4800:D4800"/>
    <mergeCell ref="F4801:F4802"/>
    <mergeCell ref="G4801:J4801"/>
    <mergeCell ref="G4802:J4802"/>
    <mergeCell ref="C4795:D4795"/>
    <mergeCell ref="B4796:D4796"/>
    <mergeCell ref="G4796:H4796"/>
    <mergeCell ref="G4818:H4818"/>
    <mergeCell ref="D4774:L4774"/>
    <mergeCell ref="K4760:L4760"/>
    <mergeCell ref="A4782:L4782"/>
    <mergeCell ref="A4794:L4794"/>
    <mergeCell ref="A4774:C4774"/>
    <mergeCell ref="A4775:C4775"/>
    <mergeCell ref="A4776:C4776"/>
    <mergeCell ref="B4733:D4733"/>
    <mergeCell ref="B4728:D4728"/>
    <mergeCell ref="I4728:J4728"/>
    <mergeCell ref="F4734:F4735"/>
    <mergeCell ref="G4734:J4734"/>
    <mergeCell ref="G4735:J4735"/>
    <mergeCell ref="B4729:D4729"/>
    <mergeCell ref="C4731:D4731"/>
    <mergeCell ref="B4732:D4732"/>
    <mergeCell ref="G4732:H4732"/>
    <mergeCell ref="C4750:D4750"/>
    <mergeCell ref="C4759:D4759"/>
    <mergeCell ref="B4760:D4760"/>
    <mergeCell ref="G4760:H4760"/>
    <mergeCell ref="B4751:D4751"/>
    <mergeCell ref="G4751:H4751"/>
    <mergeCell ref="B4752:D4752"/>
    <mergeCell ref="F4753:F4754"/>
    <mergeCell ref="G4753:J4753"/>
    <mergeCell ref="G4754:J4754"/>
    <mergeCell ref="B4788:D4788"/>
    <mergeCell ref="F4789:F4790"/>
    <mergeCell ref="G4789:J4789"/>
    <mergeCell ref="G4790:J4790"/>
    <mergeCell ref="B4762:D4762"/>
    <mergeCell ref="D4777:L4777"/>
    <mergeCell ref="B4726:D4726"/>
    <mergeCell ref="I4726:J4726"/>
    <mergeCell ref="B4727:D4727"/>
    <mergeCell ref="I4727:J4727"/>
    <mergeCell ref="C4724:D4724"/>
    <mergeCell ref="B4725:D4725"/>
    <mergeCell ref="G4725:H4725"/>
    <mergeCell ref="I4725:J4725"/>
    <mergeCell ref="B4720:D4720"/>
    <mergeCell ref="I4720:J4720"/>
    <mergeCell ref="B4721:D4721"/>
    <mergeCell ref="I4721:J4721"/>
    <mergeCell ref="B4715:D4715"/>
    <mergeCell ref="I4715:J4715"/>
    <mergeCell ref="B4716:D4716"/>
    <mergeCell ref="I4716:J4716"/>
    <mergeCell ref="B4717:D4717"/>
    <mergeCell ref="I4717:J4717"/>
    <mergeCell ref="A4723:L4723"/>
    <mergeCell ref="J4697:L4697"/>
    <mergeCell ref="C4693:D4693"/>
    <mergeCell ref="J4693:L4693"/>
    <mergeCell ref="C4691:D4691"/>
    <mergeCell ref="J4691:L4691"/>
    <mergeCell ref="K4698:L4698"/>
    <mergeCell ref="J4704:L4704"/>
    <mergeCell ref="A4703:L4703"/>
    <mergeCell ref="K4705:L4705"/>
    <mergeCell ref="C4679:D4679"/>
    <mergeCell ref="B4680:D4680"/>
    <mergeCell ref="G4680:H4680"/>
    <mergeCell ref="B4681:D4681"/>
    <mergeCell ref="B4699:D4699"/>
    <mergeCell ref="I4699:J4699"/>
    <mergeCell ref="B4695:D4695"/>
    <mergeCell ref="G4695:H4695"/>
    <mergeCell ref="A4696:L4696"/>
    <mergeCell ref="A4690:L4690"/>
    <mergeCell ref="A4692:L4692"/>
    <mergeCell ref="G4698:H4698"/>
    <mergeCell ref="B4671:D4671"/>
    <mergeCell ref="I4671:J4671"/>
    <mergeCell ref="B4672:D4672"/>
    <mergeCell ref="I4672:J4672"/>
    <mergeCell ref="B4673:D4673"/>
    <mergeCell ref="J4679:L4679"/>
    <mergeCell ref="K4680:L4680"/>
    <mergeCell ref="C4675:D4675"/>
    <mergeCell ref="J4675:L4675"/>
    <mergeCell ref="B4669:D4669"/>
    <mergeCell ref="G4669:H4669"/>
    <mergeCell ref="I4669:J4669"/>
    <mergeCell ref="B4670:D4670"/>
    <mergeCell ref="I4670:J4670"/>
    <mergeCell ref="B4694:D4694"/>
    <mergeCell ref="G4694:H4694"/>
    <mergeCell ref="K4694:L4694"/>
    <mergeCell ref="B4676:D4676"/>
    <mergeCell ref="G4676:H4676"/>
    <mergeCell ref="K4676:L4676"/>
    <mergeCell ref="B4677:D4677"/>
    <mergeCell ref="A4674:L4674"/>
    <mergeCell ref="A4678:L4678"/>
    <mergeCell ref="B4682:D4682"/>
    <mergeCell ref="B4683:D4683"/>
    <mergeCell ref="B4684:D4684"/>
    <mergeCell ref="F4685:F4686"/>
    <mergeCell ref="G4685:J4685"/>
    <mergeCell ref="G4686:J4686"/>
    <mergeCell ref="B4660:D4660"/>
    <mergeCell ref="F4661:F4662"/>
    <mergeCell ref="G4661:J4661"/>
    <mergeCell ref="G4662:J4662"/>
    <mergeCell ref="C4668:D4668"/>
    <mergeCell ref="B4655:D4655"/>
    <mergeCell ref="G4655:H4655"/>
    <mergeCell ref="B4656:D4656"/>
    <mergeCell ref="B4657:D4657"/>
    <mergeCell ref="B4659:D4659"/>
    <mergeCell ref="B4651:D4651"/>
    <mergeCell ref="I4651:J4651"/>
    <mergeCell ref="B4652:D4652"/>
    <mergeCell ref="C4654:D4654"/>
    <mergeCell ref="J4668:L4668"/>
    <mergeCell ref="K4669:L4669"/>
    <mergeCell ref="C4666:D4666"/>
    <mergeCell ref="J4666:L4666"/>
    <mergeCell ref="K4655:L4655"/>
    <mergeCell ref="A4665:L4665"/>
    <mergeCell ref="A4667:L4667"/>
    <mergeCell ref="D4456:L4456"/>
    <mergeCell ref="D4457:L4457"/>
    <mergeCell ref="D4458:L4458"/>
    <mergeCell ref="D4459:L4459"/>
    <mergeCell ref="D4460:L4460"/>
    <mergeCell ref="A4445:L4445"/>
    <mergeCell ref="C4446:D4446"/>
    <mergeCell ref="B4447:D4447"/>
    <mergeCell ref="G4447:H4447"/>
    <mergeCell ref="G4440:J4440"/>
    <mergeCell ref="G4441:J4441"/>
    <mergeCell ref="C4434:D4434"/>
    <mergeCell ref="B4435:D4435"/>
    <mergeCell ref="G4435:H4435"/>
    <mergeCell ref="B4436:D4436"/>
    <mergeCell ref="A4432:C4432"/>
    <mergeCell ref="A4423:L4423"/>
    <mergeCell ref="D4429:L4429"/>
    <mergeCell ref="D4430:L4430"/>
    <mergeCell ref="D4432:L4432"/>
    <mergeCell ref="F4449:F4450"/>
    <mergeCell ref="J4446:L4446"/>
    <mergeCell ref="A4453:L4453"/>
    <mergeCell ref="D4454:L4454"/>
    <mergeCell ref="D4455:L4455"/>
    <mergeCell ref="A4433:L4433"/>
    <mergeCell ref="A4424:C4424"/>
    <mergeCell ref="A4425:C4425"/>
    <mergeCell ref="A4426:C4426"/>
    <mergeCell ref="B4437:D4437"/>
    <mergeCell ref="A4427:C4427"/>
    <mergeCell ref="A4428:C4428"/>
    <mergeCell ref="A4429:C4429"/>
    <mergeCell ref="I4373:J4373"/>
    <mergeCell ref="B4374:D4374"/>
    <mergeCell ref="I4374:J4374"/>
    <mergeCell ref="B4385:D4385"/>
    <mergeCell ref="B4382:D4382"/>
    <mergeCell ref="B4383:D4383"/>
    <mergeCell ref="A4378:L4378"/>
    <mergeCell ref="A4392:L4392"/>
    <mergeCell ref="A4401:L4401"/>
    <mergeCell ref="B4394:D4394"/>
    <mergeCell ref="G4394:H4394"/>
    <mergeCell ref="B4395:D4395"/>
    <mergeCell ref="F4396:F4397"/>
    <mergeCell ref="G4396:J4396"/>
    <mergeCell ref="G4397:J4397"/>
    <mergeCell ref="F4387:F4388"/>
    <mergeCell ref="B4373:D4373"/>
    <mergeCell ref="B4341:D4341"/>
    <mergeCell ref="B4334:D4334"/>
    <mergeCell ref="B4335:D4335"/>
    <mergeCell ref="B4336:D4336"/>
    <mergeCell ref="F4337:F4338"/>
    <mergeCell ref="G4337:J4337"/>
    <mergeCell ref="G4414:H4414"/>
    <mergeCell ref="B4404:D4404"/>
    <mergeCell ref="B4405:D4405"/>
    <mergeCell ref="B4406:D4406"/>
    <mergeCell ref="F4407:F4408"/>
    <mergeCell ref="B4415:D4415"/>
    <mergeCell ref="B4416:D4416"/>
    <mergeCell ref="B4417:D4417"/>
    <mergeCell ref="F4418:F4419"/>
    <mergeCell ref="G4418:J4418"/>
    <mergeCell ref="G4419:J4419"/>
    <mergeCell ref="C4413:D4413"/>
    <mergeCell ref="B4414:D4414"/>
    <mergeCell ref="A4412:L4412"/>
    <mergeCell ref="B4354:D4354"/>
    <mergeCell ref="B4363:D4363"/>
    <mergeCell ref="I4363:J4363"/>
    <mergeCell ref="B4372:D4372"/>
    <mergeCell ref="I4372:J4372"/>
    <mergeCell ref="C4402:D4402"/>
    <mergeCell ref="B4403:D4403"/>
    <mergeCell ref="G4403:H4403"/>
    <mergeCell ref="I4310:J4310"/>
    <mergeCell ref="G4324:J4324"/>
    <mergeCell ref="J4353:L4353"/>
    <mergeCell ref="C4266:D4266"/>
    <mergeCell ref="B4267:D4267"/>
    <mergeCell ref="B4277:D4277"/>
    <mergeCell ref="G4338:J4338"/>
    <mergeCell ref="B4331:D4331"/>
    <mergeCell ref="C4308:D4308"/>
    <mergeCell ref="B4291:D4291"/>
    <mergeCell ref="B4298:D4298"/>
    <mergeCell ref="I4365:J4365"/>
    <mergeCell ref="B4366:D4366"/>
    <mergeCell ref="B4370:D4370"/>
    <mergeCell ref="A4345:C4345"/>
    <mergeCell ref="A4350:C4350"/>
    <mergeCell ref="A4351:C4351"/>
    <mergeCell ref="B4302:D4302"/>
    <mergeCell ref="B4365:D4365"/>
    <mergeCell ref="B4340:D4340"/>
    <mergeCell ref="D4346:L4346"/>
    <mergeCell ref="D4347:L4347"/>
    <mergeCell ref="A4342:L4342"/>
    <mergeCell ref="D4344:L4344"/>
    <mergeCell ref="D4345:L4345"/>
    <mergeCell ref="A4346:C4346"/>
    <mergeCell ref="A4289:L4289"/>
    <mergeCell ref="A4307:L4307"/>
    <mergeCell ref="A4315:L4315"/>
    <mergeCell ref="A4329:L4329"/>
    <mergeCell ref="A4352:L4352"/>
    <mergeCell ref="J4266:L4266"/>
    <mergeCell ref="B4255:D4255"/>
    <mergeCell ref="B4257:D4257"/>
    <mergeCell ref="B4258:D4258"/>
    <mergeCell ref="B4247:D4247"/>
    <mergeCell ref="C4250:D4250"/>
    <mergeCell ref="G4235:J4235"/>
    <mergeCell ref="G4234:J4234"/>
    <mergeCell ref="G4207:J4207"/>
    <mergeCell ref="F4206:F4207"/>
    <mergeCell ref="J4224:L4224"/>
    <mergeCell ref="B4229:D4229"/>
    <mergeCell ref="B4244:D4244"/>
    <mergeCell ref="I4244:J4244"/>
    <mergeCell ref="I4243:J4243"/>
    <mergeCell ref="C4211:D4211"/>
    <mergeCell ref="C4224:D4224"/>
    <mergeCell ref="B4213:D4213"/>
    <mergeCell ref="B4232:D4232"/>
    <mergeCell ref="G4232:H4232"/>
    <mergeCell ref="B4233:D4233"/>
    <mergeCell ref="F4234:F4235"/>
    <mergeCell ref="A4239:L4239"/>
    <mergeCell ref="A4230:L4230"/>
    <mergeCell ref="A4249:L4249"/>
    <mergeCell ref="B4225:D4225"/>
    <mergeCell ref="B4196:D4196"/>
    <mergeCell ref="B4190:D4190"/>
    <mergeCell ref="I4190:J4190"/>
    <mergeCell ref="I4226:J4226"/>
    <mergeCell ref="B4227:D4227"/>
    <mergeCell ref="I4227:J4227"/>
    <mergeCell ref="B4216:D4216"/>
    <mergeCell ref="F4218:F4219"/>
    <mergeCell ref="G4218:J4218"/>
    <mergeCell ref="G4219:J4219"/>
    <mergeCell ref="B4243:D4243"/>
    <mergeCell ref="C4240:D4240"/>
    <mergeCell ref="B4241:D4241"/>
    <mergeCell ref="G4241:H4241"/>
    <mergeCell ref="I4241:J4241"/>
    <mergeCell ref="B4192:D4192"/>
    <mergeCell ref="C4194:D4194"/>
    <mergeCell ref="B4195:D4195"/>
    <mergeCell ref="G4195:H4195"/>
    <mergeCell ref="J4203:L4203"/>
    <mergeCell ref="C4203:D4203"/>
    <mergeCell ref="B4204:D4204"/>
    <mergeCell ref="G4204:H4204"/>
    <mergeCell ref="B4205:D4205"/>
    <mergeCell ref="F4197:F4198"/>
    <mergeCell ref="G4197:J4197"/>
    <mergeCell ref="G4198:J4198"/>
    <mergeCell ref="B4186:D4186"/>
    <mergeCell ref="I4186:J4186"/>
    <mergeCell ref="C4182:D4182"/>
    <mergeCell ref="B4183:D4183"/>
    <mergeCell ref="G4183:H4183"/>
    <mergeCell ref="I4183:J4183"/>
    <mergeCell ref="B4174:D4174"/>
    <mergeCell ref="G4174:H4174"/>
    <mergeCell ref="B4175:D4175"/>
    <mergeCell ref="F4176:F4177"/>
    <mergeCell ref="G4176:J4176"/>
    <mergeCell ref="G4177:J4177"/>
    <mergeCell ref="B4168:D4168"/>
    <mergeCell ref="G4122:J4122"/>
    <mergeCell ref="G4123:J4123"/>
    <mergeCell ref="J4182:L4182"/>
    <mergeCell ref="B4184:D4184"/>
    <mergeCell ref="I4184:J4184"/>
    <mergeCell ref="F4122:F4123"/>
    <mergeCell ref="C4166:D4166"/>
    <mergeCell ref="B4167:D4167"/>
    <mergeCell ref="G4167:H4167"/>
    <mergeCell ref="B4159:D4159"/>
    <mergeCell ref="F4160:F4161"/>
    <mergeCell ref="G4160:J4160"/>
    <mergeCell ref="G4161:J4161"/>
    <mergeCell ref="B4162:D4162"/>
    <mergeCell ref="A4128:C4128"/>
    <mergeCell ref="A4129:C4129"/>
    <mergeCell ref="A4130:C4130"/>
    <mergeCell ref="C4157:D4157"/>
    <mergeCell ref="B4185:D4185"/>
    <mergeCell ref="I4185:J4185"/>
    <mergeCell ref="C4173:D4173"/>
    <mergeCell ref="B4163:D4163"/>
    <mergeCell ref="J4138:L4138"/>
    <mergeCell ref="J4157:L4157"/>
    <mergeCell ref="D4129:L4129"/>
    <mergeCell ref="D4130:L4130"/>
    <mergeCell ref="B4105:D4105"/>
    <mergeCell ref="B4106:D4106"/>
    <mergeCell ref="B4107:D4107"/>
    <mergeCell ref="B4108:D4108"/>
    <mergeCell ref="B4109:D4109"/>
    <mergeCell ref="B4110:D4110"/>
    <mergeCell ref="B4120:D4120"/>
    <mergeCell ref="I4120:J4120"/>
    <mergeCell ref="B4121:D4121"/>
    <mergeCell ref="I4121:J4121"/>
    <mergeCell ref="J4173:L4173"/>
    <mergeCell ref="B4113:D4113"/>
    <mergeCell ref="B4114:D4114"/>
    <mergeCell ref="B4111:D4111"/>
    <mergeCell ref="B4112:D4112"/>
    <mergeCell ref="J4153:L4153"/>
    <mergeCell ref="B4154:D4154"/>
    <mergeCell ref="G4154:H4154"/>
    <mergeCell ref="G4144:J4144"/>
    <mergeCell ref="D4128:L4128"/>
    <mergeCell ref="B4145:D4145"/>
    <mergeCell ref="C4138:D4138"/>
    <mergeCell ref="B4139:D4139"/>
    <mergeCell ref="G4139:H4139"/>
    <mergeCell ref="K4154:L4154"/>
    <mergeCell ref="B4099:D4099"/>
    <mergeCell ref="B4049:D4049"/>
    <mergeCell ref="I4049:J4049"/>
    <mergeCell ref="B4102:D4102"/>
    <mergeCell ref="B4103:D4103"/>
    <mergeCell ref="B4104:D4104"/>
    <mergeCell ref="B4089:D4089"/>
    <mergeCell ref="G4089:H4089"/>
    <mergeCell ref="B4090:D4090"/>
    <mergeCell ref="F4091:F4092"/>
    <mergeCell ref="G4091:J4091"/>
    <mergeCell ref="G4092:J4092"/>
    <mergeCell ref="B4050:D4050"/>
    <mergeCell ref="C4056:D4056"/>
    <mergeCell ref="B4057:D4057"/>
    <mergeCell ref="G4057:H4057"/>
    <mergeCell ref="B4081:D4081"/>
    <mergeCell ref="F4082:F4083"/>
    <mergeCell ref="G4082:J4082"/>
    <mergeCell ref="G4083:J4083"/>
    <mergeCell ref="C4097:D4097"/>
    <mergeCell ref="B4098:D4098"/>
    <mergeCell ref="G4098:H4098"/>
    <mergeCell ref="C4088:D4088"/>
    <mergeCell ref="B4100:D4100"/>
    <mergeCell ref="B4101:D4101"/>
    <mergeCell ref="B4039:D4039"/>
    <mergeCell ref="B4040:D4040"/>
    <mergeCell ref="G4063:J4063"/>
    <mergeCell ref="G4064:J4064"/>
    <mergeCell ref="B4065:D4065"/>
    <mergeCell ref="B4080:D4080"/>
    <mergeCell ref="C4052:D4052"/>
    <mergeCell ref="J4052:L4052"/>
    <mergeCell ref="B4053:D4053"/>
    <mergeCell ref="G4053:H4053"/>
    <mergeCell ref="K4053:L4053"/>
    <mergeCell ref="B4054:D4054"/>
    <mergeCell ref="G4054:H4054"/>
    <mergeCell ref="C4069:D4069"/>
    <mergeCell ref="B4058:D4058"/>
    <mergeCell ref="B4059:D4059"/>
    <mergeCell ref="B4060:D4060"/>
    <mergeCell ref="B4061:D4061"/>
    <mergeCell ref="B4062:D4062"/>
    <mergeCell ref="F4063:F4064"/>
    <mergeCell ref="B4074:D4074"/>
    <mergeCell ref="C4078:D4078"/>
    <mergeCell ref="B4079:D4079"/>
    <mergeCell ref="G4079:H4079"/>
    <mergeCell ref="B4070:D4070"/>
    <mergeCell ref="G4070:H4070"/>
    <mergeCell ref="B4071:D4071"/>
    <mergeCell ref="F4072:F4073"/>
    <mergeCell ref="G4072:J4072"/>
    <mergeCell ref="G4073:J4073"/>
    <mergeCell ref="C4030:D4030"/>
    <mergeCell ref="B4031:D4031"/>
    <mergeCell ref="G4031:H4031"/>
    <mergeCell ref="B4032:D4032"/>
    <mergeCell ref="B4022:D4022"/>
    <mergeCell ref="B4023:D4023"/>
    <mergeCell ref="F4024:F4025"/>
    <mergeCell ref="G4024:J4024"/>
    <mergeCell ref="G4025:J4025"/>
    <mergeCell ref="C4020:D4020"/>
    <mergeCell ref="B4021:D4021"/>
    <mergeCell ref="G4021:H4021"/>
    <mergeCell ref="B4048:D4048"/>
    <mergeCell ref="G4048:H4048"/>
    <mergeCell ref="I4048:J4048"/>
    <mergeCell ref="B4011:D4011"/>
    <mergeCell ref="G4011:H4011"/>
    <mergeCell ref="B4012:D4012"/>
    <mergeCell ref="B4013:D4013"/>
    <mergeCell ref="F4014:F4015"/>
    <mergeCell ref="G4014:J4014"/>
    <mergeCell ref="G4015:J4015"/>
    <mergeCell ref="B4038:D4038"/>
    <mergeCell ref="B4041:D4041"/>
    <mergeCell ref="F4042:F4043"/>
    <mergeCell ref="G4042:J4042"/>
    <mergeCell ref="G4043:J4043"/>
    <mergeCell ref="C4047:D4047"/>
    <mergeCell ref="B4033:D4033"/>
    <mergeCell ref="B4035:D4035"/>
    <mergeCell ref="B4036:D4036"/>
    <mergeCell ref="B4037:D4037"/>
    <mergeCell ref="B3999:D3999"/>
    <mergeCell ref="F4000:F4001"/>
    <mergeCell ref="G4000:J4000"/>
    <mergeCell ref="G4001:J4001"/>
    <mergeCell ref="C4010:D4010"/>
    <mergeCell ref="C3997:D3997"/>
    <mergeCell ref="B3998:D3998"/>
    <mergeCell ref="G3998:H3998"/>
    <mergeCell ref="B3989:D3989"/>
    <mergeCell ref="G3989:H3989"/>
    <mergeCell ref="B3990:D3990"/>
    <mergeCell ref="F3991:F3992"/>
    <mergeCell ref="G3991:J3991"/>
    <mergeCell ref="G3992:J3992"/>
    <mergeCell ref="B3980:D3980"/>
    <mergeCell ref="F3982:F3983"/>
    <mergeCell ref="G3982:J3982"/>
    <mergeCell ref="G3983:J3983"/>
    <mergeCell ref="C3988:D3988"/>
    <mergeCell ref="G4007:H4007"/>
    <mergeCell ref="G4008:H4008"/>
    <mergeCell ref="A4009:L4009"/>
    <mergeCell ref="C4006:D4006"/>
    <mergeCell ref="J4006:L4006"/>
    <mergeCell ref="B4007:D4007"/>
    <mergeCell ref="K4007:L4007"/>
    <mergeCell ref="B4008:D4008"/>
    <mergeCell ref="A3987:L3987"/>
    <mergeCell ref="A3996:L3996"/>
    <mergeCell ref="A4005:L4005"/>
    <mergeCell ref="F3986:I3986"/>
    <mergeCell ref="F3995:I3995"/>
    <mergeCell ref="C3976:D3976"/>
    <mergeCell ref="B3977:D3977"/>
    <mergeCell ref="G3977:H3977"/>
    <mergeCell ref="B3979:D3979"/>
    <mergeCell ref="B3968:D3968"/>
    <mergeCell ref="B3969:D3969"/>
    <mergeCell ref="F3970:F3971"/>
    <mergeCell ref="G3970:J3970"/>
    <mergeCell ref="G3971:J3971"/>
    <mergeCell ref="B3962:D3962"/>
    <mergeCell ref="B3963:D3963"/>
    <mergeCell ref="B3964:D3964"/>
    <mergeCell ref="B3965:D3965"/>
    <mergeCell ref="B3966:D3966"/>
    <mergeCell ref="B3967:D3967"/>
    <mergeCell ref="B3958:D3958"/>
    <mergeCell ref="C3960:D3960"/>
    <mergeCell ref="B3961:D3961"/>
    <mergeCell ref="G3961:H3961"/>
    <mergeCell ref="A3959:L3959"/>
    <mergeCell ref="A3975:L3975"/>
    <mergeCell ref="F3974:I3974"/>
    <mergeCell ref="B3955:D3955"/>
    <mergeCell ref="I3955:J3955"/>
    <mergeCell ref="B3956:D3956"/>
    <mergeCell ref="I3956:J3956"/>
    <mergeCell ref="B3957:D3957"/>
    <mergeCell ref="I3957:J3957"/>
    <mergeCell ref="B3953:D3953"/>
    <mergeCell ref="G3953:H3953"/>
    <mergeCell ref="I3953:J3953"/>
    <mergeCell ref="B3954:D3954"/>
    <mergeCell ref="I3954:J3954"/>
    <mergeCell ref="F3946:F3947"/>
    <mergeCell ref="G3946:J3946"/>
    <mergeCell ref="G3947:J3947"/>
    <mergeCell ref="C3952:D3952"/>
    <mergeCell ref="B3941:D3941"/>
    <mergeCell ref="B3942:D3942"/>
    <mergeCell ref="B3943:D3943"/>
    <mergeCell ref="B3944:D3944"/>
    <mergeCell ref="B3945:D3945"/>
    <mergeCell ref="J3952:L3952"/>
    <mergeCell ref="A3951:L3951"/>
    <mergeCell ref="F3950:I3950"/>
    <mergeCell ref="C3938:D3938"/>
    <mergeCell ref="B3939:D3939"/>
    <mergeCell ref="G3939:H3939"/>
    <mergeCell ref="B3940:D3940"/>
    <mergeCell ref="B3930:D3930"/>
    <mergeCell ref="F3932:F3933"/>
    <mergeCell ref="G3932:J3932"/>
    <mergeCell ref="G3933:J3933"/>
    <mergeCell ref="C3927:D3927"/>
    <mergeCell ref="B3928:D3928"/>
    <mergeCell ref="G3928:H3928"/>
    <mergeCell ref="B3929:D3929"/>
    <mergeCell ref="B3923:D3923"/>
    <mergeCell ref="I3923:J3923"/>
    <mergeCell ref="B3924:D3924"/>
    <mergeCell ref="I3924:J3924"/>
    <mergeCell ref="B3925:D3925"/>
    <mergeCell ref="A3926:L3926"/>
    <mergeCell ref="A3937:L3937"/>
    <mergeCell ref="J3901:L3901"/>
    <mergeCell ref="J3883:L3883"/>
    <mergeCell ref="B3874:D3874"/>
    <mergeCell ref="B3875:D3875"/>
    <mergeCell ref="B3876:D3876"/>
    <mergeCell ref="G3915:J3915"/>
    <mergeCell ref="G3916:J3916"/>
    <mergeCell ref="B3911:D3911"/>
    <mergeCell ref="G3911:H3911"/>
    <mergeCell ref="B3902:D3902"/>
    <mergeCell ref="G3902:H3902"/>
    <mergeCell ref="B3903:D3903"/>
    <mergeCell ref="F3904:F3905"/>
    <mergeCell ref="G3904:J3904"/>
    <mergeCell ref="G3905:J3905"/>
    <mergeCell ref="C3910:D3910"/>
    <mergeCell ref="J3921:L3921"/>
    <mergeCell ref="J3910:L3910"/>
    <mergeCell ref="B3894:D3894"/>
    <mergeCell ref="F3895:F3896"/>
    <mergeCell ref="G3895:J3895"/>
    <mergeCell ref="G3896:J3896"/>
    <mergeCell ref="C3901:D3901"/>
    <mergeCell ref="B3888:D3888"/>
    <mergeCell ref="C3892:D3892"/>
    <mergeCell ref="B3914:D3914"/>
    <mergeCell ref="F3915:F3916"/>
    <mergeCell ref="B3912:D3912"/>
    <mergeCell ref="B3913:D3913"/>
    <mergeCell ref="F3859:F3860"/>
    <mergeCell ref="G3859:J3859"/>
    <mergeCell ref="G3860:J3860"/>
    <mergeCell ref="C3865:D3865"/>
    <mergeCell ref="J3865:L3865"/>
    <mergeCell ref="J3872:L3872"/>
    <mergeCell ref="B3893:D3893"/>
    <mergeCell ref="G3893:H3893"/>
    <mergeCell ref="B3884:D3884"/>
    <mergeCell ref="G3884:H3884"/>
    <mergeCell ref="B3885:D3885"/>
    <mergeCell ref="F3886:F3887"/>
    <mergeCell ref="G3886:J3886"/>
    <mergeCell ref="G3887:J3887"/>
    <mergeCell ref="F3877:F3878"/>
    <mergeCell ref="G3877:J3877"/>
    <mergeCell ref="G3878:J3878"/>
    <mergeCell ref="C3883:D3883"/>
    <mergeCell ref="B3855:D3855"/>
    <mergeCell ref="G3855:H3855"/>
    <mergeCell ref="B3856:D3856"/>
    <mergeCell ref="B3857:D3857"/>
    <mergeCell ref="B3858:D3858"/>
    <mergeCell ref="F3848:F3849"/>
    <mergeCell ref="G3848:J3848"/>
    <mergeCell ref="G3849:J3849"/>
    <mergeCell ref="C3854:D3854"/>
    <mergeCell ref="B3873:D3873"/>
    <mergeCell ref="G3873:H3873"/>
    <mergeCell ref="B3843:D3843"/>
    <mergeCell ref="G3843:H3843"/>
    <mergeCell ref="B3844:D3844"/>
    <mergeCell ref="B3846:D3846"/>
    <mergeCell ref="B3847:D3847"/>
    <mergeCell ref="F3836:F3837"/>
    <mergeCell ref="G3836:J3836"/>
    <mergeCell ref="G3837:J3837"/>
    <mergeCell ref="C3842:D3842"/>
    <mergeCell ref="J3842:L3842"/>
    <mergeCell ref="J3854:L3854"/>
    <mergeCell ref="B3868:D3868"/>
    <mergeCell ref="I3868:J3868"/>
    <mergeCell ref="B3870:D3870"/>
    <mergeCell ref="C3872:D3872"/>
    <mergeCell ref="B3866:D3866"/>
    <mergeCell ref="G3866:H3866"/>
    <mergeCell ref="I3866:J3866"/>
    <mergeCell ref="B3867:D3867"/>
    <mergeCell ref="I3867:J3867"/>
    <mergeCell ref="A3841:L3841"/>
    <mergeCell ref="B3832:D3832"/>
    <mergeCell ref="G3832:H3832"/>
    <mergeCell ref="B3833:D3833"/>
    <mergeCell ref="B3834:D3834"/>
    <mergeCell ref="B3835:D3835"/>
    <mergeCell ref="B3845:D3845"/>
    <mergeCell ref="B3828:D3828"/>
    <mergeCell ref="I3828:J3828"/>
    <mergeCell ref="B3829:D3829"/>
    <mergeCell ref="C3831:D3831"/>
    <mergeCell ref="C3826:D3826"/>
    <mergeCell ref="B3827:D3827"/>
    <mergeCell ref="G3827:H3827"/>
    <mergeCell ref="I3827:J3827"/>
    <mergeCell ref="B3817:D3817"/>
    <mergeCell ref="B3818:D3818"/>
    <mergeCell ref="B3819:D3819"/>
    <mergeCell ref="F3820:F3821"/>
    <mergeCell ref="G3820:J3820"/>
    <mergeCell ref="G3821:J3821"/>
    <mergeCell ref="J3826:L3826"/>
    <mergeCell ref="J3831:L3831"/>
    <mergeCell ref="A3825:L3825"/>
    <mergeCell ref="A3830:L3830"/>
    <mergeCell ref="C3815:D3815"/>
    <mergeCell ref="B3816:D3816"/>
    <mergeCell ref="G3816:H3816"/>
    <mergeCell ref="A3807:C3807"/>
    <mergeCell ref="A3808:C3808"/>
    <mergeCell ref="A3809:C3809"/>
    <mergeCell ref="A3810:C3810"/>
    <mergeCell ref="A3811:C3811"/>
    <mergeCell ref="A3812:C3812"/>
    <mergeCell ref="A3813:C3813"/>
    <mergeCell ref="A3805:C3805"/>
    <mergeCell ref="A3806:C3806"/>
    <mergeCell ref="A3804:L3804"/>
    <mergeCell ref="B3797:D3797"/>
    <mergeCell ref="J3794:L3794"/>
    <mergeCell ref="D3806:L3806"/>
    <mergeCell ref="D3807:L3807"/>
    <mergeCell ref="D3808:L3808"/>
    <mergeCell ref="D3809:L3809"/>
    <mergeCell ref="D3810:L3810"/>
    <mergeCell ref="D3811:L3811"/>
    <mergeCell ref="D3812:L3812"/>
    <mergeCell ref="D3813:L3813"/>
    <mergeCell ref="B3798:D3798"/>
    <mergeCell ref="J3815:L3815"/>
    <mergeCell ref="D3805:L3805"/>
    <mergeCell ref="A3814:L3814"/>
    <mergeCell ref="F3788:F3789"/>
    <mergeCell ref="G3788:J3788"/>
    <mergeCell ref="G3789:J3789"/>
    <mergeCell ref="B3730:D3730"/>
    <mergeCell ref="B3731:D3731"/>
    <mergeCell ref="F3733:F3734"/>
    <mergeCell ref="G3733:J3733"/>
    <mergeCell ref="G3734:J3734"/>
    <mergeCell ref="F3777:F3778"/>
    <mergeCell ref="G3777:J3777"/>
    <mergeCell ref="G3778:J3778"/>
    <mergeCell ref="B3773:D3773"/>
    <mergeCell ref="G3773:H3773"/>
    <mergeCell ref="G3755:J3755"/>
    <mergeCell ref="G3756:J3756"/>
    <mergeCell ref="F3799:F3800"/>
    <mergeCell ref="G3799:J3799"/>
    <mergeCell ref="G3800:J3800"/>
    <mergeCell ref="C3794:D3794"/>
    <mergeCell ref="B3795:D3795"/>
    <mergeCell ref="G3795:H3795"/>
    <mergeCell ref="B3796:D3796"/>
    <mergeCell ref="B3785:D3785"/>
    <mergeCell ref="B3786:D3786"/>
    <mergeCell ref="B3762:D3762"/>
    <mergeCell ref="G3762:H3762"/>
    <mergeCell ref="B3763:D3763"/>
    <mergeCell ref="B3764:D3764"/>
    <mergeCell ref="F3766:F3767"/>
    <mergeCell ref="G3766:J3766"/>
    <mergeCell ref="G3767:J3767"/>
    <mergeCell ref="C3772:D3772"/>
    <mergeCell ref="G3663:H3663"/>
    <mergeCell ref="B3658:D3658"/>
    <mergeCell ref="I3658:J3658"/>
    <mergeCell ref="B3659:D3659"/>
    <mergeCell ref="I3659:J3659"/>
    <mergeCell ref="B3660:D3660"/>
    <mergeCell ref="B3649:D3649"/>
    <mergeCell ref="F3651:F3652"/>
    <mergeCell ref="G3651:J3651"/>
    <mergeCell ref="G3652:J3652"/>
    <mergeCell ref="C3657:D3657"/>
    <mergeCell ref="J3662:L3662"/>
    <mergeCell ref="B3624:D3624"/>
    <mergeCell ref="B3625:D3625"/>
    <mergeCell ref="B3626:D3626"/>
    <mergeCell ref="F3627:F3628"/>
    <mergeCell ref="G3627:J3627"/>
    <mergeCell ref="G3628:J3628"/>
    <mergeCell ref="J3637:L3637"/>
    <mergeCell ref="K3638:L3638"/>
    <mergeCell ref="A3636:L3636"/>
    <mergeCell ref="C3633:D3633"/>
    <mergeCell ref="J3633:L3633"/>
    <mergeCell ref="B3634:D3634"/>
    <mergeCell ref="G3634:H3634"/>
    <mergeCell ref="K3634:L3634"/>
    <mergeCell ref="B3635:D3635"/>
    <mergeCell ref="G3635:H3635"/>
    <mergeCell ref="B3620:D3620"/>
    <mergeCell ref="C3622:D3622"/>
    <mergeCell ref="B3623:D3623"/>
    <mergeCell ref="G3623:H3623"/>
    <mergeCell ref="K3623:L3623"/>
    <mergeCell ref="J3622:L3622"/>
    <mergeCell ref="B3618:D3618"/>
    <mergeCell ref="G3618:H3618"/>
    <mergeCell ref="I3618:J3618"/>
    <mergeCell ref="B3619:D3619"/>
    <mergeCell ref="I3619:J3619"/>
    <mergeCell ref="A3607:C3607"/>
    <mergeCell ref="A3608:C3608"/>
    <mergeCell ref="A3609:C3609"/>
    <mergeCell ref="F3601:F3602"/>
    <mergeCell ref="G3601:J3601"/>
    <mergeCell ref="G3602:J3602"/>
    <mergeCell ref="B3597:D3597"/>
    <mergeCell ref="G3597:H3597"/>
    <mergeCell ref="B3598:D3598"/>
    <mergeCell ref="B3599:D3599"/>
    <mergeCell ref="B3600:D3600"/>
    <mergeCell ref="A3606:L3606"/>
    <mergeCell ref="D3607:L3607"/>
    <mergeCell ref="D3608:L3608"/>
    <mergeCell ref="D3609:L3609"/>
    <mergeCell ref="D3610:L3610"/>
    <mergeCell ref="D3611:L3611"/>
    <mergeCell ref="D3612:L3612"/>
    <mergeCell ref="D3613:L3613"/>
    <mergeCell ref="D3614:L3614"/>
    <mergeCell ref="D3615:L3615"/>
    <mergeCell ref="K3618:L3618"/>
    <mergeCell ref="J3617:L3617"/>
    <mergeCell ref="B3593:D3593"/>
    <mergeCell ref="I3593:J3593"/>
    <mergeCell ref="B3594:D3594"/>
    <mergeCell ref="C3596:D3596"/>
    <mergeCell ref="A3539:C3539"/>
    <mergeCell ref="A3540:C3540"/>
    <mergeCell ref="D3539:L3539"/>
    <mergeCell ref="A3563:C3563"/>
    <mergeCell ref="A3564:C3564"/>
    <mergeCell ref="D3563:L3563"/>
    <mergeCell ref="A3565:C3565"/>
    <mergeCell ref="D3564:L3564"/>
    <mergeCell ref="A3566:C3566"/>
    <mergeCell ref="D3565:L3565"/>
    <mergeCell ref="A3567:C3567"/>
    <mergeCell ref="D3566:L3566"/>
    <mergeCell ref="A3568:C3568"/>
    <mergeCell ref="B3574:D3574"/>
    <mergeCell ref="G3574:H3574"/>
    <mergeCell ref="I3574:J3574"/>
    <mergeCell ref="B3575:D3575"/>
    <mergeCell ref="F3557:F3558"/>
    <mergeCell ref="G3557:J3557"/>
    <mergeCell ref="D3540:L3540"/>
    <mergeCell ref="J3542:L3542"/>
    <mergeCell ref="K3543:L3543"/>
    <mergeCell ref="J3551:L3551"/>
    <mergeCell ref="J3573:L3573"/>
    <mergeCell ref="B3556:D3556"/>
    <mergeCell ref="A3531:L3531"/>
    <mergeCell ref="C3494:D3494"/>
    <mergeCell ref="B3495:D3495"/>
    <mergeCell ref="G3495:H3495"/>
    <mergeCell ref="A3484:C3484"/>
    <mergeCell ref="A3485:C3485"/>
    <mergeCell ref="D3484:L3484"/>
    <mergeCell ref="A3486:C3486"/>
    <mergeCell ref="D3485:L3485"/>
    <mergeCell ref="A3487:C3487"/>
    <mergeCell ref="D3486:L3486"/>
    <mergeCell ref="D3492:L3492"/>
    <mergeCell ref="A3493:L3493"/>
    <mergeCell ref="C3505:D3505"/>
    <mergeCell ref="B3506:D3506"/>
    <mergeCell ref="G3506:H3506"/>
    <mergeCell ref="B3496:D3496"/>
    <mergeCell ref="B3497:D3497"/>
    <mergeCell ref="G3500:J3500"/>
    <mergeCell ref="J3505:L3505"/>
    <mergeCell ref="K3506:L3506"/>
    <mergeCell ref="B3520:D3520"/>
    <mergeCell ref="A3492:C3492"/>
    <mergeCell ref="D3491:L3491"/>
    <mergeCell ref="D3489:L3489"/>
    <mergeCell ref="C3406:D3406"/>
    <mergeCell ref="B3407:D3407"/>
    <mergeCell ref="G3407:H3407"/>
    <mergeCell ref="J3428:L3428"/>
    <mergeCell ref="B3475:D3475"/>
    <mergeCell ref="B3476:D3476"/>
    <mergeCell ref="B3477:D3477"/>
    <mergeCell ref="F3478:F3479"/>
    <mergeCell ref="B3471:D3471"/>
    <mergeCell ref="B3443:D3443"/>
    <mergeCell ref="B3432:D3432"/>
    <mergeCell ref="B3433:D3433"/>
    <mergeCell ref="B3434:D3434"/>
    <mergeCell ref="B3430:D3430"/>
    <mergeCell ref="J3467:L3467"/>
    <mergeCell ref="K3468:L3468"/>
    <mergeCell ref="B3446:D3446"/>
    <mergeCell ref="G3446:H3446"/>
    <mergeCell ref="F3435:F3436"/>
    <mergeCell ref="G3435:J3435"/>
    <mergeCell ref="G3436:J3436"/>
    <mergeCell ref="F3450:F3451"/>
    <mergeCell ref="G3450:J3450"/>
    <mergeCell ref="G3451:J3451"/>
    <mergeCell ref="J3456:L3456"/>
    <mergeCell ref="B3473:D3473"/>
    <mergeCell ref="B3474:D3474"/>
    <mergeCell ref="K3429:L3429"/>
    <mergeCell ref="B3472:D3472"/>
    <mergeCell ref="G3443:H3443"/>
    <mergeCell ref="B3460:D3460"/>
    <mergeCell ref="B3468:D3468"/>
    <mergeCell ref="G3468:H3468"/>
    <mergeCell ref="A3491:C3491"/>
    <mergeCell ref="D3490:L3490"/>
    <mergeCell ref="A3488:C3488"/>
    <mergeCell ref="D3487:L3487"/>
    <mergeCell ref="A3489:C3489"/>
    <mergeCell ref="D3488:L3488"/>
    <mergeCell ref="A3490:C3490"/>
    <mergeCell ref="J3445:L3445"/>
    <mergeCell ref="K3446:L3446"/>
    <mergeCell ref="B3431:D3431"/>
    <mergeCell ref="C3441:D3441"/>
    <mergeCell ref="J3441:L3441"/>
    <mergeCell ref="B3442:D3442"/>
    <mergeCell ref="G3442:H3442"/>
    <mergeCell ref="K3442:L3442"/>
    <mergeCell ref="B3470:D3470"/>
    <mergeCell ref="B3458:D3458"/>
    <mergeCell ref="A3483:L3483"/>
    <mergeCell ref="F3461:F3462"/>
    <mergeCell ref="G3461:J3461"/>
    <mergeCell ref="G3462:J3462"/>
    <mergeCell ref="C3456:D3456"/>
    <mergeCell ref="B3457:D3457"/>
    <mergeCell ref="G3457:H3457"/>
    <mergeCell ref="B3449:D3449"/>
    <mergeCell ref="B3459:D3459"/>
    <mergeCell ref="G3478:J3478"/>
    <mergeCell ref="G3479:J3479"/>
    <mergeCell ref="B3469:D3469"/>
    <mergeCell ref="G3481:I3481"/>
    <mergeCell ref="D3399:L3399"/>
    <mergeCell ref="A3444:L3444"/>
    <mergeCell ref="J3417:L3417"/>
    <mergeCell ref="A3362:C3362"/>
    <mergeCell ref="D3361:L3361"/>
    <mergeCell ref="A3363:C3363"/>
    <mergeCell ref="D3362:L3362"/>
    <mergeCell ref="A3364:C3364"/>
    <mergeCell ref="D3363:L3363"/>
    <mergeCell ref="A3365:C3365"/>
    <mergeCell ref="D3364:L3364"/>
    <mergeCell ref="A3366:C3366"/>
    <mergeCell ref="D3365:L3365"/>
    <mergeCell ref="A3367:C3367"/>
    <mergeCell ref="D3366:L3366"/>
    <mergeCell ref="A3368:C3368"/>
    <mergeCell ref="D3367:L3367"/>
    <mergeCell ref="A3369:C3369"/>
    <mergeCell ref="C3371:D3371"/>
    <mergeCell ref="F3390:F3391"/>
    <mergeCell ref="G3390:J3390"/>
    <mergeCell ref="G3391:J3391"/>
    <mergeCell ref="D3404:L3404"/>
    <mergeCell ref="J3406:L3406"/>
    <mergeCell ref="B3409:D3409"/>
    <mergeCell ref="B3410:D3410"/>
    <mergeCell ref="B3381:D3381"/>
    <mergeCell ref="B3382:D3382"/>
    <mergeCell ref="D3400:L3400"/>
    <mergeCell ref="A3402:C3402"/>
    <mergeCell ref="D3401:L3401"/>
    <mergeCell ref="K3407:L3407"/>
    <mergeCell ref="F3355:F3356"/>
    <mergeCell ref="G3355:J3355"/>
    <mergeCell ref="G3356:J3356"/>
    <mergeCell ref="A3360:L3360"/>
    <mergeCell ref="D3369:L3369"/>
    <mergeCell ref="G3338:H3338"/>
    <mergeCell ref="B3339:D3339"/>
    <mergeCell ref="J3314:L3314"/>
    <mergeCell ref="K3315:L3315"/>
    <mergeCell ref="C3325:D3325"/>
    <mergeCell ref="G3308:J3308"/>
    <mergeCell ref="G3309:J3309"/>
    <mergeCell ref="B3353:D3353"/>
    <mergeCell ref="B3326:D3326"/>
    <mergeCell ref="G3326:H3326"/>
    <mergeCell ref="B3307:D3307"/>
    <mergeCell ref="B3350:D3350"/>
    <mergeCell ref="A3313:L3313"/>
    <mergeCell ref="F3335:I3335"/>
    <mergeCell ref="A3336:L3336"/>
    <mergeCell ref="A3347:L3347"/>
    <mergeCell ref="C3314:D3314"/>
    <mergeCell ref="B3352:D3352"/>
    <mergeCell ref="A3324:L3324"/>
    <mergeCell ref="G3315:H3315"/>
    <mergeCell ref="B3316:D3316"/>
    <mergeCell ref="B3317:D3317"/>
    <mergeCell ref="B3318:D3318"/>
    <mergeCell ref="F3308:F3309"/>
    <mergeCell ref="J3337:L3337"/>
    <mergeCell ref="J3348:L3348"/>
    <mergeCell ref="D3279:L3279"/>
    <mergeCell ref="J3282:L3282"/>
    <mergeCell ref="C3282:D3282"/>
    <mergeCell ref="B3306:D3306"/>
    <mergeCell ref="A3298:C3298"/>
    <mergeCell ref="D3297:L3297"/>
    <mergeCell ref="A3293:C3293"/>
    <mergeCell ref="A3294:C3294"/>
    <mergeCell ref="D3293:L3293"/>
    <mergeCell ref="A3295:C3295"/>
    <mergeCell ref="A3299:C3299"/>
    <mergeCell ref="D3298:L3298"/>
    <mergeCell ref="A3300:C3300"/>
    <mergeCell ref="D3299:L3299"/>
    <mergeCell ref="K3304:L3304"/>
    <mergeCell ref="B3304:D3304"/>
    <mergeCell ref="G3304:H3304"/>
    <mergeCell ref="B3305:D3305"/>
    <mergeCell ref="A3301:C3301"/>
    <mergeCell ref="D3300:L3300"/>
    <mergeCell ref="A3296:C3296"/>
    <mergeCell ref="D3295:L3295"/>
    <mergeCell ref="A3297:C3297"/>
    <mergeCell ref="B3284:D3284"/>
    <mergeCell ref="B3285:D3285"/>
    <mergeCell ref="D3296:L3296"/>
    <mergeCell ref="G3283:H3283"/>
    <mergeCell ref="A3292:L3292"/>
    <mergeCell ref="G3184:J3184"/>
    <mergeCell ref="A3160:C3160"/>
    <mergeCell ref="D3159:L3159"/>
    <mergeCell ref="K3243:L3243"/>
    <mergeCell ref="J3250:L3250"/>
    <mergeCell ref="G3342:J3342"/>
    <mergeCell ref="G3343:J3343"/>
    <mergeCell ref="B3260:D3260"/>
    <mergeCell ref="B3261:D3261"/>
    <mergeCell ref="B3262:D3262"/>
    <mergeCell ref="B3263:D3263"/>
    <mergeCell ref="B3264:D3264"/>
    <mergeCell ref="B3265:D3265"/>
    <mergeCell ref="B3256:D3256"/>
    <mergeCell ref="G3256:H3256"/>
    <mergeCell ref="B3257:D3257"/>
    <mergeCell ref="B3258:D3258"/>
    <mergeCell ref="B3259:D3259"/>
    <mergeCell ref="D3294:L3294"/>
    <mergeCell ref="A3277:C3277"/>
    <mergeCell ref="D3276:L3276"/>
    <mergeCell ref="F3266:F3267"/>
    <mergeCell ref="G3266:J3266"/>
    <mergeCell ref="G3267:J3267"/>
    <mergeCell ref="B3286:D3286"/>
    <mergeCell ref="F3287:F3288"/>
    <mergeCell ref="G3287:J3287"/>
    <mergeCell ref="G3288:J3288"/>
    <mergeCell ref="B3283:D3283"/>
    <mergeCell ref="B3315:D3315"/>
    <mergeCell ref="A3278:C3278"/>
    <mergeCell ref="A3279:C3279"/>
    <mergeCell ref="B3136:D3136"/>
    <mergeCell ref="I3136:J3136"/>
    <mergeCell ref="B3137:D3137"/>
    <mergeCell ref="I3137:J3137"/>
    <mergeCell ref="B3138:D3138"/>
    <mergeCell ref="B3143:D3143"/>
    <mergeCell ref="J3135:L3135"/>
    <mergeCell ref="J3140:L3140"/>
    <mergeCell ref="G3221:H3221"/>
    <mergeCell ref="A3152:L3152"/>
    <mergeCell ref="D3161:L3161"/>
    <mergeCell ref="C3163:D3163"/>
    <mergeCell ref="I3211:J3211"/>
    <mergeCell ref="B3180:D3180"/>
    <mergeCell ref="G3185:J3185"/>
    <mergeCell ref="C3179:D3179"/>
    <mergeCell ref="K3221:L3221"/>
    <mergeCell ref="J3168:L3168"/>
    <mergeCell ref="B3166:D3166"/>
    <mergeCell ref="C3168:D3168"/>
    <mergeCell ref="B3169:D3169"/>
    <mergeCell ref="J3200:L3200"/>
    <mergeCell ref="A3167:L3167"/>
    <mergeCell ref="K3164:L3164"/>
    <mergeCell ref="B3164:D3164"/>
    <mergeCell ref="I3164:J3164"/>
    <mergeCell ref="B3165:D3165"/>
    <mergeCell ref="I3165:J3165"/>
    <mergeCell ref="J3179:L3179"/>
    <mergeCell ref="J3190:L3190"/>
    <mergeCell ref="A3189:L3189"/>
    <mergeCell ref="G3205:J3205"/>
    <mergeCell ref="B3089:D3089"/>
    <mergeCell ref="I3089:J3089"/>
    <mergeCell ref="K3089:L3089"/>
    <mergeCell ref="A3087:L3087"/>
    <mergeCell ref="B3091:D3091"/>
    <mergeCell ref="J3093:L3093"/>
    <mergeCell ref="A3092:L3092"/>
    <mergeCell ref="I3094:J3094"/>
    <mergeCell ref="B3095:D3095"/>
    <mergeCell ref="B3224:D3224"/>
    <mergeCell ref="B3217:D3217"/>
    <mergeCell ref="I3217:J3217"/>
    <mergeCell ref="B3218:D3218"/>
    <mergeCell ref="C3220:D3220"/>
    <mergeCell ref="B3213:D3213"/>
    <mergeCell ref="C3215:D3215"/>
    <mergeCell ref="B3216:D3216"/>
    <mergeCell ref="I3216:J3216"/>
    <mergeCell ref="C3190:D3190"/>
    <mergeCell ref="B3191:D3191"/>
    <mergeCell ref="B3132:D3132"/>
    <mergeCell ref="J3088:L3088"/>
    <mergeCell ref="B3223:D3223"/>
    <mergeCell ref="A3158:C3158"/>
    <mergeCell ref="D3157:L3157"/>
    <mergeCell ref="A3159:C3159"/>
    <mergeCell ref="I3132:J3132"/>
    <mergeCell ref="B3133:D3133"/>
    <mergeCell ref="C3135:D3135"/>
    <mergeCell ref="B3142:D3142"/>
    <mergeCell ref="B3141:D3141"/>
    <mergeCell ref="G3141:H3141"/>
    <mergeCell ref="F3173:F3174"/>
    <mergeCell ref="F3205:F3206"/>
    <mergeCell ref="G2954:J2954"/>
    <mergeCell ref="B2985:D2985"/>
    <mergeCell ref="I2985:J2985"/>
    <mergeCell ref="K2985:L2985"/>
    <mergeCell ref="A2957:L2957"/>
    <mergeCell ref="A2962:L2962"/>
    <mergeCell ref="A2972:L2972"/>
    <mergeCell ref="A2983:L2983"/>
    <mergeCell ref="B2971:D2971"/>
    <mergeCell ref="B2978:D2978"/>
    <mergeCell ref="F2979:F2980"/>
    <mergeCell ref="B2977:D2977"/>
    <mergeCell ref="G2979:J2979"/>
    <mergeCell ref="G2980:J2980"/>
    <mergeCell ref="C2973:D2973"/>
    <mergeCell ref="C2968:D2968"/>
    <mergeCell ref="B2959:D2959"/>
    <mergeCell ref="J3024:L3024"/>
    <mergeCell ref="B3025:D3025"/>
    <mergeCell ref="G3025:H3025"/>
    <mergeCell ref="K3025:L3025"/>
    <mergeCell ref="B3042:D3042"/>
    <mergeCell ref="G3042:H3042"/>
    <mergeCell ref="C3140:D3140"/>
    <mergeCell ref="G3046:J3046"/>
    <mergeCell ref="B3035:D3035"/>
    <mergeCell ref="B3045:D3045"/>
    <mergeCell ref="B3026:D3026"/>
    <mergeCell ref="B3027:D3027"/>
    <mergeCell ref="J3033:L3033"/>
    <mergeCell ref="A2886:L2886"/>
    <mergeCell ref="B2833:D2833"/>
    <mergeCell ref="I2841:J2841"/>
    <mergeCell ref="B2834:D2834"/>
    <mergeCell ref="G2881:J2881"/>
    <mergeCell ref="B2889:D2889"/>
    <mergeCell ref="C2876:D2876"/>
    <mergeCell ref="G2877:H2877"/>
    <mergeCell ref="K2877:L2877"/>
    <mergeCell ref="A2865:L2865"/>
    <mergeCell ref="B2847:D2847"/>
    <mergeCell ref="B2878:D2878"/>
    <mergeCell ref="C2849:D2849"/>
    <mergeCell ref="J2849:L2849"/>
    <mergeCell ref="G2888:H2888"/>
    <mergeCell ref="A2896:L2896"/>
    <mergeCell ref="B2939:D2939"/>
    <mergeCell ref="B2846:D2846"/>
    <mergeCell ref="B2854:D2854"/>
    <mergeCell ref="B2855:D2855"/>
    <mergeCell ref="B2850:D2850"/>
    <mergeCell ref="A2937:L2937"/>
    <mergeCell ref="K2919:L2919"/>
    <mergeCell ref="B2841:D2841"/>
    <mergeCell ref="G2898:H2898"/>
    <mergeCell ref="K2898:L2898"/>
    <mergeCell ref="A2907:L2907"/>
    <mergeCell ref="F2892:F2893"/>
    <mergeCell ref="G2892:J2892"/>
    <mergeCell ref="G2914:J2914"/>
    <mergeCell ref="B2920:D2920"/>
    <mergeCell ref="I2920:J2920"/>
    <mergeCell ref="I2944:J2944"/>
    <mergeCell ref="D2871:L2871"/>
    <mergeCell ref="B2821:D2821"/>
    <mergeCell ref="G2821:H2821"/>
    <mergeCell ref="K2821:L2821"/>
    <mergeCell ref="J2887:L2887"/>
    <mergeCell ref="K2845:L2845"/>
    <mergeCell ref="F2839:F2840"/>
    <mergeCell ref="G2839:J2839"/>
    <mergeCell ref="G2840:J2840"/>
    <mergeCell ref="B2857:D2857"/>
    <mergeCell ref="B2858:D2858"/>
    <mergeCell ref="F2881:F2882"/>
    <mergeCell ref="A2872:C2872"/>
    <mergeCell ref="D2872:L2872"/>
    <mergeCell ref="A2873:C2873"/>
    <mergeCell ref="D2873:L2873"/>
    <mergeCell ref="A2874:C2874"/>
    <mergeCell ref="D2874:L2874"/>
    <mergeCell ref="A2875:L2875"/>
    <mergeCell ref="G2850:H2850"/>
    <mergeCell ref="K2850:L2850"/>
    <mergeCell ref="C2844:D2844"/>
    <mergeCell ref="J2844:L2844"/>
    <mergeCell ref="B2845:D2845"/>
    <mergeCell ref="B2852:D2852"/>
    <mergeCell ref="B2853:D2853"/>
    <mergeCell ref="D2869:L2869"/>
    <mergeCell ref="A2870:C2870"/>
    <mergeCell ref="D2870:L2870"/>
    <mergeCell ref="A2871:C2871"/>
    <mergeCell ref="A2848:L2848"/>
    <mergeCell ref="G2798:H2798"/>
    <mergeCell ref="K2798:L2798"/>
    <mergeCell ref="A2804:L2804"/>
    <mergeCell ref="B2806:D2806"/>
    <mergeCell ref="B2837:D2837"/>
    <mergeCell ref="H2837:J2837"/>
    <mergeCell ref="A2831:L2831"/>
    <mergeCell ref="G2827:J2827"/>
    <mergeCell ref="G2833:H2833"/>
    <mergeCell ref="K2833:L2833"/>
    <mergeCell ref="C2820:D2820"/>
    <mergeCell ref="J2820:L2820"/>
    <mergeCell ref="B2814:D2814"/>
    <mergeCell ref="B2815:D2815"/>
    <mergeCell ref="F2815:F2816"/>
    <mergeCell ref="G2815:J2815"/>
    <mergeCell ref="G2816:J2816"/>
    <mergeCell ref="B2811:D2811"/>
    <mergeCell ref="G2811:H2811"/>
    <mergeCell ref="K2811:L2811"/>
    <mergeCell ref="B2812:D2812"/>
    <mergeCell ref="B2813:D2813"/>
    <mergeCell ref="B2808:D2808"/>
    <mergeCell ref="B2824:D2824"/>
    <mergeCell ref="F2827:F2828"/>
    <mergeCell ref="G2828:J2828"/>
    <mergeCell ref="B2829:D2829"/>
    <mergeCell ref="B2830:D2830"/>
    <mergeCell ref="J2832:L2832"/>
    <mergeCell ref="C2832:D2832"/>
    <mergeCell ref="A2819:L2819"/>
    <mergeCell ref="A2809:L2809"/>
    <mergeCell ref="D2783:L2783"/>
    <mergeCell ref="A2784:C2784"/>
    <mergeCell ref="D2784:L2784"/>
    <mergeCell ref="A2785:C2785"/>
    <mergeCell ref="C2810:D2810"/>
    <mergeCell ref="J2810:L2810"/>
    <mergeCell ref="B2851:D2851"/>
    <mergeCell ref="D2777:L2777"/>
    <mergeCell ref="A2778:C2778"/>
    <mergeCell ref="D2778:L2778"/>
    <mergeCell ref="A2779:C2779"/>
    <mergeCell ref="D2779:L2779"/>
    <mergeCell ref="A2780:C2780"/>
    <mergeCell ref="D2780:L2780"/>
    <mergeCell ref="A2781:C2781"/>
    <mergeCell ref="D2781:L2781"/>
    <mergeCell ref="A2782:C2782"/>
    <mergeCell ref="D2782:L2782"/>
    <mergeCell ref="B2807:D2807"/>
    <mergeCell ref="I2807:J2807"/>
    <mergeCell ref="D2785:L2785"/>
    <mergeCell ref="A2786:L2786"/>
    <mergeCell ref="A2796:L2796"/>
    <mergeCell ref="B2799:D2799"/>
    <mergeCell ref="F2800:F2801"/>
    <mergeCell ref="G2800:J2800"/>
    <mergeCell ref="G2801:J2801"/>
    <mergeCell ref="C2805:D2805"/>
    <mergeCell ref="J2805:L2805"/>
    <mergeCell ref="C2797:D2797"/>
    <mergeCell ref="J2797:L2797"/>
    <mergeCell ref="B2798:D2798"/>
    <mergeCell ref="B2754:D2754"/>
    <mergeCell ref="B2748:D2748"/>
    <mergeCell ref="I2748:J2748"/>
    <mergeCell ref="B2749:D2749"/>
    <mergeCell ref="I2806:J2806"/>
    <mergeCell ref="K2806:L2806"/>
    <mergeCell ref="J2751:L2751"/>
    <mergeCell ref="C2761:D2761"/>
    <mergeCell ref="J2761:L2761"/>
    <mergeCell ref="B2753:D2753"/>
    <mergeCell ref="B2771:D2771"/>
    <mergeCell ref="F2772:F2773"/>
    <mergeCell ref="G2772:J2772"/>
    <mergeCell ref="G2773:J2773"/>
    <mergeCell ref="B2789:D2789"/>
    <mergeCell ref="B2790:D2790"/>
    <mergeCell ref="B2791:D2791"/>
    <mergeCell ref="B2792:D2792"/>
    <mergeCell ref="F2792:F2793"/>
    <mergeCell ref="G2792:J2792"/>
    <mergeCell ref="G2793:J2793"/>
    <mergeCell ref="C2787:D2787"/>
    <mergeCell ref="J2787:L2787"/>
    <mergeCell ref="B2788:D2788"/>
    <mergeCell ref="G2788:H2788"/>
    <mergeCell ref="K2788:L2788"/>
    <mergeCell ref="B2765:D2765"/>
    <mergeCell ref="B2766:D2766"/>
    <mergeCell ref="B2768:D2768"/>
    <mergeCell ref="B2769:D2769"/>
    <mergeCell ref="B2770:D2770"/>
    <mergeCell ref="A2783:C2783"/>
    <mergeCell ref="G2731:J2731"/>
    <mergeCell ref="G2732:J2732"/>
    <mergeCell ref="A2743:C2743"/>
    <mergeCell ref="D2743:L2743"/>
    <mergeCell ref="A2776:L2776"/>
    <mergeCell ref="A2777:C2777"/>
    <mergeCell ref="B2729:D2729"/>
    <mergeCell ref="B2730:D2730"/>
    <mergeCell ref="A2737:C2737"/>
    <mergeCell ref="D2737:L2737"/>
    <mergeCell ref="B2762:D2762"/>
    <mergeCell ref="K2762:L2762"/>
    <mergeCell ref="B2763:D2763"/>
    <mergeCell ref="B2764:D2764"/>
    <mergeCell ref="B2758:D2758"/>
    <mergeCell ref="G2758:H2758"/>
    <mergeCell ref="I2758:J2758"/>
    <mergeCell ref="B2759:D2759"/>
    <mergeCell ref="A2760:L2760"/>
    <mergeCell ref="C2756:D2756"/>
    <mergeCell ref="J2756:L2756"/>
    <mergeCell ref="B2757:D2757"/>
    <mergeCell ref="G2757:H2757"/>
    <mergeCell ref="I2757:J2757"/>
    <mergeCell ref="K2757:L2757"/>
    <mergeCell ref="C2746:D2746"/>
    <mergeCell ref="J2746:L2746"/>
    <mergeCell ref="B2747:D2747"/>
    <mergeCell ref="I2747:J2747"/>
    <mergeCell ref="K2747:L2747"/>
    <mergeCell ref="B2752:D2752"/>
    <mergeCell ref="I2752:J2752"/>
    <mergeCell ref="A2741:C2741"/>
    <mergeCell ref="D2741:L2741"/>
    <mergeCell ref="A2742:C2742"/>
    <mergeCell ref="D2742:L2742"/>
    <mergeCell ref="A2755:L2755"/>
    <mergeCell ref="C2751:D2751"/>
    <mergeCell ref="I2753:J2753"/>
    <mergeCell ref="A2681:L2681"/>
    <mergeCell ref="A2693:L2693"/>
    <mergeCell ref="B2711:D2711"/>
    <mergeCell ref="G2711:H2711"/>
    <mergeCell ref="I2711:J2711"/>
    <mergeCell ref="K2711:L2711"/>
    <mergeCell ref="B2712:D2712"/>
    <mergeCell ref="I2712:J2712"/>
    <mergeCell ref="A2714:L2714"/>
    <mergeCell ref="J2682:L2682"/>
    <mergeCell ref="B2683:D2683"/>
    <mergeCell ref="G2683:H2683"/>
    <mergeCell ref="K2683:L2683"/>
    <mergeCell ref="C2720:D2720"/>
    <mergeCell ref="B2696:D2696"/>
    <mergeCell ref="B2697:D2697"/>
    <mergeCell ref="B2698:D2698"/>
    <mergeCell ref="B2699:D2699"/>
    <mergeCell ref="J2720:L2720"/>
    <mergeCell ref="B2721:D2721"/>
    <mergeCell ref="G2721:H2721"/>
    <mergeCell ref="K2721:L2721"/>
    <mergeCell ref="A2719:L2719"/>
    <mergeCell ref="A2745:L2745"/>
    <mergeCell ref="F2731:F2732"/>
    <mergeCell ref="J2710:L2710"/>
    <mergeCell ref="C2705:D2705"/>
    <mergeCell ref="J2705:L2705"/>
    <mergeCell ref="A2677:C2677"/>
    <mergeCell ref="A2744:C2744"/>
    <mergeCell ref="G2688:J2688"/>
    <mergeCell ref="K2752:L2752"/>
    <mergeCell ref="D2744:L2744"/>
    <mergeCell ref="B2713:D2713"/>
    <mergeCell ref="C2715:D2715"/>
    <mergeCell ref="J2715:L2715"/>
    <mergeCell ref="B2716:D2716"/>
    <mergeCell ref="I2716:J2716"/>
    <mergeCell ref="K2716:L2716"/>
    <mergeCell ref="C2694:D2694"/>
    <mergeCell ref="J2694:L2694"/>
    <mergeCell ref="B2695:D2695"/>
    <mergeCell ref="B2717:D2717"/>
    <mergeCell ref="I2717:J2717"/>
    <mergeCell ref="A2709:L2709"/>
    <mergeCell ref="B2718:D2718"/>
    <mergeCell ref="B2722:D2722"/>
    <mergeCell ref="D2736:L2736"/>
    <mergeCell ref="B2723:D2723"/>
    <mergeCell ref="B2724:D2724"/>
    <mergeCell ref="B2725:D2725"/>
    <mergeCell ref="A2738:C2738"/>
    <mergeCell ref="D2738:L2738"/>
    <mergeCell ref="A2739:C2739"/>
    <mergeCell ref="D2739:L2739"/>
    <mergeCell ref="A2740:C2740"/>
    <mergeCell ref="D2740:L2740"/>
    <mergeCell ref="B2662:D2662"/>
    <mergeCell ref="B2663:D2663"/>
    <mergeCell ref="K2695:L2695"/>
    <mergeCell ref="B2684:D2684"/>
    <mergeCell ref="B2685:D2685"/>
    <mergeCell ref="B2686:D2686"/>
    <mergeCell ref="B2687:D2687"/>
    <mergeCell ref="F2688:F2689"/>
    <mergeCell ref="G2689:J2689"/>
    <mergeCell ref="C2682:D2682"/>
    <mergeCell ref="F2700:F2701"/>
    <mergeCell ref="G2700:J2700"/>
    <mergeCell ref="G2701:J2701"/>
    <mergeCell ref="G2695:H2695"/>
    <mergeCell ref="A2704:L2704"/>
    <mergeCell ref="A2676:C2676"/>
    <mergeCell ref="D2676:L2676"/>
    <mergeCell ref="A2680:C2680"/>
    <mergeCell ref="D2680:L2680"/>
    <mergeCell ref="D2677:L2677"/>
    <mergeCell ref="A2678:C2678"/>
    <mergeCell ref="D2678:L2678"/>
    <mergeCell ref="G2625:H2625"/>
    <mergeCell ref="K2625:L2625"/>
    <mergeCell ref="B2626:D2626"/>
    <mergeCell ref="D2673:L2673"/>
    <mergeCell ref="A2674:C2674"/>
    <mergeCell ref="D2674:L2674"/>
    <mergeCell ref="A2675:C2675"/>
    <mergeCell ref="B2653:D2653"/>
    <mergeCell ref="G2653:H2653"/>
    <mergeCell ref="I2653:J2653"/>
    <mergeCell ref="K2653:L2653"/>
    <mergeCell ref="B2644:D2644"/>
    <mergeCell ref="G2644:H2644"/>
    <mergeCell ref="K2644:L2644"/>
    <mergeCell ref="B2645:D2645"/>
    <mergeCell ref="F2646:F2647"/>
    <mergeCell ref="G2646:J2646"/>
    <mergeCell ref="G2647:J2647"/>
    <mergeCell ref="C2652:D2652"/>
    <mergeCell ref="J2652:L2652"/>
    <mergeCell ref="B2664:D2664"/>
    <mergeCell ref="I2664:J2664"/>
    <mergeCell ref="A2671:L2671"/>
    <mergeCell ref="B2661:D2661"/>
    <mergeCell ref="D2675:L2675"/>
    <mergeCell ref="B2640:D2640"/>
    <mergeCell ref="I2640:J2640"/>
    <mergeCell ref="B2641:D2641"/>
    <mergeCell ref="C2643:D2643"/>
    <mergeCell ref="J2643:L2643"/>
    <mergeCell ref="A2642:L2642"/>
    <mergeCell ref="A2651:L2651"/>
    <mergeCell ref="A2623:L2623"/>
    <mergeCell ref="A2632:L2632"/>
    <mergeCell ref="G2574:H2574"/>
    <mergeCell ref="C2576:D2576"/>
    <mergeCell ref="J2576:L2576"/>
    <mergeCell ref="A2589:L2589"/>
    <mergeCell ref="A2601:L2601"/>
    <mergeCell ref="B2622:D2622"/>
    <mergeCell ref="C2628:D2628"/>
    <mergeCell ref="C2638:D2638"/>
    <mergeCell ref="J2638:L2638"/>
    <mergeCell ref="B2639:D2639"/>
    <mergeCell ref="G2639:H2639"/>
    <mergeCell ref="C2633:D2633"/>
    <mergeCell ref="J2633:L2633"/>
    <mergeCell ref="B2634:D2634"/>
    <mergeCell ref="G2634:H2634"/>
    <mergeCell ref="I2634:J2634"/>
    <mergeCell ref="K2634:L2634"/>
    <mergeCell ref="A2637:L2637"/>
    <mergeCell ref="J2617:L2617"/>
    <mergeCell ref="B2630:D2630"/>
    <mergeCell ref="I2630:J2630"/>
    <mergeCell ref="I2639:J2639"/>
    <mergeCell ref="K2639:L2639"/>
    <mergeCell ref="B2635:D2635"/>
    <mergeCell ref="I2635:J2635"/>
    <mergeCell ref="B2636:D2636"/>
    <mergeCell ref="C2617:D2617"/>
    <mergeCell ref="I2621:J2621"/>
    <mergeCell ref="I2620:J2620"/>
    <mergeCell ref="B2618:D2618"/>
    <mergeCell ref="J2540:L2540"/>
    <mergeCell ref="G2541:H2541"/>
    <mergeCell ref="K2541:L2541"/>
    <mergeCell ref="C2554:D2554"/>
    <mergeCell ref="J2554:L2554"/>
    <mergeCell ref="B2573:D2573"/>
    <mergeCell ref="B2574:D2574"/>
    <mergeCell ref="G2542:H2542"/>
    <mergeCell ref="A2543:L2543"/>
    <mergeCell ref="C2544:D2544"/>
    <mergeCell ref="B2563:D2563"/>
    <mergeCell ref="B2583:D2583"/>
    <mergeCell ref="B2584:D2584"/>
    <mergeCell ref="B2585:D2585"/>
    <mergeCell ref="B2586:D2586"/>
    <mergeCell ref="B2587:D2587"/>
    <mergeCell ref="B2550:D2550"/>
    <mergeCell ref="B2578:D2578"/>
    <mergeCell ref="A2575:L2575"/>
    <mergeCell ref="A2448:C2448"/>
    <mergeCell ref="D2448:L2448"/>
    <mergeCell ref="A2420:L2420"/>
    <mergeCell ref="A2443:C2443"/>
    <mergeCell ref="D2443:L2443"/>
    <mergeCell ref="B2435:D2435"/>
    <mergeCell ref="B2436:D2436"/>
    <mergeCell ref="F2437:F2438"/>
    <mergeCell ref="G2437:J2437"/>
    <mergeCell ref="G2438:J2438"/>
    <mergeCell ref="B2461:D2461"/>
    <mergeCell ref="A2472:L2472"/>
    <mergeCell ref="A2473:C2473"/>
    <mergeCell ref="D2473:L2473"/>
    <mergeCell ref="B2457:D2457"/>
    <mergeCell ref="D2480:L2480"/>
    <mergeCell ref="A2481:C2481"/>
    <mergeCell ref="D2481:L2481"/>
    <mergeCell ref="B2458:D2458"/>
    <mergeCell ref="B2459:D2459"/>
    <mergeCell ref="B2460:D2460"/>
    <mergeCell ref="C2453:D2453"/>
    <mergeCell ref="J2453:L2453"/>
    <mergeCell ref="B2454:D2454"/>
    <mergeCell ref="G2454:H2454"/>
    <mergeCell ref="K2454:L2454"/>
    <mergeCell ref="F2467:F2468"/>
    <mergeCell ref="G2467:J2467"/>
    <mergeCell ref="G2468:J2468"/>
    <mergeCell ref="B2465:D2465"/>
    <mergeCell ref="B2466:D2466"/>
    <mergeCell ref="A2412:C2412"/>
    <mergeCell ref="D2412:L2412"/>
    <mergeCell ref="A2413:C2413"/>
    <mergeCell ref="D2413:L2413"/>
    <mergeCell ref="B2429:D2429"/>
    <mergeCell ref="B2430:D2430"/>
    <mergeCell ref="B2431:D2431"/>
    <mergeCell ref="B2432:D2432"/>
    <mergeCell ref="B2433:D2433"/>
    <mergeCell ref="B2434:D2434"/>
    <mergeCell ref="B2423:D2423"/>
    <mergeCell ref="B2424:D2424"/>
    <mergeCell ref="B2425:D2425"/>
    <mergeCell ref="B2426:D2426"/>
    <mergeCell ref="B2427:D2427"/>
    <mergeCell ref="B2428:D2428"/>
    <mergeCell ref="C2421:D2421"/>
    <mergeCell ref="J2421:L2421"/>
    <mergeCell ref="B2422:D2422"/>
    <mergeCell ref="G2422:H2422"/>
    <mergeCell ref="A2414:C2414"/>
    <mergeCell ref="D2414:L2414"/>
    <mergeCell ref="A2415:C2415"/>
    <mergeCell ref="D2415:L2415"/>
    <mergeCell ref="A2416:C2416"/>
    <mergeCell ref="D2416:L2416"/>
    <mergeCell ref="A2417:C2417"/>
    <mergeCell ref="D2417:L2417"/>
    <mergeCell ref="A2418:C2418"/>
    <mergeCell ref="D2418:L2418"/>
    <mergeCell ref="A2419:C2419"/>
    <mergeCell ref="B2404:D2404"/>
    <mergeCell ref="F2405:F2406"/>
    <mergeCell ref="G2405:J2405"/>
    <mergeCell ref="G2406:J2406"/>
    <mergeCell ref="B2396:D2396"/>
    <mergeCell ref="B2397:D2397"/>
    <mergeCell ref="B2398:D2398"/>
    <mergeCell ref="B2399:D2399"/>
    <mergeCell ref="B2400:D2400"/>
    <mergeCell ref="B2401:D2401"/>
    <mergeCell ref="A2411:C2411"/>
    <mergeCell ref="D2411:L2411"/>
    <mergeCell ref="A2410:L2410"/>
    <mergeCell ref="B2403:D2403"/>
    <mergeCell ref="D2419:L2419"/>
    <mergeCell ref="J2483:L2483"/>
    <mergeCell ref="A2474:C2474"/>
    <mergeCell ref="D2474:L2474"/>
    <mergeCell ref="A2475:C2475"/>
    <mergeCell ref="D2475:L2475"/>
    <mergeCell ref="A2476:C2476"/>
    <mergeCell ref="D2476:L2476"/>
    <mergeCell ref="A2477:C2477"/>
    <mergeCell ref="D2477:L2477"/>
    <mergeCell ref="A2452:L2452"/>
    <mergeCell ref="B2455:D2455"/>
    <mergeCell ref="B2456:D2456"/>
    <mergeCell ref="B2402:D2402"/>
    <mergeCell ref="C2483:D2483"/>
    <mergeCell ref="D2446:L2446"/>
    <mergeCell ref="A2447:C2447"/>
    <mergeCell ref="D2447:L2447"/>
    <mergeCell ref="A2393:L2393"/>
    <mergeCell ref="A2388:C2388"/>
    <mergeCell ref="D2388:L2388"/>
    <mergeCell ref="A2389:C2389"/>
    <mergeCell ref="D2389:L2389"/>
    <mergeCell ref="A2390:C2390"/>
    <mergeCell ref="D2390:L2390"/>
    <mergeCell ref="A2391:C2391"/>
    <mergeCell ref="D2391:L2391"/>
    <mergeCell ref="A2392:C2392"/>
    <mergeCell ref="A2383:L2383"/>
    <mergeCell ref="A2387:C2387"/>
    <mergeCell ref="D2387:L2387"/>
    <mergeCell ref="A2384:C2384"/>
    <mergeCell ref="D2384:L2384"/>
    <mergeCell ref="A2385:C2385"/>
    <mergeCell ref="D2385:L2385"/>
    <mergeCell ref="A2386:C2386"/>
    <mergeCell ref="D2386:L2386"/>
    <mergeCell ref="D2392:L2392"/>
    <mergeCell ref="B2369:D2369"/>
    <mergeCell ref="G2369:H2369"/>
    <mergeCell ref="K2369:L2369"/>
    <mergeCell ref="B2370:D2370"/>
    <mergeCell ref="B2371:D2371"/>
    <mergeCell ref="B2372:D2372"/>
    <mergeCell ref="C2368:D2368"/>
    <mergeCell ref="J2368:L2368"/>
    <mergeCell ref="G2378:J2378"/>
    <mergeCell ref="G2379:J2379"/>
    <mergeCell ref="A2360:C2360"/>
    <mergeCell ref="D2360:L2360"/>
    <mergeCell ref="A2361:C2361"/>
    <mergeCell ref="D2361:L2361"/>
    <mergeCell ref="A2362:C2362"/>
    <mergeCell ref="D2362:L2362"/>
    <mergeCell ref="A2363:C2363"/>
    <mergeCell ref="A2366:C2366"/>
    <mergeCell ref="D2366:L2366"/>
    <mergeCell ref="A2367:L2367"/>
    <mergeCell ref="B2373:D2373"/>
    <mergeCell ref="B2374:D2374"/>
    <mergeCell ref="B2375:D2375"/>
    <mergeCell ref="B2376:D2376"/>
    <mergeCell ref="B2377:D2377"/>
    <mergeCell ref="F2378:F2379"/>
    <mergeCell ref="B2345:D2345"/>
    <mergeCell ref="B2346:D2346"/>
    <mergeCell ref="B2347:D2347"/>
    <mergeCell ref="B2348:D2348"/>
    <mergeCell ref="B2349:D2349"/>
    <mergeCell ref="B2350:D2350"/>
    <mergeCell ref="B2339:D2339"/>
    <mergeCell ref="B2340:D2340"/>
    <mergeCell ref="B2341:D2341"/>
    <mergeCell ref="B2342:D2342"/>
    <mergeCell ref="B2343:D2343"/>
    <mergeCell ref="B2344:D2344"/>
    <mergeCell ref="D2363:L2363"/>
    <mergeCell ref="A2364:C2364"/>
    <mergeCell ref="D2364:L2364"/>
    <mergeCell ref="A2365:C2365"/>
    <mergeCell ref="D2365:L2365"/>
    <mergeCell ref="A2358:C2358"/>
    <mergeCell ref="D2358:L2358"/>
    <mergeCell ref="A2359:C2359"/>
    <mergeCell ref="D2359:L2359"/>
    <mergeCell ref="B2351:D2351"/>
    <mergeCell ref="F2352:F2353"/>
    <mergeCell ref="G2352:J2352"/>
    <mergeCell ref="G2353:J2353"/>
    <mergeCell ref="A2357:L2357"/>
    <mergeCell ref="F2356:I2356"/>
    <mergeCell ref="C2336:D2336"/>
    <mergeCell ref="J2336:L2336"/>
    <mergeCell ref="B2337:D2337"/>
    <mergeCell ref="G2337:H2337"/>
    <mergeCell ref="K2337:L2337"/>
    <mergeCell ref="B2338:D2338"/>
    <mergeCell ref="D2313:L2313"/>
    <mergeCell ref="A2314:C2314"/>
    <mergeCell ref="D2314:L2314"/>
    <mergeCell ref="B2330:D2330"/>
    <mergeCell ref="F2330:F2331"/>
    <mergeCell ref="G2330:J2330"/>
    <mergeCell ref="G2331:J2331"/>
    <mergeCell ref="B2324:D2324"/>
    <mergeCell ref="B2325:D2325"/>
    <mergeCell ref="B2326:D2326"/>
    <mergeCell ref="B2327:D2327"/>
    <mergeCell ref="B2328:D2328"/>
    <mergeCell ref="B2329:D2329"/>
    <mergeCell ref="B2318:D2318"/>
    <mergeCell ref="B2319:D2319"/>
    <mergeCell ref="B2320:D2320"/>
    <mergeCell ref="B2321:D2321"/>
    <mergeCell ref="B2322:D2322"/>
    <mergeCell ref="B2323:D2323"/>
    <mergeCell ref="A2315:L2315"/>
    <mergeCell ref="A2335:L2335"/>
    <mergeCell ref="F2334:I2334"/>
    <mergeCell ref="B2296:D2296"/>
    <mergeCell ref="B2297:D2297"/>
    <mergeCell ref="B2298:D2298"/>
    <mergeCell ref="B2299:D2299"/>
    <mergeCell ref="F2300:F2301"/>
    <mergeCell ref="G2300:J2300"/>
    <mergeCell ref="G2301:J2301"/>
    <mergeCell ref="B2291:D2291"/>
    <mergeCell ref="B2292:D2292"/>
    <mergeCell ref="B2293:D2293"/>
    <mergeCell ref="B2294:D2294"/>
    <mergeCell ref="B2295:D2295"/>
    <mergeCell ref="A2309:C2309"/>
    <mergeCell ref="D2309:L2309"/>
    <mergeCell ref="C2316:D2316"/>
    <mergeCell ref="J2316:L2316"/>
    <mergeCell ref="B2317:D2317"/>
    <mergeCell ref="G2317:H2317"/>
    <mergeCell ref="K2317:L2317"/>
    <mergeCell ref="A2306:C2306"/>
    <mergeCell ref="D2306:L2306"/>
    <mergeCell ref="A2307:C2307"/>
    <mergeCell ref="D2307:L2307"/>
    <mergeCell ref="A2308:C2308"/>
    <mergeCell ref="D2308:L2308"/>
    <mergeCell ref="A2310:C2310"/>
    <mergeCell ref="D2310:L2310"/>
    <mergeCell ref="A2311:C2311"/>
    <mergeCell ref="D2311:L2311"/>
    <mergeCell ref="A2312:C2312"/>
    <mergeCell ref="D2312:L2312"/>
    <mergeCell ref="A2313:C2313"/>
    <mergeCell ref="B2287:D2287"/>
    <mergeCell ref="G2287:H2287"/>
    <mergeCell ref="K2287:L2287"/>
    <mergeCell ref="B2288:D2288"/>
    <mergeCell ref="B2289:D2289"/>
    <mergeCell ref="B2290:D2290"/>
    <mergeCell ref="B2282:D2282"/>
    <mergeCell ref="I2282:J2282"/>
    <mergeCell ref="B2284:D2284"/>
    <mergeCell ref="C2286:D2286"/>
    <mergeCell ref="J2286:L2286"/>
    <mergeCell ref="B2279:D2279"/>
    <mergeCell ref="I2279:J2279"/>
    <mergeCell ref="B2280:D2280"/>
    <mergeCell ref="I2280:J2280"/>
    <mergeCell ref="B2281:D2281"/>
    <mergeCell ref="I2281:J2281"/>
    <mergeCell ref="A2285:L2285"/>
    <mergeCell ref="B2275:D2275"/>
    <mergeCell ref="C2277:D2277"/>
    <mergeCell ref="J2277:L2277"/>
    <mergeCell ref="B2278:D2278"/>
    <mergeCell ref="G2278:H2278"/>
    <mergeCell ref="I2278:J2278"/>
    <mergeCell ref="K2278:L2278"/>
    <mergeCell ref="B2271:D2271"/>
    <mergeCell ref="I2271:J2271"/>
    <mergeCell ref="B2272:D2272"/>
    <mergeCell ref="I2272:J2272"/>
    <mergeCell ref="B2273:D2273"/>
    <mergeCell ref="I2273:J2273"/>
    <mergeCell ref="B2269:D2269"/>
    <mergeCell ref="G2269:H2269"/>
    <mergeCell ref="I2269:J2269"/>
    <mergeCell ref="K2269:L2269"/>
    <mergeCell ref="B2270:D2270"/>
    <mergeCell ref="I2270:J2270"/>
    <mergeCell ref="A2276:L2276"/>
    <mergeCell ref="B2247:D2247"/>
    <mergeCell ref="B2248:D2248"/>
    <mergeCell ref="F2249:F2250"/>
    <mergeCell ref="C2242:D2242"/>
    <mergeCell ref="J2242:L2242"/>
    <mergeCell ref="B2243:D2243"/>
    <mergeCell ref="G2243:H2243"/>
    <mergeCell ref="K2243:L2243"/>
    <mergeCell ref="G2262:J2262"/>
    <mergeCell ref="G2263:J2263"/>
    <mergeCell ref="B2264:D2264"/>
    <mergeCell ref="C2268:D2268"/>
    <mergeCell ref="J2268:L2268"/>
    <mergeCell ref="B2257:D2257"/>
    <mergeCell ref="B2258:D2258"/>
    <mergeCell ref="B2259:D2259"/>
    <mergeCell ref="B2260:D2260"/>
    <mergeCell ref="B2261:D2261"/>
    <mergeCell ref="F2262:F2263"/>
    <mergeCell ref="G2249:J2249"/>
    <mergeCell ref="G2250:J2250"/>
    <mergeCell ref="C2255:D2255"/>
    <mergeCell ref="J2255:L2255"/>
    <mergeCell ref="B2256:D2256"/>
    <mergeCell ref="G2256:H2256"/>
    <mergeCell ref="K2256:L2256"/>
    <mergeCell ref="A2254:L2254"/>
    <mergeCell ref="A2267:L2267"/>
    <mergeCell ref="B2251:D2251"/>
    <mergeCell ref="B2262:D2262"/>
    <mergeCell ref="G2184:J2184"/>
    <mergeCell ref="A2188:L2188"/>
    <mergeCell ref="A2232:C2232"/>
    <mergeCell ref="D2232:L2232"/>
    <mergeCell ref="B2222:D2222"/>
    <mergeCell ref="B2223:D2223"/>
    <mergeCell ref="B2225:D2225"/>
    <mergeCell ref="B2226:D2226"/>
    <mergeCell ref="F2227:F2228"/>
    <mergeCell ref="G2227:J2227"/>
    <mergeCell ref="G2228:J2228"/>
    <mergeCell ref="B2224:D2224"/>
    <mergeCell ref="A2231:L2231"/>
    <mergeCell ref="B2244:D2244"/>
    <mergeCell ref="B2245:D2245"/>
    <mergeCell ref="B2246:D2246"/>
    <mergeCell ref="A2235:C2235"/>
    <mergeCell ref="D2235:L2235"/>
    <mergeCell ref="A2236:C2236"/>
    <mergeCell ref="D2236:L2236"/>
    <mergeCell ref="A2237:C2237"/>
    <mergeCell ref="D2237:L2237"/>
    <mergeCell ref="A2238:C2238"/>
    <mergeCell ref="D2238:L2238"/>
    <mergeCell ref="A2239:C2239"/>
    <mergeCell ref="D2239:L2239"/>
    <mergeCell ref="A2240:C2240"/>
    <mergeCell ref="D2240:L2240"/>
    <mergeCell ref="A2241:L2241"/>
    <mergeCell ref="A2233:C2233"/>
    <mergeCell ref="D2233:L2233"/>
    <mergeCell ref="C2220:D2220"/>
    <mergeCell ref="J2220:L2220"/>
    <mergeCell ref="B2221:D2221"/>
    <mergeCell ref="G2221:H2221"/>
    <mergeCell ref="K2221:L2221"/>
    <mergeCell ref="A2211:C2211"/>
    <mergeCell ref="D2211:L2211"/>
    <mergeCell ref="A2212:C2212"/>
    <mergeCell ref="D2212:L2212"/>
    <mergeCell ref="A2213:C2213"/>
    <mergeCell ref="D2213:L2213"/>
    <mergeCell ref="A2210:C2210"/>
    <mergeCell ref="D2210:L2210"/>
    <mergeCell ref="A2209:L2209"/>
    <mergeCell ref="A2214:C2214"/>
    <mergeCell ref="D2214:L2214"/>
    <mergeCell ref="A2215:C2215"/>
    <mergeCell ref="D2215:L2215"/>
    <mergeCell ref="A2216:C2216"/>
    <mergeCell ref="D2216:L2216"/>
    <mergeCell ref="A2217:C2217"/>
    <mergeCell ref="D2217:L2217"/>
    <mergeCell ref="A2218:C2218"/>
    <mergeCell ref="D2218:L2218"/>
    <mergeCell ref="A2219:L2219"/>
    <mergeCell ref="F2204:F2205"/>
    <mergeCell ref="G2204:J2204"/>
    <mergeCell ref="G2205:J2205"/>
    <mergeCell ref="C2198:D2198"/>
    <mergeCell ref="J2198:L2198"/>
    <mergeCell ref="B2199:D2199"/>
    <mergeCell ref="G2199:H2199"/>
    <mergeCell ref="K2199:L2199"/>
    <mergeCell ref="B2200:D2200"/>
    <mergeCell ref="B2201:D2201"/>
    <mergeCell ref="B2178:D2178"/>
    <mergeCell ref="B2179:D2179"/>
    <mergeCell ref="F2169:F2170"/>
    <mergeCell ref="G2169:J2169"/>
    <mergeCell ref="G2170:J2170"/>
    <mergeCell ref="C2175:D2175"/>
    <mergeCell ref="J2175:L2175"/>
    <mergeCell ref="A2197:L2197"/>
    <mergeCell ref="B2191:D2191"/>
    <mergeCell ref="B2192:D2192"/>
    <mergeCell ref="F2193:F2194"/>
    <mergeCell ref="G2193:J2193"/>
    <mergeCell ref="G2194:J2194"/>
    <mergeCell ref="C2189:D2189"/>
    <mergeCell ref="J2189:L2189"/>
    <mergeCell ref="B2190:D2190"/>
    <mergeCell ref="G2190:H2190"/>
    <mergeCell ref="K2190:L2190"/>
    <mergeCell ref="B2180:D2180"/>
    <mergeCell ref="B2181:D2181"/>
    <mergeCell ref="B2182:D2182"/>
    <mergeCell ref="G2183:J2183"/>
    <mergeCell ref="G2048:H2048"/>
    <mergeCell ref="K2048:L2048"/>
    <mergeCell ref="A2058:L2058"/>
    <mergeCell ref="F2103:F2104"/>
    <mergeCell ref="A2163:L2163"/>
    <mergeCell ref="A2174:L2174"/>
    <mergeCell ref="K2165:L2165"/>
    <mergeCell ref="B2166:D2166"/>
    <mergeCell ref="B2167:D2167"/>
    <mergeCell ref="B2168:D2168"/>
    <mergeCell ref="B2162:D2162"/>
    <mergeCell ref="C2164:D2164"/>
    <mergeCell ref="J2164:L2164"/>
    <mergeCell ref="B2165:D2165"/>
    <mergeCell ref="G2165:H2165"/>
    <mergeCell ref="B2158:D2158"/>
    <mergeCell ref="I2158:J2158"/>
    <mergeCell ref="B2159:D2159"/>
    <mergeCell ref="I2159:J2159"/>
    <mergeCell ref="G2138:H2138"/>
    <mergeCell ref="K2138:L2138"/>
    <mergeCell ref="B2127:D2127"/>
    <mergeCell ref="B2128:D2128"/>
    <mergeCell ref="B2129:D2129"/>
    <mergeCell ref="B2130:D2130"/>
    <mergeCell ref="I2160:J2160"/>
    <mergeCell ref="B2156:D2156"/>
    <mergeCell ref="G2156:H2156"/>
    <mergeCell ref="I2156:J2156"/>
    <mergeCell ref="K2156:L2156"/>
    <mergeCell ref="B2157:D2157"/>
    <mergeCell ref="A2029:C2029"/>
    <mergeCell ref="D2029:L2029"/>
    <mergeCell ref="A2030:C2030"/>
    <mergeCell ref="G2151:H2151"/>
    <mergeCell ref="I2151:J2151"/>
    <mergeCell ref="K2151:L2151"/>
    <mergeCell ref="B2139:D2139"/>
    <mergeCell ref="B2140:D2140"/>
    <mergeCell ref="B2141:D2141"/>
    <mergeCell ref="B2142:D2142"/>
    <mergeCell ref="D2030:L2030"/>
    <mergeCell ref="A2031:C2031"/>
    <mergeCell ref="D2031:L2031"/>
    <mergeCell ref="A2032:C2032"/>
    <mergeCell ref="D2032:L2032"/>
    <mergeCell ref="A2033:C2033"/>
    <mergeCell ref="D2033:L2033"/>
    <mergeCell ref="A2034:C2034"/>
    <mergeCell ref="D2034:L2034"/>
    <mergeCell ref="B2040:D2040"/>
    <mergeCell ref="F2041:F2042"/>
    <mergeCell ref="G2041:J2041"/>
    <mergeCell ref="B2064:D2064"/>
    <mergeCell ref="F2065:F2066"/>
    <mergeCell ref="G2065:J2065"/>
    <mergeCell ref="G2066:J2066"/>
    <mergeCell ref="C2059:D2059"/>
    <mergeCell ref="J2059:L2059"/>
    <mergeCell ref="B2060:D2060"/>
    <mergeCell ref="G2060:H2060"/>
    <mergeCell ref="K2060:L2060"/>
    <mergeCell ref="B2048:D2048"/>
    <mergeCell ref="G2042:J2042"/>
    <mergeCell ref="B2044:D2044"/>
    <mergeCell ref="A2046:L2046"/>
    <mergeCell ref="C2036:D2036"/>
    <mergeCell ref="J2036:L2036"/>
    <mergeCell ref="B2037:D2037"/>
    <mergeCell ref="G2037:H2037"/>
    <mergeCell ref="B1936:D1936"/>
    <mergeCell ref="G1936:H1936"/>
    <mergeCell ref="I1936:J1936"/>
    <mergeCell ref="K1936:L1936"/>
    <mergeCell ref="F1943:F1944"/>
    <mergeCell ref="G1943:J1943"/>
    <mergeCell ref="G1944:J1944"/>
    <mergeCell ref="B1955:D1955"/>
    <mergeCell ref="I1955:J1955"/>
    <mergeCell ref="K1955:L1955"/>
    <mergeCell ref="B1956:D1956"/>
    <mergeCell ref="I1956:J1956"/>
    <mergeCell ref="B1957:D1957"/>
    <mergeCell ref="I1951:J1951"/>
    <mergeCell ref="B1952:D1952"/>
    <mergeCell ref="A1948:L1948"/>
    <mergeCell ref="A2035:L2035"/>
    <mergeCell ref="B2018:D2018"/>
    <mergeCell ref="G2009:H2009"/>
    <mergeCell ref="K2009:L2009"/>
    <mergeCell ref="B1999:D1999"/>
    <mergeCell ref="I1950:J1950"/>
    <mergeCell ref="K1950:L1950"/>
    <mergeCell ref="B1941:D1941"/>
    <mergeCell ref="G1941:H1941"/>
    <mergeCell ref="B2000:D2000"/>
    <mergeCell ref="B2001:D2001"/>
    <mergeCell ref="F2002:F2003"/>
    <mergeCell ref="K1960:L1960"/>
    <mergeCell ref="B1967:D1967"/>
    <mergeCell ref="G1925:J1925"/>
    <mergeCell ref="C1930:D1930"/>
    <mergeCell ref="J1930:L1930"/>
    <mergeCell ref="B1918:D1918"/>
    <mergeCell ref="B1919:D1919"/>
    <mergeCell ref="B1920:D1920"/>
    <mergeCell ref="B1921:D1921"/>
    <mergeCell ref="B1922:D1922"/>
    <mergeCell ref="B1923:D1923"/>
    <mergeCell ref="B1950:D1950"/>
    <mergeCell ref="C1959:D1959"/>
    <mergeCell ref="J1959:L1959"/>
    <mergeCell ref="B1960:D1960"/>
    <mergeCell ref="B1937:D1937"/>
    <mergeCell ref="I1937:J1937"/>
    <mergeCell ref="B1938:D1938"/>
    <mergeCell ref="A1934:L1934"/>
    <mergeCell ref="C1940:D1940"/>
    <mergeCell ref="J1940:L1940"/>
    <mergeCell ref="B1933:D1933"/>
    <mergeCell ref="F1928:I1928"/>
    <mergeCell ref="F1947:I1947"/>
    <mergeCell ref="F1985:I1985"/>
    <mergeCell ref="J1935:L1935"/>
    <mergeCell ref="G1931:H1931"/>
    <mergeCell ref="I1931:J1931"/>
    <mergeCell ref="G2002:J2002"/>
    <mergeCell ref="A2027:C2027"/>
    <mergeCell ref="D2027:L2027"/>
    <mergeCell ref="A2028:C2028"/>
    <mergeCell ref="D2028:L2028"/>
    <mergeCell ref="G1970:H1970"/>
    <mergeCell ref="I1970:J1970"/>
    <mergeCell ref="K1970:L1970"/>
    <mergeCell ref="A1986:L1986"/>
    <mergeCell ref="A2026:C2026"/>
    <mergeCell ref="D2026:L2026"/>
    <mergeCell ref="I1971:J1971"/>
    <mergeCell ref="A1991:C1991"/>
    <mergeCell ref="D1991:L1991"/>
    <mergeCell ref="B2010:D2010"/>
    <mergeCell ref="B2011:D2011"/>
    <mergeCell ref="G2020:J2020"/>
    <mergeCell ref="G2021:J2021"/>
    <mergeCell ref="A2025:L2025"/>
    <mergeCell ref="A1996:L1996"/>
    <mergeCell ref="A2007:L2007"/>
    <mergeCell ref="G2023:I2023"/>
    <mergeCell ref="J1997:L1997"/>
    <mergeCell ref="B1998:D1998"/>
    <mergeCell ref="A1992:C1992"/>
    <mergeCell ref="D1992:L1992"/>
    <mergeCell ref="A1993:C1993"/>
    <mergeCell ref="D1993:L1993"/>
    <mergeCell ref="B2019:D2019"/>
    <mergeCell ref="B2012:D2012"/>
    <mergeCell ref="B2013:D2013"/>
    <mergeCell ref="B2014:D2014"/>
    <mergeCell ref="B2015:D2015"/>
    <mergeCell ref="B1951:D1951"/>
    <mergeCell ref="B1961:D1961"/>
    <mergeCell ref="I1961:J1961"/>
    <mergeCell ref="A1958:L1958"/>
    <mergeCell ref="B1946:D1946"/>
    <mergeCell ref="C1964:D1964"/>
    <mergeCell ref="J1964:L1964"/>
    <mergeCell ref="C1954:D1954"/>
    <mergeCell ref="J1954:L1954"/>
    <mergeCell ref="C1949:D1949"/>
    <mergeCell ref="J1949:L1949"/>
    <mergeCell ref="B1884:D1884"/>
    <mergeCell ref="F1885:F1886"/>
    <mergeCell ref="G1885:J1885"/>
    <mergeCell ref="G1886:J1886"/>
    <mergeCell ref="C1891:D1891"/>
    <mergeCell ref="J1891:L1891"/>
    <mergeCell ref="A1906:C1906"/>
    <mergeCell ref="D1906:L1906"/>
    <mergeCell ref="A1905:L1905"/>
    <mergeCell ref="B1895:D1895"/>
    <mergeCell ref="B1896:D1896"/>
    <mergeCell ref="B1897:D1897"/>
    <mergeCell ref="B1899:D1899"/>
    <mergeCell ref="F1900:F1901"/>
    <mergeCell ref="G1900:J1900"/>
    <mergeCell ref="G1901:J1901"/>
    <mergeCell ref="F1924:F1925"/>
    <mergeCell ref="G1924:J1924"/>
    <mergeCell ref="C1916:D1916"/>
    <mergeCell ref="J1916:L1916"/>
    <mergeCell ref="B1917:D1917"/>
    <mergeCell ref="G1917:H1917"/>
    <mergeCell ref="K1917:L1917"/>
    <mergeCell ref="B1892:D1892"/>
    <mergeCell ref="G1892:H1892"/>
    <mergeCell ref="K1892:L1892"/>
    <mergeCell ref="B1893:D1893"/>
    <mergeCell ref="B1898:D1898"/>
    <mergeCell ref="B1894:D1894"/>
    <mergeCell ref="A1907:C1907"/>
    <mergeCell ref="D1907:L1907"/>
    <mergeCell ref="A1908:C1908"/>
    <mergeCell ref="B1878:D1878"/>
    <mergeCell ref="B1879:D1879"/>
    <mergeCell ref="B1880:D1880"/>
    <mergeCell ref="B1881:D1881"/>
    <mergeCell ref="B1882:D1882"/>
    <mergeCell ref="B1883:D1883"/>
    <mergeCell ref="G1870:J1870"/>
    <mergeCell ref="G1871:J1871"/>
    <mergeCell ref="C1876:D1876"/>
    <mergeCell ref="J1876:L1876"/>
    <mergeCell ref="B1877:D1877"/>
    <mergeCell ref="G1877:H1877"/>
    <mergeCell ref="K1877:L1877"/>
    <mergeCell ref="B1866:D1866"/>
    <mergeCell ref="B1867:D1867"/>
    <mergeCell ref="B1868:D1868"/>
    <mergeCell ref="B1869:D1869"/>
    <mergeCell ref="B1870:D1870"/>
    <mergeCell ref="F1870:F1871"/>
    <mergeCell ref="C1864:D1864"/>
    <mergeCell ref="J1864:L1864"/>
    <mergeCell ref="B1865:D1865"/>
    <mergeCell ref="G1865:H1865"/>
    <mergeCell ref="K1865:L1865"/>
    <mergeCell ref="B1862:D1862"/>
    <mergeCell ref="G1862:H1862"/>
    <mergeCell ref="A1863:L1863"/>
    <mergeCell ref="G1861:H1861"/>
    <mergeCell ref="K1861:L1861"/>
    <mergeCell ref="B1861:D1861"/>
    <mergeCell ref="A1850:C1850"/>
    <mergeCell ref="D1850:L1850"/>
    <mergeCell ref="A1851:C1851"/>
    <mergeCell ref="D1851:L1851"/>
    <mergeCell ref="A1852:C1852"/>
    <mergeCell ref="D1852:L1852"/>
    <mergeCell ref="A1849:L1849"/>
    <mergeCell ref="A1854:C1854"/>
    <mergeCell ref="D1854:L1854"/>
    <mergeCell ref="A1855:C1855"/>
    <mergeCell ref="D1855:L1855"/>
    <mergeCell ref="A1856:C1856"/>
    <mergeCell ref="D1856:L1856"/>
    <mergeCell ref="A1857:C1857"/>
    <mergeCell ref="D1857:L1857"/>
    <mergeCell ref="A1858:C1858"/>
    <mergeCell ref="D1858:L1858"/>
    <mergeCell ref="A1853:C1853"/>
    <mergeCell ref="D1853:L1853"/>
    <mergeCell ref="B1834:D1834"/>
    <mergeCell ref="B1829:D1829"/>
    <mergeCell ref="I1829:J1829"/>
    <mergeCell ref="B1830:D1830"/>
    <mergeCell ref="C1827:D1827"/>
    <mergeCell ref="J1827:L1827"/>
    <mergeCell ref="G1847:I1847"/>
    <mergeCell ref="B1841:D1841"/>
    <mergeCell ref="B1842:D1842"/>
    <mergeCell ref="B1843:D1843"/>
    <mergeCell ref="F1845:F1846"/>
    <mergeCell ref="G1845:J1845"/>
    <mergeCell ref="G1846:J1846"/>
    <mergeCell ref="B1835:D1835"/>
    <mergeCell ref="B1836:D1836"/>
    <mergeCell ref="B1837:D1837"/>
    <mergeCell ref="B1838:D1838"/>
    <mergeCell ref="B1839:D1839"/>
    <mergeCell ref="B1840:D1840"/>
    <mergeCell ref="B1823:D1823"/>
    <mergeCell ref="I1823:J1823"/>
    <mergeCell ref="B1814:D1814"/>
    <mergeCell ref="I1814:J1814"/>
    <mergeCell ref="B1815:D1815"/>
    <mergeCell ref="C1821:D1821"/>
    <mergeCell ref="J1821:L1821"/>
    <mergeCell ref="B1812:D1812"/>
    <mergeCell ref="I1812:J1812"/>
    <mergeCell ref="K1812:L1812"/>
    <mergeCell ref="B1813:D1813"/>
    <mergeCell ref="I1813:J1813"/>
    <mergeCell ref="A1826:L1826"/>
    <mergeCell ref="C1832:D1832"/>
    <mergeCell ref="J1832:L1832"/>
    <mergeCell ref="B1833:D1833"/>
    <mergeCell ref="K1833:L1833"/>
    <mergeCell ref="K1822:L1822"/>
    <mergeCell ref="I1822:J1822"/>
    <mergeCell ref="I1824:J1824"/>
    <mergeCell ref="G1822:H1822"/>
    <mergeCell ref="B1822:D1822"/>
    <mergeCell ref="B1825:D1825"/>
    <mergeCell ref="B1824:D1824"/>
    <mergeCell ref="B1818:D1818"/>
    <mergeCell ref="G1818:H1818"/>
    <mergeCell ref="K1818:L1818"/>
    <mergeCell ref="B1819:D1819"/>
    <mergeCell ref="G1819:H1819"/>
    <mergeCell ref="B1828:D1828"/>
    <mergeCell ref="I1828:J1828"/>
    <mergeCell ref="K1828:L1828"/>
    <mergeCell ref="B1804:D1804"/>
    <mergeCell ref="B1762:D1762"/>
    <mergeCell ref="B1755:D1755"/>
    <mergeCell ref="B1756:D1756"/>
    <mergeCell ref="B1757:D1757"/>
    <mergeCell ref="B1758:D1758"/>
    <mergeCell ref="F1760:F1761"/>
    <mergeCell ref="G1760:J1760"/>
    <mergeCell ref="G1761:J1761"/>
    <mergeCell ref="A1765:L1765"/>
    <mergeCell ref="B1778:D1778"/>
    <mergeCell ref="I1778:J1778"/>
    <mergeCell ref="B1779:D1779"/>
    <mergeCell ref="C1791:D1791"/>
    <mergeCell ref="J1791:L1791"/>
    <mergeCell ref="C1776:D1776"/>
    <mergeCell ref="J1776:L1776"/>
    <mergeCell ref="B1777:D1777"/>
    <mergeCell ref="C1786:D1786"/>
    <mergeCell ref="J1786:L1786"/>
    <mergeCell ref="A1790:L1790"/>
    <mergeCell ref="B1787:D1787"/>
    <mergeCell ref="G1787:H1787"/>
    <mergeCell ref="A1769:C1769"/>
    <mergeCell ref="D1769:L1769"/>
    <mergeCell ref="A1770:C1770"/>
    <mergeCell ref="D1770:L1770"/>
    <mergeCell ref="A1771:C1771"/>
    <mergeCell ref="D1771:L1771"/>
    <mergeCell ref="A1772:C1772"/>
    <mergeCell ref="D1772:L1772"/>
    <mergeCell ref="B1799:D1799"/>
    <mergeCell ref="A1733:C1733"/>
    <mergeCell ref="D1733:L1733"/>
    <mergeCell ref="A1734:L1734"/>
    <mergeCell ref="B1751:D1751"/>
    <mergeCell ref="A1743:L1743"/>
    <mergeCell ref="J1753:L1753"/>
    <mergeCell ref="G1754:H1754"/>
    <mergeCell ref="K1754:L1754"/>
    <mergeCell ref="C1748:D1748"/>
    <mergeCell ref="J1748:L1748"/>
    <mergeCell ref="B1749:D1749"/>
    <mergeCell ref="I1749:J1749"/>
    <mergeCell ref="K1749:L1749"/>
    <mergeCell ref="B1750:D1750"/>
    <mergeCell ref="I1750:J1750"/>
    <mergeCell ref="B1737:D1737"/>
    <mergeCell ref="A1747:L1747"/>
    <mergeCell ref="I1737:J1737"/>
    <mergeCell ref="B1738:D1738"/>
    <mergeCell ref="G1739:I1739"/>
    <mergeCell ref="C1753:D1753"/>
    <mergeCell ref="A1740:L1742"/>
    <mergeCell ref="A1752:L1752"/>
    <mergeCell ref="B1739:D1739"/>
    <mergeCell ref="J1744:L1744"/>
    <mergeCell ref="G1746:H1746"/>
    <mergeCell ref="B1718:D1718"/>
    <mergeCell ref="B1719:D1719"/>
    <mergeCell ref="F1720:F1721"/>
    <mergeCell ref="G1720:J1720"/>
    <mergeCell ref="G1721:J1721"/>
    <mergeCell ref="B1711:D1711"/>
    <mergeCell ref="B1712:D1712"/>
    <mergeCell ref="B1713:D1713"/>
    <mergeCell ref="B1714:D1714"/>
    <mergeCell ref="B1715:D1715"/>
    <mergeCell ref="B1716:D1716"/>
    <mergeCell ref="C1735:D1735"/>
    <mergeCell ref="J1735:L1735"/>
    <mergeCell ref="B1736:D1736"/>
    <mergeCell ref="I1736:J1736"/>
    <mergeCell ref="K1736:L1736"/>
    <mergeCell ref="A1726:C1726"/>
    <mergeCell ref="D1726:L1726"/>
    <mergeCell ref="A1727:C1727"/>
    <mergeCell ref="D1727:L1727"/>
    <mergeCell ref="A1728:C1728"/>
    <mergeCell ref="D1728:L1728"/>
    <mergeCell ref="D1725:L1725"/>
    <mergeCell ref="A1724:L1724"/>
    <mergeCell ref="A1729:C1729"/>
    <mergeCell ref="D1729:L1729"/>
    <mergeCell ref="A1730:C1730"/>
    <mergeCell ref="D1730:L1730"/>
    <mergeCell ref="A1731:C1731"/>
    <mergeCell ref="D1731:L1731"/>
    <mergeCell ref="A1732:C1732"/>
    <mergeCell ref="D1732:L1732"/>
    <mergeCell ref="G1707:H1707"/>
    <mergeCell ref="K1707:L1707"/>
    <mergeCell ref="B1708:D1708"/>
    <mergeCell ref="B1709:D1709"/>
    <mergeCell ref="B1710:D1710"/>
    <mergeCell ref="F1700:F1701"/>
    <mergeCell ref="G1700:J1700"/>
    <mergeCell ref="G1701:J1701"/>
    <mergeCell ref="C1706:D1706"/>
    <mergeCell ref="J1706:L1706"/>
    <mergeCell ref="A1725:C1725"/>
    <mergeCell ref="B1654:D1654"/>
    <mergeCell ref="B1655:D1655"/>
    <mergeCell ref="B1656:D1656"/>
    <mergeCell ref="F1657:F1658"/>
    <mergeCell ref="G1657:J1657"/>
    <mergeCell ref="G1658:J1658"/>
    <mergeCell ref="B1675:D1675"/>
    <mergeCell ref="B1676:D1676"/>
    <mergeCell ref="B1677:D1677"/>
    <mergeCell ref="B1678:D1678"/>
    <mergeCell ref="F1680:F1681"/>
    <mergeCell ref="G1680:J1680"/>
    <mergeCell ref="G1681:J1681"/>
    <mergeCell ref="A1685:L1685"/>
    <mergeCell ref="B1694:D1694"/>
    <mergeCell ref="B1695:D1695"/>
    <mergeCell ref="B1696:D1696"/>
    <mergeCell ref="A1666:C1666"/>
    <mergeCell ref="D1666:L1666"/>
    <mergeCell ref="C1673:D1673"/>
    <mergeCell ref="B1717:D1717"/>
    <mergeCell ref="J1643:L1643"/>
    <mergeCell ref="B1691:D1691"/>
    <mergeCell ref="B1692:D1692"/>
    <mergeCell ref="B1693:D1693"/>
    <mergeCell ref="B1683:D1683"/>
    <mergeCell ref="C1686:D1686"/>
    <mergeCell ref="J1686:L1686"/>
    <mergeCell ref="B1687:D1687"/>
    <mergeCell ref="G1687:H1687"/>
    <mergeCell ref="K1687:L1687"/>
    <mergeCell ref="D1665:L1665"/>
    <mergeCell ref="D1671:L1671"/>
    <mergeCell ref="B1594:D1594"/>
    <mergeCell ref="G1594:H1594"/>
    <mergeCell ref="D1634:L1634"/>
    <mergeCell ref="A1635:C1635"/>
    <mergeCell ref="D1635:L1635"/>
    <mergeCell ref="A1636:C1636"/>
    <mergeCell ref="D1636:L1636"/>
    <mergeCell ref="A1637:C1637"/>
    <mergeCell ref="D1637:L1637"/>
    <mergeCell ref="A1638:C1638"/>
    <mergeCell ref="D1638:L1638"/>
    <mergeCell ref="J1673:L1673"/>
    <mergeCell ref="A1671:C1671"/>
    <mergeCell ref="G1644:H1644"/>
    <mergeCell ref="K1644:L1644"/>
    <mergeCell ref="B1645:D1645"/>
    <mergeCell ref="B1646:D1646"/>
    <mergeCell ref="B1647:D1647"/>
    <mergeCell ref="C1643:D1643"/>
    <mergeCell ref="A1607:L1607"/>
    <mergeCell ref="K1589:L1589"/>
    <mergeCell ref="B1604:D1604"/>
    <mergeCell ref="G1604:H1604"/>
    <mergeCell ref="I1604:J1604"/>
    <mergeCell ref="K1604:L1604"/>
    <mergeCell ref="B1605:D1605"/>
    <mergeCell ref="I1605:J1605"/>
    <mergeCell ref="B1600:D1600"/>
    <mergeCell ref="I1600:J1600"/>
    <mergeCell ref="B1601:D1601"/>
    <mergeCell ref="A1597:L1597"/>
    <mergeCell ref="C1603:D1603"/>
    <mergeCell ref="J1603:L1603"/>
    <mergeCell ref="B1596:D1596"/>
    <mergeCell ref="C1598:D1598"/>
    <mergeCell ref="J1598:L1598"/>
    <mergeCell ref="B1599:D1599"/>
    <mergeCell ref="B1589:D1589"/>
    <mergeCell ref="I1589:J1589"/>
    <mergeCell ref="I1599:J1599"/>
    <mergeCell ref="K1599:L1599"/>
    <mergeCell ref="A1602:L1602"/>
    <mergeCell ref="J1593:L1593"/>
    <mergeCell ref="I1594:J1594"/>
    <mergeCell ref="K1594:L1594"/>
    <mergeCell ref="B1595:D1595"/>
    <mergeCell ref="A1587:L1587"/>
    <mergeCell ref="D1586:L1586"/>
    <mergeCell ref="A1560:L1560"/>
    <mergeCell ref="G1575:I1575"/>
    <mergeCell ref="B1565:D1565"/>
    <mergeCell ref="I1566:J1566"/>
    <mergeCell ref="B1567:D1567"/>
    <mergeCell ref="B1568:D1568"/>
    <mergeCell ref="B1569:D1569"/>
    <mergeCell ref="B1570:D1570"/>
    <mergeCell ref="B1562:D1562"/>
    <mergeCell ref="G1562:H1562"/>
    <mergeCell ref="K1562:L1562"/>
    <mergeCell ref="B1563:D1563"/>
    <mergeCell ref="B1564:D1564"/>
    <mergeCell ref="G1572:J1572"/>
    <mergeCell ref="G1573:J1573"/>
    <mergeCell ref="A1586:C1586"/>
    <mergeCell ref="A1580:C1580"/>
    <mergeCell ref="D1580:L1580"/>
    <mergeCell ref="A1581:C1581"/>
    <mergeCell ref="D1581:L1581"/>
    <mergeCell ref="A1578:C1578"/>
    <mergeCell ref="D1578:L1578"/>
    <mergeCell ref="B1591:D1591"/>
    <mergeCell ref="C1593:D1593"/>
    <mergeCell ref="C1588:D1588"/>
    <mergeCell ref="J1588:L1588"/>
    <mergeCell ref="A1585:C1585"/>
    <mergeCell ref="D1585:L1585"/>
    <mergeCell ref="B1559:D1559"/>
    <mergeCell ref="A1555:L1555"/>
    <mergeCell ref="A1579:C1579"/>
    <mergeCell ref="D1579:L1579"/>
    <mergeCell ref="D1489:L1489"/>
    <mergeCell ref="A1490:C1490"/>
    <mergeCell ref="D1490:L1490"/>
    <mergeCell ref="B1548:D1548"/>
    <mergeCell ref="B1538:D1538"/>
    <mergeCell ref="C1542:D1542"/>
    <mergeCell ref="J1542:L1542"/>
    <mergeCell ref="B1543:D1543"/>
    <mergeCell ref="G1543:H1543"/>
    <mergeCell ref="B1534:D1534"/>
    <mergeCell ref="G1534:H1534"/>
    <mergeCell ref="K1534:L1534"/>
    <mergeCell ref="B1535:D1535"/>
    <mergeCell ref="B1536:D1536"/>
    <mergeCell ref="B1537:D1537"/>
    <mergeCell ref="B1558:D1558"/>
    <mergeCell ref="I1558:J1558"/>
    <mergeCell ref="A1491:C1491"/>
    <mergeCell ref="D1491:L1491"/>
    <mergeCell ref="A1492:C1492"/>
    <mergeCell ref="D1492:L1492"/>
    <mergeCell ref="A1512:L1512"/>
    <mergeCell ref="A1515:C1515"/>
    <mergeCell ref="D1515:L1515"/>
    <mergeCell ref="A1516:C1516"/>
    <mergeCell ref="D1516:L1516"/>
    <mergeCell ref="A1513:C1513"/>
    <mergeCell ref="D1513:L1513"/>
    <mergeCell ref="A1514:C1514"/>
    <mergeCell ref="D1514:L1514"/>
    <mergeCell ref="B1507:D1507"/>
    <mergeCell ref="B1508:D1508"/>
    <mergeCell ref="B1462:D1462"/>
    <mergeCell ref="B1463:D1463"/>
    <mergeCell ref="B1453:D1453"/>
    <mergeCell ref="B1454:D1454"/>
    <mergeCell ref="B1455:D1455"/>
    <mergeCell ref="B1456:D1456"/>
    <mergeCell ref="B1457:D1457"/>
    <mergeCell ref="A1484:C1484"/>
    <mergeCell ref="D1484:L1484"/>
    <mergeCell ref="A1485:C1485"/>
    <mergeCell ref="D1485:L1485"/>
    <mergeCell ref="A1486:C1486"/>
    <mergeCell ref="D1486:L1486"/>
    <mergeCell ref="B1480:D1480"/>
    <mergeCell ref="A1483:L1483"/>
    <mergeCell ref="B1501:D1501"/>
    <mergeCell ref="B1502:D1502"/>
    <mergeCell ref="B1496:D1496"/>
    <mergeCell ref="B1497:D1497"/>
    <mergeCell ref="B1498:D1498"/>
    <mergeCell ref="I1499:J1499"/>
    <mergeCell ref="B1500:D1500"/>
    <mergeCell ref="C1494:D1494"/>
    <mergeCell ref="J1494:L1494"/>
    <mergeCell ref="B1495:D1495"/>
    <mergeCell ref="G1495:H1495"/>
    <mergeCell ref="K1495:L1495"/>
    <mergeCell ref="A1487:C1487"/>
    <mergeCell ref="D1487:L1487"/>
    <mergeCell ref="A1488:C1488"/>
    <mergeCell ref="D1488:L1488"/>
    <mergeCell ref="A1489:C1489"/>
    <mergeCell ref="B1432:D1432"/>
    <mergeCell ref="B1433:D1433"/>
    <mergeCell ref="B1434:D1434"/>
    <mergeCell ref="B1435:D1435"/>
    <mergeCell ref="B1436:D1436"/>
    <mergeCell ref="A1444:L1444"/>
    <mergeCell ref="A1442:D1443"/>
    <mergeCell ref="B1449:D1449"/>
    <mergeCell ref="B1450:D1450"/>
    <mergeCell ref="B1451:D1451"/>
    <mergeCell ref="B1452:D1452"/>
    <mergeCell ref="B1476:D1476"/>
    <mergeCell ref="G1476:H1476"/>
    <mergeCell ref="K1476:L1476"/>
    <mergeCell ref="B1477:D1477"/>
    <mergeCell ref="B1478:D1478"/>
    <mergeCell ref="B1479:D1479"/>
    <mergeCell ref="B1469:D1469"/>
    <mergeCell ref="B1470:D1470"/>
    <mergeCell ref="B1471:D1471"/>
    <mergeCell ref="C1475:D1475"/>
    <mergeCell ref="J1475:L1475"/>
    <mergeCell ref="C1467:D1467"/>
    <mergeCell ref="J1467:L1467"/>
    <mergeCell ref="B1468:D1468"/>
    <mergeCell ref="G1468:H1468"/>
    <mergeCell ref="K1468:L1468"/>
    <mergeCell ref="A1472:D1473"/>
    <mergeCell ref="A1464:D1465"/>
    <mergeCell ref="B1459:D1459"/>
    <mergeCell ref="B1460:D1460"/>
    <mergeCell ref="B1461:D1461"/>
    <mergeCell ref="B1458:D1458"/>
    <mergeCell ref="B1447:D1447"/>
    <mergeCell ref="B1448:D1448"/>
    <mergeCell ref="B1425:D1425"/>
    <mergeCell ref="C1429:D1429"/>
    <mergeCell ref="J1429:L1429"/>
    <mergeCell ref="B1430:D1430"/>
    <mergeCell ref="G1430:H1430"/>
    <mergeCell ref="K1430:L1430"/>
    <mergeCell ref="B1420:D1420"/>
    <mergeCell ref="B1421:D1421"/>
    <mergeCell ref="B1422:D1422"/>
    <mergeCell ref="B1423:D1423"/>
    <mergeCell ref="B1424:D1424"/>
    <mergeCell ref="B1414:D1414"/>
    <mergeCell ref="B1415:D1415"/>
    <mergeCell ref="B1416:D1416"/>
    <mergeCell ref="B1417:D1417"/>
    <mergeCell ref="B1418:D1418"/>
    <mergeCell ref="B1419:D1419"/>
    <mergeCell ref="A1428:L1428"/>
    <mergeCell ref="C1445:D1445"/>
    <mergeCell ref="J1445:L1445"/>
    <mergeCell ref="B1446:D1446"/>
    <mergeCell ref="G1446:H1446"/>
    <mergeCell ref="K1446:L1446"/>
    <mergeCell ref="B1437:D1437"/>
    <mergeCell ref="B1438:D1438"/>
    <mergeCell ref="B1439:D1439"/>
    <mergeCell ref="B1440:D1440"/>
    <mergeCell ref="B1441:D1441"/>
    <mergeCell ref="B1431:D1431"/>
    <mergeCell ref="B1411:D1411"/>
    <mergeCell ref="B1412:D1412"/>
    <mergeCell ref="B1413:D1413"/>
    <mergeCell ref="B1403:D1403"/>
    <mergeCell ref="B1404:D1404"/>
    <mergeCell ref="B1405:D1405"/>
    <mergeCell ref="C1409:D1409"/>
    <mergeCell ref="J1409:L1409"/>
    <mergeCell ref="C1400:D1400"/>
    <mergeCell ref="J1400:L1400"/>
    <mergeCell ref="B1401:D1401"/>
    <mergeCell ref="G1401:H1401"/>
    <mergeCell ref="K1401:L1401"/>
    <mergeCell ref="B1402:D1402"/>
    <mergeCell ref="B1393:D1393"/>
    <mergeCell ref="B1394:D1394"/>
    <mergeCell ref="B1395:D1395"/>
    <mergeCell ref="B1396:D1396"/>
    <mergeCell ref="A1406:D1407"/>
    <mergeCell ref="B1388:D1388"/>
    <mergeCell ref="B1389:D1389"/>
    <mergeCell ref="B1390:D1390"/>
    <mergeCell ref="B1391:D1391"/>
    <mergeCell ref="B1392:D1392"/>
    <mergeCell ref="B1382:D1382"/>
    <mergeCell ref="B1383:D1383"/>
    <mergeCell ref="B1384:D1384"/>
    <mergeCell ref="B1385:D1385"/>
    <mergeCell ref="B1386:D1386"/>
    <mergeCell ref="B1387:D1387"/>
    <mergeCell ref="B1410:D1410"/>
    <mergeCell ref="C1379:D1379"/>
    <mergeCell ref="J1379:L1379"/>
    <mergeCell ref="B1380:D1380"/>
    <mergeCell ref="G1380:H1380"/>
    <mergeCell ref="K1380:L1380"/>
    <mergeCell ref="B1381:D1381"/>
    <mergeCell ref="G1410:H1410"/>
    <mergeCell ref="K1410:L1410"/>
    <mergeCell ref="A1399:L1399"/>
    <mergeCell ref="A1408:L1408"/>
    <mergeCell ref="B1372:D1372"/>
    <mergeCell ref="B1373:D1373"/>
    <mergeCell ref="B1374:D1374"/>
    <mergeCell ref="B1375:D1375"/>
    <mergeCell ref="B1366:D1366"/>
    <mergeCell ref="C1370:D1370"/>
    <mergeCell ref="J1370:L1370"/>
    <mergeCell ref="B1371:D1371"/>
    <mergeCell ref="G1371:H1371"/>
    <mergeCell ref="K1371:L1371"/>
    <mergeCell ref="B1360:D1360"/>
    <mergeCell ref="B1361:D1361"/>
    <mergeCell ref="B1362:D1362"/>
    <mergeCell ref="B1363:D1363"/>
    <mergeCell ref="B1364:D1364"/>
    <mergeCell ref="B1365:D1365"/>
    <mergeCell ref="B1354:D1354"/>
    <mergeCell ref="B1355:D1355"/>
    <mergeCell ref="B1356:D1356"/>
    <mergeCell ref="B1357:D1357"/>
    <mergeCell ref="B1358:D1358"/>
    <mergeCell ref="B1359:D1359"/>
    <mergeCell ref="A1367:D1368"/>
    <mergeCell ref="A1369:L1369"/>
    <mergeCell ref="B1349:D1349"/>
    <mergeCell ref="G1349:H1349"/>
    <mergeCell ref="K1349:L1349"/>
    <mergeCell ref="B1350:D1350"/>
    <mergeCell ref="B1351:D1351"/>
    <mergeCell ref="B1352:D1352"/>
    <mergeCell ref="B1353:D1353"/>
    <mergeCell ref="C1348:D1348"/>
    <mergeCell ref="J1348:L1348"/>
    <mergeCell ref="B1338:D1338"/>
    <mergeCell ref="B1339:D1339"/>
    <mergeCell ref="B1340:D1340"/>
    <mergeCell ref="B1341:D1341"/>
    <mergeCell ref="B1342:D1342"/>
    <mergeCell ref="B1333:D1333"/>
    <mergeCell ref="B1334:D1334"/>
    <mergeCell ref="B1335:D1335"/>
    <mergeCell ref="B1336:D1336"/>
    <mergeCell ref="B1337:D1337"/>
    <mergeCell ref="B1343:D1343"/>
    <mergeCell ref="B1344:D1344"/>
    <mergeCell ref="A1345:D1346"/>
    <mergeCell ref="A1347:L1347"/>
    <mergeCell ref="C1331:D1331"/>
    <mergeCell ref="J1331:L1331"/>
    <mergeCell ref="B1332:D1332"/>
    <mergeCell ref="G1332:H1332"/>
    <mergeCell ref="K1332:L1332"/>
    <mergeCell ref="B1326:D1326"/>
    <mergeCell ref="B1327:D1327"/>
    <mergeCell ref="B1319:D1319"/>
    <mergeCell ref="B1320:D1320"/>
    <mergeCell ref="B1321:D1321"/>
    <mergeCell ref="B1322:D1322"/>
    <mergeCell ref="B1323:D1323"/>
    <mergeCell ref="B1324:D1324"/>
    <mergeCell ref="B1313:D1313"/>
    <mergeCell ref="B1314:D1314"/>
    <mergeCell ref="B1315:D1315"/>
    <mergeCell ref="B1316:D1316"/>
    <mergeCell ref="B1317:D1317"/>
    <mergeCell ref="B1318:D1318"/>
    <mergeCell ref="A1328:D1329"/>
    <mergeCell ref="A1330:L1330"/>
    <mergeCell ref="C1310:D1310"/>
    <mergeCell ref="J1310:L1310"/>
    <mergeCell ref="B1311:D1311"/>
    <mergeCell ref="G1311:H1311"/>
    <mergeCell ref="K1311:L1311"/>
    <mergeCell ref="B1312:D1312"/>
    <mergeCell ref="B1304:D1304"/>
    <mergeCell ref="B1305:D1305"/>
    <mergeCell ref="B1306:D1306"/>
    <mergeCell ref="B1298:D1298"/>
    <mergeCell ref="B1299:D1299"/>
    <mergeCell ref="B1300:D1300"/>
    <mergeCell ref="B1301:D1301"/>
    <mergeCell ref="B1302:D1302"/>
    <mergeCell ref="B1303:D1303"/>
    <mergeCell ref="B1325:D1325"/>
    <mergeCell ref="A1275:C1275"/>
    <mergeCell ref="D1275:L1275"/>
    <mergeCell ref="A1276:C1276"/>
    <mergeCell ref="D1276:L1276"/>
    <mergeCell ref="C1283:D1283"/>
    <mergeCell ref="J1283:L1283"/>
    <mergeCell ref="A1293:D1294"/>
    <mergeCell ref="A1307:D1308"/>
    <mergeCell ref="A1273:C1273"/>
    <mergeCell ref="D1273:L1273"/>
    <mergeCell ref="A1274:C1274"/>
    <mergeCell ref="D1274:L1274"/>
    <mergeCell ref="A1280:C1280"/>
    <mergeCell ref="D1280:L1280"/>
    <mergeCell ref="A1281:C1281"/>
    <mergeCell ref="D1281:L1281"/>
    <mergeCell ref="C1296:D1296"/>
    <mergeCell ref="J1296:L1296"/>
    <mergeCell ref="B1297:D1297"/>
    <mergeCell ref="G1297:H1297"/>
    <mergeCell ref="K1297:L1297"/>
    <mergeCell ref="B1288:D1288"/>
    <mergeCell ref="B1289:D1289"/>
    <mergeCell ref="B1290:D1290"/>
    <mergeCell ref="B1291:D1291"/>
    <mergeCell ref="B1292:D1292"/>
    <mergeCell ref="B1284:D1284"/>
    <mergeCell ref="G1284:H1284"/>
    <mergeCell ref="K1284:L1284"/>
    <mergeCell ref="B1285:D1285"/>
    <mergeCell ref="B1286:D1286"/>
    <mergeCell ref="B1287:D1287"/>
    <mergeCell ref="A1282:L1282"/>
    <mergeCell ref="A1279:C1279"/>
    <mergeCell ref="D1279:L1279"/>
    <mergeCell ref="B1267:D1267"/>
    <mergeCell ref="B1268:D1268"/>
    <mergeCell ref="B1269:D1269"/>
    <mergeCell ref="B1262:D1262"/>
    <mergeCell ref="B1263:D1263"/>
    <mergeCell ref="B1264:D1264"/>
    <mergeCell ref="B1265:D1265"/>
    <mergeCell ref="B1266:D1266"/>
    <mergeCell ref="B1258:D1258"/>
    <mergeCell ref="B1259:D1259"/>
    <mergeCell ref="B1260:D1260"/>
    <mergeCell ref="B1261:D1261"/>
    <mergeCell ref="B1252:D1252"/>
    <mergeCell ref="B1253:D1253"/>
    <mergeCell ref="B1254:D1254"/>
    <mergeCell ref="B1255:D1255"/>
    <mergeCell ref="B1256:D1256"/>
    <mergeCell ref="B1257:D1257"/>
    <mergeCell ref="B1249:D1249"/>
    <mergeCell ref="G1249:H1249"/>
    <mergeCell ref="K1249:L1249"/>
    <mergeCell ref="A1247:L1247"/>
    <mergeCell ref="B1250:D1250"/>
    <mergeCell ref="B1251:D1251"/>
    <mergeCell ref="B1242:D1242"/>
    <mergeCell ref="B1243:D1243"/>
    <mergeCell ref="B1244:D1244"/>
    <mergeCell ref="C1248:D1248"/>
    <mergeCell ref="J1248:L1248"/>
    <mergeCell ref="B1238:D1238"/>
    <mergeCell ref="B1239:D1239"/>
    <mergeCell ref="B1240:D1240"/>
    <mergeCell ref="B1241:D1241"/>
    <mergeCell ref="B1232:D1232"/>
    <mergeCell ref="B1233:D1233"/>
    <mergeCell ref="B1234:D1234"/>
    <mergeCell ref="B1235:D1235"/>
    <mergeCell ref="B1236:D1236"/>
    <mergeCell ref="B1237:D1237"/>
    <mergeCell ref="A1245:D1246"/>
    <mergeCell ref="B1226:D1226"/>
    <mergeCell ref="B1227:D1227"/>
    <mergeCell ref="B1228:D1228"/>
    <mergeCell ref="B1229:D1229"/>
    <mergeCell ref="B1230:D1230"/>
    <mergeCell ref="B1231:D1231"/>
    <mergeCell ref="B1220:D1220"/>
    <mergeCell ref="C1224:D1224"/>
    <mergeCell ref="J1224:L1224"/>
    <mergeCell ref="B1225:D1225"/>
    <mergeCell ref="G1225:H1225"/>
    <mergeCell ref="K1225:L1225"/>
    <mergeCell ref="B1214:D1214"/>
    <mergeCell ref="B1215:D1215"/>
    <mergeCell ref="B1216:D1216"/>
    <mergeCell ref="B1217:D1217"/>
    <mergeCell ref="B1218:D1218"/>
    <mergeCell ref="B1219:D1219"/>
    <mergeCell ref="A1221:D1222"/>
    <mergeCell ref="B1208:D1208"/>
    <mergeCell ref="B1209:D1209"/>
    <mergeCell ref="B1210:D1210"/>
    <mergeCell ref="B1211:D1211"/>
    <mergeCell ref="B1212:D1212"/>
    <mergeCell ref="B1213:D1213"/>
    <mergeCell ref="B1204:D1204"/>
    <mergeCell ref="G1204:H1204"/>
    <mergeCell ref="K1204:L1204"/>
    <mergeCell ref="B1205:D1205"/>
    <mergeCell ref="B1206:D1206"/>
    <mergeCell ref="B1207:D1207"/>
    <mergeCell ref="B1198:D1198"/>
    <mergeCell ref="B1199:D1199"/>
    <mergeCell ref="C1203:D1203"/>
    <mergeCell ref="J1203:L1203"/>
    <mergeCell ref="B1170:D1170"/>
    <mergeCell ref="B1171:D1171"/>
    <mergeCell ref="B1172:D1172"/>
    <mergeCell ref="C1191:D1191"/>
    <mergeCell ref="J1191:L1191"/>
    <mergeCell ref="B1192:D1192"/>
    <mergeCell ref="G1192:H1192"/>
    <mergeCell ref="K1192:L1192"/>
    <mergeCell ref="B1193:D1193"/>
    <mergeCell ref="A1194:L1194"/>
    <mergeCell ref="A1200:D1201"/>
    <mergeCell ref="A1188:D1189"/>
    <mergeCell ref="J1168:L1168"/>
    <mergeCell ref="C1195:D1195"/>
    <mergeCell ref="J1195:L1195"/>
    <mergeCell ref="B1196:D1196"/>
    <mergeCell ref="G1196:H1196"/>
    <mergeCell ref="K1196:L1196"/>
    <mergeCell ref="B1197:D1197"/>
    <mergeCell ref="B1184:D1184"/>
    <mergeCell ref="B1185:D1185"/>
    <mergeCell ref="B1186:D1186"/>
    <mergeCell ref="B1187:D1187"/>
    <mergeCell ref="B1179:D1179"/>
    <mergeCell ref="B1180:D1180"/>
    <mergeCell ref="B1181:D1181"/>
    <mergeCell ref="B1182:D1182"/>
    <mergeCell ref="B1183:D1183"/>
    <mergeCell ref="K1169:L1169"/>
    <mergeCell ref="C1168:D1168"/>
    <mergeCell ref="A1109:C1109"/>
    <mergeCell ref="D1109:L1109"/>
    <mergeCell ref="A1110:C1110"/>
    <mergeCell ref="D1110:L1110"/>
    <mergeCell ref="A1111:C1111"/>
    <mergeCell ref="D1111:L1111"/>
    <mergeCell ref="B1105:D1105"/>
    <mergeCell ref="B1106:D1106"/>
    <mergeCell ref="B1127:D1127"/>
    <mergeCell ref="B1128:D1128"/>
    <mergeCell ref="B1129:D1129"/>
    <mergeCell ref="B1130:D1130"/>
    <mergeCell ref="B1131:D1131"/>
    <mergeCell ref="B1121:D1121"/>
    <mergeCell ref="B1122:D1122"/>
    <mergeCell ref="B1123:D1123"/>
    <mergeCell ref="B1124:D1124"/>
    <mergeCell ref="B1125:D1125"/>
    <mergeCell ref="B1126:D1126"/>
    <mergeCell ref="C1119:D1119"/>
    <mergeCell ref="J1119:L1119"/>
    <mergeCell ref="B1120:D1120"/>
    <mergeCell ref="G1120:H1120"/>
    <mergeCell ref="K1120:L1120"/>
    <mergeCell ref="A1118:L1118"/>
    <mergeCell ref="A1112:C1112"/>
    <mergeCell ref="D1112:L1112"/>
    <mergeCell ref="A1113:C1113"/>
    <mergeCell ref="D1113:L1113"/>
    <mergeCell ref="A1114:C1114"/>
    <mergeCell ref="D1114:L1114"/>
    <mergeCell ref="A1117:C1117"/>
    <mergeCell ref="B1104:D1104"/>
    <mergeCell ref="B1095:D1095"/>
    <mergeCell ref="B1096:D1096"/>
    <mergeCell ref="B1097:D1097"/>
    <mergeCell ref="B1098:D1098"/>
    <mergeCell ref="C1093:D1093"/>
    <mergeCell ref="J1093:L1093"/>
    <mergeCell ref="B1094:D1094"/>
    <mergeCell ref="G1094:H1094"/>
    <mergeCell ref="K1094:L1094"/>
    <mergeCell ref="A1090:D1091"/>
    <mergeCell ref="A1099:D1100"/>
    <mergeCell ref="A1092:L1092"/>
    <mergeCell ref="A1101:L1101"/>
    <mergeCell ref="B1086:D1086"/>
    <mergeCell ref="G1086:H1086"/>
    <mergeCell ref="K1086:L1086"/>
    <mergeCell ref="B1087:D1087"/>
    <mergeCell ref="B1088:D1088"/>
    <mergeCell ref="B1089:D1089"/>
    <mergeCell ref="B1103:D1103"/>
    <mergeCell ref="G1103:H1103"/>
    <mergeCell ref="K1103:L1103"/>
    <mergeCell ref="C1102:D1102"/>
    <mergeCell ref="J1102:L1102"/>
    <mergeCell ref="B1050:D1050"/>
    <mergeCell ref="B1041:D1041"/>
    <mergeCell ref="B1042:D1042"/>
    <mergeCell ref="B1043:D1043"/>
    <mergeCell ref="B1044:D1044"/>
    <mergeCell ref="B1045:D1045"/>
    <mergeCell ref="B1046:D1046"/>
    <mergeCell ref="A1051:D1052"/>
    <mergeCell ref="A1053:L1053"/>
    <mergeCell ref="C1038:D1038"/>
    <mergeCell ref="J1038:L1038"/>
    <mergeCell ref="B1039:D1039"/>
    <mergeCell ref="G1039:H1039"/>
    <mergeCell ref="K1039:L1039"/>
    <mergeCell ref="B1040:D1040"/>
    <mergeCell ref="B1031:D1031"/>
    <mergeCell ref="B1032:D1032"/>
    <mergeCell ref="B1033:D1033"/>
    <mergeCell ref="B1034:D1034"/>
    <mergeCell ref="B1047:D1047"/>
    <mergeCell ref="B1048:D1048"/>
    <mergeCell ref="B1049:D1049"/>
    <mergeCell ref="B1025:D1025"/>
    <mergeCell ref="C1029:D1029"/>
    <mergeCell ref="J1029:L1029"/>
    <mergeCell ref="B1030:D1030"/>
    <mergeCell ref="G1030:H1030"/>
    <mergeCell ref="K1030:L1030"/>
    <mergeCell ref="A1026:D1027"/>
    <mergeCell ref="A1035:D1036"/>
    <mergeCell ref="A1028:L1028"/>
    <mergeCell ref="A1037:L1037"/>
    <mergeCell ref="C1017:D1017"/>
    <mergeCell ref="J1017:L1017"/>
    <mergeCell ref="B1018:D1018"/>
    <mergeCell ref="G1018:H1018"/>
    <mergeCell ref="K1018:L1018"/>
    <mergeCell ref="B1009:D1009"/>
    <mergeCell ref="B1010:D1010"/>
    <mergeCell ref="B1011:D1011"/>
    <mergeCell ref="B1012:D1012"/>
    <mergeCell ref="B1013:D1013"/>
    <mergeCell ref="I936:J936"/>
    <mergeCell ref="B929:D929"/>
    <mergeCell ref="I929:J929"/>
    <mergeCell ref="B930:D930"/>
    <mergeCell ref="I930:J930"/>
    <mergeCell ref="K948:L948"/>
    <mergeCell ref="B949:D949"/>
    <mergeCell ref="G949:H949"/>
    <mergeCell ref="B952:D952"/>
    <mergeCell ref="G952:H952"/>
    <mergeCell ref="K952:L952"/>
    <mergeCell ref="B953:D953"/>
    <mergeCell ref="G953:H953"/>
    <mergeCell ref="B940:D940"/>
    <mergeCell ref="G940:H940"/>
    <mergeCell ref="K940:L940"/>
    <mergeCell ref="B941:D941"/>
    <mergeCell ref="G941:H941"/>
    <mergeCell ref="B944:D944"/>
    <mergeCell ref="G944:H944"/>
    <mergeCell ref="A938:L938"/>
    <mergeCell ref="C939:D939"/>
    <mergeCell ref="B948:D948"/>
    <mergeCell ref="G948:H948"/>
    <mergeCell ref="I935:J935"/>
    <mergeCell ref="C933:D933"/>
    <mergeCell ref="J933:L933"/>
    <mergeCell ref="B934:D934"/>
    <mergeCell ref="G934:H934"/>
    <mergeCell ref="I934:J934"/>
    <mergeCell ref="K934:L934"/>
    <mergeCell ref="C951:D951"/>
    <mergeCell ref="J951:L951"/>
    <mergeCell ref="B935:D935"/>
    <mergeCell ref="A932:L932"/>
    <mergeCell ref="B893:D893"/>
    <mergeCell ref="F894:F895"/>
    <mergeCell ref="G894:J894"/>
    <mergeCell ref="G895:J895"/>
    <mergeCell ref="A899:L899"/>
    <mergeCell ref="A912:L912"/>
    <mergeCell ref="A926:L926"/>
    <mergeCell ref="C900:D900"/>
    <mergeCell ref="J900:L900"/>
    <mergeCell ref="G901:H901"/>
    <mergeCell ref="K901:L901"/>
    <mergeCell ref="B901:D901"/>
    <mergeCell ref="B902:D902"/>
    <mergeCell ref="G914:H914"/>
    <mergeCell ref="I914:J914"/>
    <mergeCell ref="K914:L914"/>
    <mergeCell ref="B918:D918"/>
    <mergeCell ref="I918:J918"/>
    <mergeCell ref="B919:D919"/>
    <mergeCell ref="I919:J919"/>
    <mergeCell ref="B915:D915"/>
    <mergeCell ref="I915:J915"/>
    <mergeCell ref="B916:D916"/>
    <mergeCell ref="I916:J916"/>
    <mergeCell ref="B924:D924"/>
    <mergeCell ref="I924:J924"/>
    <mergeCell ref="B903:D903"/>
    <mergeCell ref="B904:D904"/>
    <mergeCell ref="B905:D905"/>
    <mergeCell ref="B906:D906"/>
    <mergeCell ref="B907:D907"/>
    <mergeCell ref="B908:D908"/>
    <mergeCell ref="B890:D890"/>
    <mergeCell ref="B891:D891"/>
    <mergeCell ref="B892:D892"/>
    <mergeCell ref="B867:D867"/>
    <mergeCell ref="I867:J867"/>
    <mergeCell ref="B886:D886"/>
    <mergeCell ref="J888:L888"/>
    <mergeCell ref="B889:D889"/>
    <mergeCell ref="G889:H889"/>
    <mergeCell ref="K889:L889"/>
    <mergeCell ref="C883:D883"/>
    <mergeCell ref="J883:L883"/>
    <mergeCell ref="B884:D884"/>
    <mergeCell ref="I884:J884"/>
    <mergeCell ref="K884:L884"/>
    <mergeCell ref="B885:D885"/>
    <mergeCell ref="I885:J885"/>
    <mergeCell ref="A887:L887"/>
    <mergeCell ref="B881:D881"/>
    <mergeCell ref="C876:D876"/>
    <mergeCell ref="J876:L876"/>
    <mergeCell ref="B877:D877"/>
    <mergeCell ref="I877:J877"/>
    <mergeCell ref="K877:L877"/>
    <mergeCell ref="A882:L882"/>
    <mergeCell ref="A880:H880"/>
    <mergeCell ref="B864:D864"/>
    <mergeCell ref="C866:D866"/>
    <mergeCell ref="J866:L866"/>
    <mergeCell ref="B862:D862"/>
    <mergeCell ref="I862:J862"/>
    <mergeCell ref="K862:L862"/>
    <mergeCell ref="B863:D863"/>
    <mergeCell ref="I863:J863"/>
    <mergeCell ref="B878:D878"/>
    <mergeCell ref="I878:J878"/>
    <mergeCell ref="B879:D879"/>
    <mergeCell ref="I879:J879"/>
    <mergeCell ref="A875:L875"/>
    <mergeCell ref="B858:D858"/>
    <mergeCell ref="I858:J858"/>
    <mergeCell ref="B859:D859"/>
    <mergeCell ref="A855:L855"/>
    <mergeCell ref="C861:D861"/>
    <mergeCell ref="J861:L861"/>
    <mergeCell ref="B873:D873"/>
    <mergeCell ref="I873:J873"/>
    <mergeCell ref="B874:D874"/>
    <mergeCell ref="C871:D871"/>
    <mergeCell ref="J871:L871"/>
    <mergeCell ref="B872:D872"/>
    <mergeCell ref="I872:J872"/>
    <mergeCell ref="K872:L872"/>
    <mergeCell ref="A860:L860"/>
    <mergeCell ref="A865:L865"/>
    <mergeCell ref="A870:L870"/>
    <mergeCell ref="K867:L867"/>
    <mergeCell ref="B869:D869"/>
    <mergeCell ref="B854:D854"/>
    <mergeCell ref="C856:D856"/>
    <mergeCell ref="J856:L856"/>
    <mergeCell ref="B857:D857"/>
    <mergeCell ref="I857:J857"/>
    <mergeCell ref="K857:L857"/>
    <mergeCell ref="B852:D852"/>
    <mergeCell ref="G852:H852"/>
    <mergeCell ref="I852:J852"/>
    <mergeCell ref="K852:L852"/>
    <mergeCell ref="B853:D853"/>
    <mergeCell ref="I853:J853"/>
    <mergeCell ref="B848:D848"/>
    <mergeCell ref="I848:J848"/>
    <mergeCell ref="B849:D849"/>
    <mergeCell ref="A845:L845"/>
    <mergeCell ref="C851:D851"/>
    <mergeCell ref="J851:L851"/>
    <mergeCell ref="C846:D846"/>
    <mergeCell ref="J846:L846"/>
    <mergeCell ref="B847:D847"/>
    <mergeCell ref="I847:J847"/>
    <mergeCell ref="K847:L847"/>
    <mergeCell ref="A850:L850"/>
    <mergeCell ref="B842:D842"/>
    <mergeCell ref="G842:H842"/>
    <mergeCell ref="I842:J842"/>
    <mergeCell ref="K842:L842"/>
    <mergeCell ref="B843:D843"/>
    <mergeCell ref="I843:J843"/>
    <mergeCell ref="B838:D838"/>
    <mergeCell ref="I838:J838"/>
    <mergeCell ref="B839:D839"/>
    <mergeCell ref="A835:L835"/>
    <mergeCell ref="C841:D841"/>
    <mergeCell ref="J841:L841"/>
    <mergeCell ref="C836:D836"/>
    <mergeCell ref="J836:L836"/>
    <mergeCell ref="B837:D837"/>
    <mergeCell ref="I837:J837"/>
    <mergeCell ref="K837:L837"/>
    <mergeCell ref="A840:L840"/>
    <mergeCell ref="B832:D832"/>
    <mergeCell ref="I832:J832"/>
    <mergeCell ref="K832:L832"/>
    <mergeCell ref="B833:D833"/>
    <mergeCell ref="I833:J833"/>
    <mergeCell ref="B834:D834"/>
    <mergeCell ref="G827:J827"/>
    <mergeCell ref="C831:D831"/>
    <mergeCell ref="J831:L831"/>
    <mergeCell ref="B822:D822"/>
    <mergeCell ref="G822:H822"/>
    <mergeCell ref="K822:L822"/>
    <mergeCell ref="B823:D823"/>
    <mergeCell ref="B824:D824"/>
    <mergeCell ref="F826:F827"/>
    <mergeCell ref="G826:J826"/>
    <mergeCell ref="C821:D821"/>
    <mergeCell ref="J821:L821"/>
    <mergeCell ref="A830:L830"/>
    <mergeCell ref="B741:D741"/>
    <mergeCell ref="I741:J741"/>
    <mergeCell ref="B742:D742"/>
    <mergeCell ref="I742:J742"/>
    <mergeCell ref="C758:D758"/>
    <mergeCell ref="J758:L758"/>
    <mergeCell ref="B759:D759"/>
    <mergeCell ref="G759:H759"/>
    <mergeCell ref="K759:L759"/>
    <mergeCell ref="B754:D754"/>
    <mergeCell ref="I754:J754"/>
    <mergeCell ref="B755:D755"/>
    <mergeCell ref="C752:D752"/>
    <mergeCell ref="G752:H752"/>
    <mergeCell ref="J752:L752"/>
    <mergeCell ref="B753:D753"/>
    <mergeCell ref="I753:J753"/>
    <mergeCell ref="K753:L753"/>
    <mergeCell ref="A750:L750"/>
    <mergeCell ref="A745:L745"/>
    <mergeCell ref="E749:H749"/>
    <mergeCell ref="B747:D747"/>
    <mergeCell ref="E755:H755"/>
    <mergeCell ref="C739:D739"/>
    <mergeCell ref="J739:L739"/>
    <mergeCell ref="B740:D740"/>
    <mergeCell ref="G740:H740"/>
    <mergeCell ref="I740:J740"/>
    <mergeCell ref="K740:L740"/>
    <mergeCell ref="B733:D733"/>
    <mergeCell ref="I733:J733"/>
    <mergeCell ref="B734:D734"/>
    <mergeCell ref="I734:J734"/>
    <mergeCell ref="I735:J735"/>
    <mergeCell ref="B729:D729"/>
    <mergeCell ref="C731:D731"/>
    <mergeCell ref="J731:L731"/>
    <mergeCell ref="B732:D732"/>
    <mergeCell ref="G732:H732"/>
    <mergeCell ref="I732:J732"/>
    <mergeCell ref="K732:L732"/>
    <mergeCell ref="B735:D735"/>
    <mergeCell ref="B736:D736"/>
    <mergeCell ref="I736:J736"/>
    <mergeCell ref="B705:D705"/>
    <mergeCell ref="B706:D706"/>
    <mergeCell ref="B707:D707"/>
    <mergeCell ref="B709:D709"/>
    <mergeCell ref="F711:F712"/>
    <mergeCell ref="G711:J711"/>
    <mergeCell ref="G712:J712"/>
    <mergeCell ref="B700:D700"/>
    <mergeCell ref="C703:D703"/>
    <mergeCell ref="J703:L703"/>
    <mergeCell ref="B704:D704"/>
    <mergeCell ref="G704:H704"/>
    <mergeCell ref="K704:L704"/>
    <mergeCell ref="B727:D727"/>
    <mergeCell ref="I727:J727"/>
    <mergeCell ref="K727:L727"/>
    <mergeCell ref="B728:D728"/>
    <mergeCell ref="I728:J728"/>
    <mergeCell ref="C726:D726"/>
    <mergeCell ref="J726:L726"/>
    <mergeCell ref="G727:H727"/>
    <mergeCell ref="D717:L717"/>
    <mergeCell ref="D723:L723"/>
    <mergeCell ref="A724:C724"/>
    <mergeCell ref="D724:L724"/>
    <mergeCell ref="A719:C719"/>
    <mergeCell ref="D719:L719"/>
    <mergeCell ref="A720:C720"/>
    <mergeCell ref="D720:L720"/>
    <mergeCell ref="A721:C721"/>
    <mergeCell ref="D721:L721"/>
    <mergeCell ref="A722:C722"/>
    <mergeCell ref="B682:D682"/>
    <mergeCell ref="G682:H682"/>
    <mergeCell ref="K682:L682"/>
    <mergeCell ref="B684:D684"/>
    <mergeCell ref="B685:D685"/>
    <mergeCell ref="B683:D683"/>
    <mergeCell ref="C681:D681"/>
    <mergeCell ref="J681:L681"/>
    <mergeCell ref="G676:J676"/>
    <mergeCell ref="G677:J677"/>
    <mergeCell ref="B676:D676"/>
    <mergeCell ref="B696:D696"/>
    <mergeCell ref="I696:J696"/>
    <mergeCell ref="B697:D697"/>
    <mergeCell ref="I697:J697"/>
    <mergeCell ref="B698:D698"/>
    <mergeCell ref="I698:J698"/>
    <mergeCell ref="C694:D694"/>
    <mergeCell ref="J694:L694"/>
    <mergeCell ref="B695:D695"/>
    <mergeCell ref="G695:H695"/>
    <mergeCell ref="I695:J695"/>
    <mergeCell ref="K695:L695"/>
    <mergeCell ref="B686:D686"/>
    <mergeCell ref="G688:H688"/>
    <mergeCell ref="B689:D689"/>
    <mergeCell ref="F689:F690"/>
    <mergeCell ref="G689:J689"/>
    <mergeCell ref="G690:J690"/>
    <mergeCell ref="B687:D687"/>
    <mergeCell ref="A693:L693"/>
    <mergeCell ref="C654:D654"/>
    <mergeCell ref="J654:L654"/>
    <mergeCell ref="C648:D648"/>
    <mergeCell ref="J648:L648"/>
    <mergeCell ref="B649:D649"/>
    <mergeCell ref="G649:H649"/>
    <mergeCell ref="K649:L649"/>
    <mergeCell ref="B672:D672"/>
    <mergeCell ref="B673:D673"/>
    <mergeCell ref="B674:D674"/>
    <mergeCell ref="B677:D677"/>
    <mergeCell ref="F676:F677"/>
    <mergeCell ref="J669:L669"/>
    <mergeCell ref="B670:D670"/>
    <mergeCell ref="G670:H670"/>
    <mergeCell ref="K670:L670"/>
    <mergeCell ref="B671:D671"/>
    <mergeCell ref="B658:D658"/>
    <mergeCell ref="I658:J658"/>
    <mergeCell ref="G662:I662"/>
    <mergeCell ref="B655:D655"/>
    <mergeCell ref="G655:H655"/>
    <mergeCell ref="I655:J655"/>
    <mergeCell ref="B656:D656"/>
    <mergeCell ref="I656:J656"/>
    <mergeCell ref="C669:D669"/>
    <mergeCell ref="A664:L664"/>
    <mergeCell ref="C665:D665"/>
    <mergeCell ref="J665:L665"/>
    <mergeCell ref="B651:D651"/>
    <mergeCell ref="A652:I652"/>
    <mergeCell ref="B650:D650"/>
    <mergeCell ref="B610:D610"/>
    <mergeCell ref="I610:J610"/>
    <mergeCell ref="I614:J614"/>
    <mergeCell ref="B615:D615"/>
    <mergeCell ref="A621:L621"/>
    <mergeCell ref="B618:D618"/>
    <mergeCell ref="I618:J618"/>
    <mergeCell ref="K618:L618"/>
    <mergeCell ref="B619:D619"/>
    <mergeCell ref="I619:J619"/>
    <mergeCell ref="B620:D620"/>
    <mergeCell ref="B614:D614"/>
    <mergeCell ref="C643:D643"/>
    <mergeCell ref="J643:L643"/>
    <mergeCell ref="B646:D646"/>
    <mergeCell ref="J635:L635"/>
    <mergeCell ref="B636:D636"/>
    <mergeCell ref="G636:H636"/>
    <mergeCell ref="K636:L636"/>
    <mergeCell ref="B637:D637"/>
    <mergeCell ref="B645:D645"/>
    <mergeCell ref="F638:F639"/>
    <mergeCell ref="G638:J638"/>
    <mergeCell ref="G639:J639"/>
    <mergeCell ref="A642:L642"/>
    <mergeCell ref="K644:L644"/>
    <mergeCell ref="A517:C517"/>
    <mergeCell ref="K505:L505"/>
    <mergeCell ref="B506:D506"/>
    <mergeCell ref="B507:D507"/>
    <mergeCell ref="B508:D508"/>
    <mergeCell ref="A544:C544"/>
    <mergeCell ref="D544:L544"/>
    <mergeCell ref="F535:F536"/>
    <mergeCell ref="G535:J535"/>
    <mergeCell ref="G536:J536"/>
    <mergeCell ref="A540:L540"/>
    <mergeCell ref="A541:C541"/>
    <mergeCell ref="D541:L541"/>
    <mergeCell ref="B525:D525"/>
    <mergeCell ref="B526:D526"/>
    <mergeCell ref="B528:D528"/>
    <mergeCell ref="B530:D530"/>
    <mergeCell ref="B531:D531"/>
    <mergeCell ref="B533:D533"/>
    <mergeCell ref="B532:D532"/>
    <mergeCell ref="A522:L522"/>
    <mergeCell ref="C523:D523"/>
    <mergeCell ref="J523:L523"/>
    <mergeCell ref="G524:H524"/>
    <mergeCell ref="K524:L524"/>
    <mergeCell ref="A542:C542"/>
    <mergeCell ref="D542:L542"/>
    <mergeCell ref="G510:J510"/>
    <mergeCell ref="F509:F510"/>
    <mergeCell ref="G509:J509"/>
    <mergeCell ref="G539:H539"/>
    <mergeCell ref="D517:L517"/>
    <mergeCell ref="G468:H468"/>
    <mergeCell ref="F499:F500"/>
    <mergeCell ref="G499:J499"/>
    <mergeCell ref="G500:J500"/>
    <mergeCell ref="A503:L503"/>
    <mergeCell ref="C504:D504"/>
    <mergeCell ref="J504:L504"/>
    <mergeCell ref="A521:C521"/>
    <mergeCell ref="D521:L521"/>
    <mergeCell ref="B495:D495"/>
    <mergeCell ref="G495:H495"/>
    <mergeCell ref="K495:L495"/>
    <mergeCell ref="B496:D496"/>
    <mergeCell ref="B497:D497"/>
    <mergeCell ref="B498:D498"/>
    <mergeCell ref="B491:D491"/>
    <mergeCell ref="I491:J491"/>
    <mergeCell ref="A493:L493"/>
    <mergeCell ref="J494:L494"/>
    <mergeCell ref="A513:L513"/>
    <mergeCell ref="A514:C514"/>
    <mergeCell ref="D514:L514"/>
    <mergeCell ref="A518:C518"/>
    <mergeCell ref="D518:L518"/>
    <mergeCell ref="A519:C519"/>
    <mergeCell ref="D519:L519"/>
    <mergeCell ref="A520:C520"/>
    <mergeCell ref="D520:L520"/>
    <mergeCell ref="A515:C515"/>
    <mergeCell ref="D515:L515"/>
    <mergeCell ref="A516:C516"/>
    <mergeCell ref="D516:L516"/>
    <mergeCell ref="A488:L488"/>
    <mergeCell ref="C489:D489"/>
    <mergeCell ref="J489:L489"/>
    <mergeCell ref="B490:D490"/>
    <mergeCell ref="I490:J490"/>
    <mergeCell ref="K490:L490"/>
    <mergeCell ref="B482:D482"/>
    <mergeCell ref="F484:F485"/>
    <mergeCell ref="G484:J484"/>
    <mergeCell ref="B485:D485"/>
    <mergeCell ref="G485:J485"/>
    <mergeCell ref="C479:D479"/>
    <mergeCell ref="J479:L479"/>
    <mergeCell ref="B480:D480"/>
    <mergeCell ref="G480:H480"/>
    <mergeCell ref="K480:L480"/>
    <mergeCell ref="B481:D481"/>
    <mergeCell ref="B475:D475"/>
    <mergeCell ref="I475:J475"/>
    <mergeCell ref="I476:J476"/>
    <mergeCell ref="B477:D477"/>
    <mergeCell ref="A478:L478"/>
    <mergeCell ref="B473:D473"/>
    <mergeCell ref="I473:J473"/>
    <mergeCell ref="K473:L473"/>
    <mergeCell ref="B474:D474"/>
    <mergeCell ref="I474:J474"/>
    <mergeCell ref="B469:D469"/>
    <mergeCell ref="I469:J469"/>
    <mergeCell ref="A471:L471"/>
    <mergeCell ref="C472:D472"/>
    <mergeCell ref="J472:L472"/>
    <mergeCell ref="A470:E470"/>
    <mergeCell ref="B458:D458"/>
    <mergeCell ref="I458:J458"/>
    <mergeCell ref="K458:L458"/>
    <mergeCell ref="A466:L466"/>
    <mergeCell ref="C467:D467"/>
    <mergeCell ref="J467:L467"/>
    <mergeCell ref="B468:D468"/>
    <mergeCell ref="I468:J468"/>
    <mergeCell ref="K468:L468"/>
    <mergeCell ref="B463:D463"/>
    <mergeCell ref="I463:J463"/>
    <mergeCell ref="K463:L463"/>
    <mergeCell ref="B464:D464"/>
    <mergeCell ref="I464:J464"/>
    <mergeCell ref="B465:D465"/>
    <mergeCell ref="B459:D459"/>
    <mergeCell ref="I459:J459"/>
    <mergeCell ref="B460:D460"/>
    <mergeCell ref="A461:L461"/>
    <mergeCell ref="C462:D462"/>
    <mergeCell ref="J462:L462"/>
    <mergeCell ref="C442:D442"/>
    <mergeCell ref="J442:L442"/>
    <mergeCell ref="B443:D443"/>
    <mergeCell ref="I443:J443"/>
    <mergeCell ref="K443:L443"/>
    <mergeCell ref="C457:D457"/>
    <mergeCell ref="J457:L457"/>
    <mergeCell ref="B454:D454"/>
    <mergeCell ref="I454:J454"/>
    <mergeCell ref="A456:L456"/>
    <mergeCell ref="B450:D450"/>
    <mergeCell ref="A451:L451"/>
    <mergeCell ref="C452:D452"/>
    <mergeCell ref="J452:L452"/>
    <mergeCell ref="B453:D453"/>
    <mergeCell ref="C447:D447"/>
    <mergeCell ref="J447:L447"/>
    <mergeCell ref="B448:D448"/>
    <mergeCell ref="I448:J448"/>
    <mergeCell ref="K448:L448"/>
    <mergeCell ref="B449:D449"/>
    <mergeCell ref="I449:J449"/>
    <mergeCell ref="B444:D444"/>
    <mergeCell ref="I444:J444"/>
    <mergeCell ref="B445:D445"/>
    <mergeCell ref="A446:L446"/>
    <mergeCell ref="I453:J453"/>
    <mergeCell ref="F437:F438"/>
    <mergeCell ref="G437:J437"/>
    <mergeCell ref="G438:J438"/>
    <mergeCell ref="B431:D431"/>
    <mergeCell ref="I431:J431"/>
    <mergeCell ref="B432:D432"/>
    <mergeCell ref="A433:L433"/>
    <mergeCell ref="C434:D434"/>
    <mergeCell ref="J434:L434"/>
    <mergeCell ref="C409:D409"/>
    <mergeCell ref="J409:L409"/>
    <mergeCell ref="G427:H427"/>
    <mergeCell ref="A413:D415"/>
    <mergeCell ref="A411:B411"/>
    <mergeCell ref="A412:B412"/>
    <mergeCell ref="C411:D411"/>
    <mergeCell ref="C410:D410"/>
    <mergeCell ref="A418:B418"/>
    <mergeCell ref="C418:D418"/>
    <mergeCell ref="A419:B419"/>
    <mergeCell ref="A420:B420"/>
    <mergeCell ref="C419:D419"/>
    <mergeCell ref="C420:D420"/>
    <mergeCell ref="A425:D427"/>
    <mergeCell ref="A421:B421"/>
    <mergeCell ref="A422:B422"/>
    <mergeCell ref="A423:B423"/>
    <mergeCell ref="A424:B424"/>
    <mergeCell ref="C421:D421"/>
    <mergeCell ref="C422:D422"/>
    <mergeCell ref="C423:D423"/>
    <mergeCell ref="C424:D424"/>
    <mergeCell ref="A380:L380"/>
    <mergeCell ref="J381:L381"/>
    <mergeCell ref="A375:L375"/>
    <mergeCell ref="C376:D376"/>
    <mergeCell ref="J376:L376"/>
    <mergeCell ref="B378:D378"/>
    <mergeCell ref="I378:J378"/>
    <mergeCell ref="B379:D379"/>
    <mergeCell ref="B10:D10"/>
    <mergeCell ref="B11:D11"/>
    <mergeCell ref="B12:D12"/>
    <mergeCell ref="B13:D13"/>
    <mergeCell ref="B14:D14"/>
    <mergeCell ref="B15:D15"/>
    <mergeCell ref="B16:D16"/>
    <mergeCell ref="B17:D17"/>
    <mergeCell ref="B18:D18"/>
    <mergeCell ref="B19:D19"/>
    <mergeCell ref="B20:D20"/>
    <mergeCell ref="B21:D21"/>
    <mergeCell ref="B22:D22"/>
    <mergeCell ref="I353:J353"/>
    <mergeCell ref="A372:C372"/>
    <mergeCell ref="D372:L372"/>
    <mergeCell ref="J356:L356"/>
    <mergeCell ref="I357:J357"/>
    <mergeCell ref="K357:L357"/>
    <mergeCell ref="A373:C373"/>
    <mergeCell ref="D373:L373"/>
    <mergeCell ref="A374:C374"/>
    <mergeCell ref="D374:L374"/>
    <mergeCell ref="A369:C369"/>
    <mergeCell ref="A371:C371"/>
    <mergeCell ref="D371:L371"/>
    <mergeCell ref="A1:L1"/>
    <mergeCell ref="A2:L2"/>
    <mergeCell ref="A4:L4"/>
    <mergeCell ref="A5:L5"/>
    <mergeCell ref="B348:D348"/>
    <mergeCell ref="I348:J348"/>
    <mergeCell ref="B349:D349"/>
    <mergeCell ref="A350:L350"/>
    <mergeCell ref="C351:D351"/>
    <mergeCell ref="J351:L351"/>
    <mergeCell ref="A6:L6"/>
    <mergeCell ref="C346:D346"/>
    <mergeCell ref="J346:L346"/>
    <mergeCell ref="B347:D347"/>
    <mergeCell ref="I347:J347"/>
    <mergeCell ref="K347:L347"/>
    <mergeCell ref="B35:D35"/>
    <mergeCell ref="B36:D36"/>
    <mergeCell ref="G168:H168"/>
    <mergeCell ref="G185:H185"/>
    <mergeCell ref="B37:D37"/>
    <mergeCell ref="B38:D38"/>
    <mergeCell ref="J319:L319"/>
    <mergeCell ref="A322:L322"/>
    <mergeCell ref="A129:L129"/>
    <mergeCell ref="C130:D130"/>
    <mergeCell ref="J130:L130"/>
    <mergeCell ref="K185:L185"/>
    <mergeCell ref="B186:D186"/>
    <mergeCell ref="J217:L217"/>
    <mergeCell ref="C7:D7"/>
    <mergeCell ref="J7:L7"/>
    <mergeCell ref="B8:D8"/>
    <mergeCell ref="B9:D9"/>
    <mergeCell ref="D579:L579"/>
    <mergeCell ref="A663:L663"/>
    <mergeCell ref="A715:L715"/>
    <mergeCell ref="B110:D110"/>
    <mergeCell ref="A549:C549"/>
    <mergeCell ref="D549:L549"/>
    <mergeCell ref="C117:D117"/>
    <mergeCell ref="A116:L116"/>
    <mergeCell ref="J117:L117"/>
    <mergeCell ref="B52:D52"/>
    <mergeCell ref="B111:D111"/>
    <mergeCell ref="C74:D74"/>
    <mergeCell ref="J74:L74"/>
    <mergeCell ref="B53:D53"/>
    <mergeCell ref="B54:D54"/>
    <mergeCell ref="B55:D55"/>
    <mergeCell ref="B357:D357"/>
    <mergeCell ref="G357:H357"/>
    <mergeCell ref="B105:D105"/>
    <mergeCell ref="B106:D106"/>
    <mergeCell ref="B76:D76"/>
    <mergeCell ref="B77:D77"/>
    <mergeCell ref="B78:D78"/>
    <mergeCell ref="B79:D79"/>
    <mergeCell ref="B80:D80"/>
    <mergeCell ref="D369:L369"/>
    <mergeCell ref="A370:C370"/>
    <mergeCell ref="D370:L370"/>
    <mergeCell ref="A716:C716"/>
    <mergeCell ref="D716:L716"/>
    <mergeCell ref="A717:C717"/>
    <mergeCell ref="D575:L575"/>
    <mergeCell ref="B566:D566"/>
    <mergeCell ref="F567:F568"/>
    <mergeCell ref="G567:J567"/>
    <mergeCell ref="G568:J568"/>
    <mergeCell ref="A571:L571"/>
    <mergeCell ref="A572:C572"/>
    <mergeCell ref="D572:L572"/>
    <mergeCell ref="B611:D611"/>
    <mergeCell ref="I611:J611"/>
    <mergeCell ref="B612:D612"/>
    <mergeCell ref="I612:J612"/>
    <mergeCell ref="B613:D613"/>
    <mergeCell ref="I613:J613"/>
    <mergeCell ref="C605:D605"/>
    <mergeCell ref="J605:L605"/>
    <mergeCell ref="G587:H587"/>
    <mergeCell ref="B594:D594"/>
    <mergeCell ref="G594:H594"/>
    <mergeCell ref="D577:L577"/>
    <mergeCell ref="G646:H646"/>
    <mergeCell ref="A647:L647"/>
    <mergeCell ref="I607:J607"/>
    <mergeCell ref="B608:D608"/>
    <mergeCell ref="I608:J608"/>
    <mergeCell ref="B609:D609"/>
    <mergeCell ref="A579:C579"/>
    <mergeCell ref="A668:L668"/>
    <mergeCell ref="A680:L680"/>
    <mergeCell ref="B2654:D2654"/>
    <mergeCell ref="I2654:J2654"/>
    <mergeCell ref="I2655:J2655"/>
    <mergeCell ref="B2657:D2657"/>
    <mergeCell ref="C2659:D2659"/>
    <mergeCell ref="J2659:L2659"/>
    <mergeCell ref="A2658:L2658"/>
    <mergeCell ref="A2735:L2735"/>
    <mergeCell ref="A2736:C2736"/>
    <mergeCell ref="B2668:D2668"/>
    <mergeCell ref="I2668:J2668"/>
    <mergeCell ref="B2665:D2665"/>
    <mergeCell ref="F2666:F2667"/>
    <mergeCell ref="G2666:J2666"/>
    <mergeCell ref="G2667:J2667"/>
    <mergeCell ref="B2660:D2660"/>
    <mergeCell ref="G2660:H2660"/>
    <mergeCell ref="K2660:L2660"/>
    <mergeCell ref="A2672:C2672"/>
    <mergeCell ref="D2672:L2672"/>
    <mergeCell ref="A2679:C2679"/>
    <mergeCell ref="D2679:L2679"/>
    <mergeCell ref="B2707:D2707"/>
    <mergeCell ref="I2707:J2707"/>
    <mergeCell ref="B2727:D2727"/>
    <mergeCell ref="B2728:D2728"/>
    <mergeCell ref="B2708:D2708"/>
    <mergeCell ref="C2710:D2710"/>
    <mergeCell ref="B2706:D2706"/>
    <mergeCell ref="I2706:J2706"/>
    <mergeCell ref="K2706:L2706"/>
    <mergeCell ref="A2673:C2673"/>
    <mergeCell ref="B85:D85"/>
    <mergeCell ref="C89:D89"/>
    <mergeCell ref="J89:L89"/>
    <mergeCell ref="B90:D90"/>
    <mergeCell ref="B91:D91"/>
    <mergeCell ref="B92:D92"/>
    <mergeCell ref="B93:D93"/>
    <mergeCell ref="B94:D94"/>
    <mergeCell ref="A88:L88"/>
    <mergeCell ref="A47:L47"/>
    <mergeCell ref="C48:D48"/>
    <mergeCell ref="J48:L48"/>
    <mergeCell ref="B75:D75"/>
    <mergeCell ref="B56:D56"/>
    <mergeCell ref="B57:D57"/>
    <mergeCell ref="B58:D58"/>
    <mergeCell ref="B59:D59"/>
    <mergeCell ref="B60:D60"/>
    <mergeCell ref="B61:D61"/>
    <mergeCell ref="B62:D62"/>
    <mergeCell ref="B63:D63"/>
    <mergeCell ref="B64:D64"/>
    <mergeCell ref="A66:D72"/>
    <mergeCell ref="F67:G69"/>
    <mergeCell ref="A73:L73"/>
    <mergeCell ref="B49:D49"/>
    <mergeCell ref="B50:D50"/>
    <mergeCell ref="B51:D51"/>
    <mergeCell ref="B23:D23"/>
    <mergeCell ref="B24:D24"/>
    <mergeCell ref="A26:L26"/>
    <mergeCell ref="C27:D27"/>
    <mergeCell ref="J27:L27"/>
    <mergeCell ref="B28:D28"/>
    <mergeCell ref="B29:D29"/>
    <mergeCell ref="B30:D30"/>
    <mergeCell ref="B31:D31"/>
    <mergeCell ref="B32:D32"/>
    <mergeCell ref="B33:D33"/>
    <mergeCell ref="B34:D34"/>
    <mergeCell ref="B39:D39"/>
    <mergeCell ref="B40:D40"/>
    <mergeCell ref="B41:D41"/>
    <mergeCell ref="B42:D42"/>
    <mergeCell ref="B43:D43"/>
    <mergeCell ref="A3:L3"/>
    <mergeCell ref="A405:C405"/>
    <mergeCell ref="D405:L405"/>
    <mergeCell ref="A148:L148"/>
    <mergeCell ref="C149:D149"/>
    <mergeCell ref="J149:L149"/>
    <mergeCell ref="B167:D167"/>
    <mergeCell ref="B168:D168"/>
    <mergeCell ref="B131:D131"/>
    <mergeCell ref="C134:D134"/>
    <mergeCell ref="J134:L134"/>
    <mergeCell ref="C213:D213"/>
    <mergeCell ref="C237:D237"/>
    <mergeCell ref="J237:L237"/>
    <mergeCell ref="B215:D215"/>
    <mergeCell ref="B227:D227"/>
    <mergeCell ref="B228:D228"/>
    <mergeCell ref="A201:L201"/>
    <mergeCell ref="J213:L213"/>
    <mergeCell ref="A400:C400"/>
    <mergeCell ref="G131:H131"/>
    <mergeCell ref="K131:L131"/>
    <mergeCell ref="B132:D132"/>
    <mergeCell ref="G132:H132"/>
    <mergeCell ref="G150:H150"/>
    <mergeCell ref="K150:L150"/>
    <mergeCell ref="G151:H151"/>
    <mergeCell ref="J166:L166"/>
    <mergeCell ref="B104:D104"/>
    <mergeCell ref="A96:E99"/>
    <mergeCell ref="F97:G99"/>
    <mergeCell ref="J170:L170"/>
    <mergeCell ref="C319:D319"/>
    <mergeCell ref="B352:D352"/>
    <mergeCell ref="I352:J352"/>
    <mergeCell ref="K352:L352"/>
    <mergeCell ref="B353:D353"/>
    <mergeCell ref="B377:D377"/>
    <mergeCell ref="I377:J377"/>
    <mergeCell ref="K377:L377"/>
    <mergeCell ref="B364:D364"/>
    <mergeCell ref="A367:C367"/>
    <mergeCell ref="D367:L367"/>
    <mergeCell ref="A368:C368"/>
    <mergeCell ref="G363:J363"/>
    <mergeCell ref="B44:D44"/>
    <mergeCell ref="B45:D45"/>
    <mergeCell ref="B358:D358"/>
    <mergeCell ref="G358:H358"/>
    <mergeCell ref="B185:D185"/>
    <mergeCell ref="A187:L187"/>
    <mergeCell ref="C188:D188"/>
    <mergeCell ref="J188:L188"/>
    <mergeCell ref="B107:D107"/>
    <mergeCell ref="B108:D108"/>
    <mergeCell ref="B109:D109"/>
    <mergeCell ref="A101:L101"/>
    <mergeCell ref="C102:D102"/>
    <mergeCell ref="J102:L102"/>
    <mergeCell ref="B103:D103"/>
    <mergeCell ref="B81:D81"/>
    <mergeCell ref="B82:D82"/>
    <mergeCell ref="B83:D83"/>
    <mergeCell ref="B84:D84"/>
    <mergeCell ref="B430:D430"/>
    <mergeCell ref="I430:J430"/>
    <mergeCell ref="K430:L430"/>
    <mergeCell ref="K453:L453"/>
    <mergeCell ref="C417:D417"/>
    <mergeCell ref="J417:L417"/>
    <mergeCell ref="A428:L428"/>
    <mergeCell ref="A406:C406"/>
    <mergeCell ref="A407:C407"/>
    <mergeCell ref="D406:L406"/>
    <mergeCell ref="D407:L407"/>
    <mergeCell ref="B435:D435"/>
    <mergeCell ref="G435:H435"/>
    <mergeCell ref="C202:D202"/>
    <mergeCell ref="J202:L202"/>
    <mergeCell ref="D399:L399"/>
    <mergeCell ref="A416:L416"/>
    <mergeCell ref="B392:D392"/>
    <mergeCell ref="B393:D393"/>
    <mergeCell ref="B394:D394"/>
    <mergeCell ref="A294:L294"/>
    <mergeCell ref="C307:D307"/>
    <mergeCell ref="J307:L307"/>
    <mergeCell ref="A318:L318"/>
    <mergeCell ref="C323:D323"/>
    <mergeCell ref="J323:L323"/>
    <mergeCell ref="C295:D295"/>
    <mergeCell ref="J295:L295"/>
    <mergeCell ref="A298:L298"/>
    <mergeCell ref="A306:L306"/>
    <mergeCell ref="C299:D299"/>
    <mergeCell ref="J299:L299"/>
    <mergeCell ref="A616:L616"/>
    <mergeCell ref="B586:D586"/>
    <mergeCell ref="G586:H586"/>
    <mergeCell ref="K586:L586"/>
    <mergeCell ref="B587:D587"/>
    <mergeCell ref="G650:H650"/>
    <mergeCell ref="C622:D622"/>
    <mergeCell ref="J622:L622"/>
    <mergeCell ref="B644:D644"/>
    <mergeCell ref="G644:H644"/>
    <mergeCell ref="A702:L702"/>
    <mergeCell ref="K594:L594"/>
    <mergeCell ref="I609:J609"/>
    <mergeCell ref="B354:D354"/>
    <mergeCell ref="A366:L366"/>
    <mergeCell ref="C561:D561"/>
    <mergeCell ref="A576:C576"/>
    <mergeCell ref="D576:L576"/>
    <mergeCell ref="B558:D558"/>
    <mergeCell ref="A545:C545"/>
    <mergeCell ref="D545:L545"/>
    <mergeCell ref="I558:J558"/>
    <mergeCell ref="B559:D559"/>
    <mergeCell ref="A560:L560"/>
    <mergeCell ref="A402:C402"/>
    <mergeCell ref="D402:L402"/>
    <mergeCell ref="A403:C403"/>
    <mergeCell ref="D403:L403"/>
    <mergeCell ref="A404:C404"/>
    <mergeCell ref="D404:L404"/>
    <mergeCell ref="C429:D429"/>
    <mergeCell ref="J429:L429"/>
    <mergeCell ref="B1549:D1549"/>
    <mergeCell ref="B1550:D1550"/>
    <mergeCell ref="F1551:F1552"/>
    <mergeCell ref="G1551:J1551"/>
    <mergeCell ref="G1552:J1552"/>
    <mergeCell ref="B1571:D1571"/>
    <mergeCell ref="F1572:F1573"/>
    <mergeCell ref="I659:J659"/>
    <mergeCell ref="B660:D660"/>
    <mergeCell ref="D1517:L1517"/>
    <mergeCell ref="A1272:L1272"/>
    <mergeCell ref="A1277:C1277"/>
    <mergeCell ref="D1277:L1277"/>
    <mergeCell ref="A1278:C1278"/>
    <mergeCell ref="D1278:L1278"/>
    <mergeCell ref="B1161:D1161"/>
    <mergeCell ref="B1162:D1162"/>
    <mergeCell ref="B1154:D1154"/>
    <mergeCell ref="G1154:H1154"/>
    <mergeCell ref="K1154:L1154"/>
    <mergeCell ref="B1155:D1155"/>
    <mergeCell ref="B1156:D1156"/>
    <mergeCell ref="B1157:D1157"/>
    <mergeCell ref="B1148:D1148"/>
    <mergeCell ref="B1149:D1149"/>
    <mergeCell ref="C1153:D1153"/>
    <mergeCell ref="J1153:L1153"/>
    <mergeCell ref="B1173:D1173"/>
    <mergeCell ref="B1174:D1174"/>
    <mergeCell ref="A1152:L1152"/>
    <mergeCell ref="A1167:L1167"/>
    <mergeCell ref="A1190:L1190"/>
    <mergeCell ref="A1953:L1953"/>
    <mergeCell ref="A1973:L1973"/>
    <mergeCell ref="B1625:D1625"/>
    <mergeCell ref="B1644:D1644"/>
    <mergeCell ref="A1551:D1552"/>
    <mergeCell ref="A1553:D1554"/>
    <mergeCell ref="I1590:J1590"/>
    <mergeCell ref="B1163:D1163"/>
    <mergeCell ref="B1164:D1164"/>
    <mergeCell ref="A1518:C1518"/>
    <mergeCell ref="D1518:L1518"/>
    <mergeCell ref="A1519:C1519"/>
    <mergeCell ref="D1519:L1519"/>
    <mergeCell ref="A1520:C1520"/>
    <mergeCell ref="D1520:L1520"/>
    <mergeCell ref="A1521:C1521"/>
    <mergeCell ref="D1521:L1521"/>
    <mergeCell ref="A1577:L1577"/>
    <mergeCell ref="A1582:C1582"/>
    <mergeCell ref="D1582:L1582"/>
    <mergeCell ref="A1583:C1583"/>
    <mergeCell ref="D1583:L1583"/>
    <mergeCell ref="A1584:C1584"/>
    <mergeCell ref="D1584:L1584"/>
    <mergeCell ref="B1528:D1528"/>
    <mergeCell ref="B1529:D1529"/>
    <mergeCell ref="C1533:D1533"/>
    <mergeCell ref="J1533:L1533"/>
    <mergeCell ref="J1556:L1556"/>
    <mergeCell ref="B1557:D1557"/>
    <mergeCell ref="I1557:J1557"/>
    <mergeCell ref="K1557:L1557"/>
    <mergeCell ref="J2094:L2094"/>
    <mergeCell ref="G2095:H2095"/>
    <mergeCell ref="B2095:D2095"/>
    <mergeCell ref="B2073:D2073"/>
    <mergeCell ref="B2074:D2074"/>
    <mergeCell ref="B2075:D2075"/>
    <mergeCell ref="B2076:D2076"/>
    <mergeCell ref="A1539:D1540"/>
    <mergeCell ref="B1544:D1544"/>
    <mergeCell ref="B1545:D1545"/>
    <mergeCell ref="B1546:D1546"/>
    <mergeCell ref="B1547:D1547"/>
    <mergeCell ref="C1561:D1561"/>
    <mergeCell ref="J1561:L1561"/>
    <mergeCell ref="C1556:D1556"/>
    <mergeCell ref="B2049:D2049"/>
    <mergeCell ref="B2050:D2050"/>
    <mergeCell ref="B2051:D2051"/>
    <mergeCell ref="B2052:D2052"/>
    <mergeCell ref="K2037:L2037"/>
    <mergeCell ref="B2038:D2038"/>
    <mergeCell ref="B2039:D2039"/>
    <mergeCell ref="A1773:C1773"/>
    <mergeCell ref="D1773:L1773"/>
    <mergeCell ref="A1774:C1774"/>
    <mergeCell ref="D1774:L1774"/>
    <mergeCell ref="C1796:D1796"/>
    <mergeCell ref="J1796:L1796"/>
    <mergeCell ref="B1616:D1616"/>
    <mergeCell ref="A1915:L1915"/>
    <mergeCell ref="A1929:L1929"/>
    <mergeCell ref="A1939:L1939"/>
    <mergeCell ref="B2138:D2138"/>
    <mergeCell ref="F2116:F2117"/>
    <mergeCell ref="G2116:J2116"/>
    <mergeCell ref="G2117:J2117"/>
    <mergeCell ref="C2122:D2122"/>
    <mergeCell ref="B2112:D2112"/>
    <mergeCell ref="B2113:D2113"/>
    <mergeCell ref="B2114:D2114"/>
    <mergeCell ref="J2122:L2122"/>
    <mergeCell ref="B2105:D2105"/>
    <mergeCell ref="B2133:D2133"/>
    <mergeCell ref="I2157:J2157"/>
    <mergeCell ref="J2150:L2150"/>
    <mergeCell ref="B2151:D2151"/>
    <mergeCell ref="B2202:D2202"/>
    <mergeCell ref="F2053:F2054"/>
    <mergeCell ref="G2053:J2053"/>
    <mergeCell ref="G2054:J2054"/>
    <mergeCell ref="B2098:D2098"/>
    <mergeCell ref="B2099:D2099"/>
    <mergeCell ref="B2100:D2100"/>
    <mergeCell ref="B2087:D2087"/>
    <mergeCell ref="F2088:F2089"/>
    <mergeCell ref="G2088:J2088"/>
    <mergeCell ref="G2089:J2089"/>
    <mergeCell ref="B2091:D2091"/>
    <mergeCell ref="C2094:D2094"/>
    <mergeCell ref="A2093:L2093"/>
    <mergeCell ref="B2085:D2085"/>
    <mergeCell ref="B2086:D2086"/>
    <mergeCell ref="B2072:D2072"/>
    <mergeCell ref="C2083:D2083"/>
    <mergeCell ref="F2057:I2057"/>
    <mergeCell ref="F2069:I2069"/>
    <mergeCell ref="F2081:I2081"/>
    <mergeCell ref="F2092:I2092"/>
    <mergeCell ref="F2120:I2120"/>
    <mergeCell ref="F2135:I2135"/>
    <mergeCell ref="G2072:H2072"/>
    <mergeCell ref="K2072:L2072"/>
    <mergeCell ref="B2061:D2061"/>
    <mergeCell ref="B2062:D2062"/>
    <mergeCell ref="F2131:F2132"/>
    <mergeCell ref="G2131:J2131"/>
    <mergeCell ref="G2132:J2132"/>
    <mergeCell ref="B2123:D2123"/>
    <mergeCell ref="G2123:H2123"/>
    <mergeCell ref="K2123:L2123"/>
    <mergeCell ref="B2110:D2110"/>
    <mergeCell ref="G2110:H2110"/>
    <mergeCell ref="B2067:D2067"/>
    <mergeCell ref="C2071:D2071"/>
    <mergeCell ref="A2070:L2070"/>
    <mergeCell ref="F2077:F2078"/>
    <mergeCell ref="G2077:J2077"/>
    <mergeCell ref="G2078:J2078"/>
    <mergeCell ref="A2082:L2082"/>
    <mergeCell ref="B2079:E2079"/>
    <mergeCell ref="B2125:D2125"/>
    <mergeCell ref="B2126:D2126"/>
    <mergeCell ref="J2083:L2083"/>
    <mergeCell ref="B2084:D2084"/>
    <mergeCell ref="G2084:H2084"/>
    <mergeCell ref="K2084:L2084"/>
    <mergeCell ref="A2121:L2121"/>
    <mergeCell ref="G2104:J2104"/>
    <mergeCell ref="B2096:D2096"/>
    <mergeCell ref="B2101:D2101"/>
    <mergeCell ref="J2394:L2394"/>
    <mergeCell ref="B2395:D2395"/>
    <mergeCell ref="G2395:H2395"/>
    <mergeCell ref="K2395:L2395"/>
    <mergeCell ref="A2108:L2108"/>
    <mergeCell ref="J2071:L2071"/>
    <mergeCell ref="K2095:L2095"/>
    <mergeCell ref="B2152:D2152"/>
    <mergeCell ref="I2152:J2152"/>
    <mergeCell ref="B2153:D2153"/>
    <mergeCell ref="A2149:L2149"/>
    <mergeCell ref="C2155:D2155"/>
    <mergeCell ref="J2155:L2155"/>
    <mergeCell ref="G2144:J2144"/>
    <mergeCell ref="G2145:J2145"/>
    <mergeCell ref="C2150:D2150"/>
    <mergeCell ref="B2143:D2143"/>
    <mergeCell ref="F2144:F2145"/>
    <mergeCell ref="A2154:L2154"/>
    <mergeCell ref="B2097:D2097"/>
    <mergeCell ref="G2103:J2103"/>
    <mergeCell ref="A2305:L2305"/>
    <mergeCell ref="A2234:C2234"/>
    <mergeCell ref="D2234:L2234"/>
    <mergeCell ref="B2160:D2160"/>
    <mergeCell ref="A2136:L2136"/>
    <mergeCell ref="C2137:D2137"/>
    <mergeCell ref="J2137:L2137"/>
    <mergeCell ref="B2489:D2489"/>
    <mergeCell ref="B2462:D2462"/>
    <mergeCell ref="B2063:D2063"/>
    <mergeCell ref="B2463:D2463"/>
    <mergeCell ref="B2464:D2464"/>
    <mergeCell ref="A2449:C2449"/>
    <mergeCell ref="D2449:L2449"/>
    <mergeCell ref="A2450:C2450"/>
    <mergeCell ref="D2450:L2450"/>
    <mergeCell ref="A2451:C2451"/>
    <mergeCell ref="D2451:L2451"/>
    <mergeCell ref="A2442:L2442"/>
    <mergeCell ref="A2444:C2444"/>
    <mergeCell ref="D2444:L2444"/>
    <mergeCell ref="A2445:C2445"/>
    <mergeCell ref="D2445:L2445"/>
    <mergeCell ref="A2446:C2446"/>
    <mergeCell ref="K2422:L2422"/>
    <mergeCell ref="B2111:D2111"/>
    <mergeCell ref="B2115:D2115"/>
    <mergeCell ref="B2488:D2488"/>
    <mergeCell ref="B2487:D2487"/>
    <mergeCell ref="A2480:C2480"/>
    <mergeCell ref="C2394:D2394"/>
    <mergeCell ref="B2102:D2102"/>
    <mergeCell ref="A2482:L2482"/>
    <mergeCell ref="K2110:L2110"/>
    <mergeCell ref="B2119:D2119"/>
    <mergeCell ref="B2134:D2134"/>
    <mergeCell ref="B2124:D2124"/>
    <mergeCell ref="C2109:D2109"/>
    <mergeCell ref="J2109:L2109"/>
    <mergeCell ref="B2629:D2629"/>
    <mergeCell ref="G2629:H2629"/>
    <mergeCell ref="I2629:J2629"/>
    <mergeCell ref="K2629:L2629"/>
    <mergeCell ref="D2505:L2505"/>
    <mergeCell ref="A2506:C2506"/>
    <mergeCell ref="D2506:L2506"/>
    <mergeCell ref="G2514:H2514"/>
    <mergeCell ref="K2514:L2514"/>
    <mergeCell ref="A2507:C2507"/>
    <mergeCell ref="D2507:L2507"/>
    <mergeCell ref="J2513:L2513"/>
    <mergeCell ref="A2516:L2516"/>
    <mergeCell ref="K2555:L2555"/>
    <mergeCell ref="G2550:H2550"/>
    <mergeCell ref="A2547:L2547"/>
    <mergeCell ref="C2548:D2548"/>
    <mergeCell ref="J2548:L2548"/>
    <mergeCell ref="B2549:D2549"/>
    <mergeCell ref="G2549:H2549"/>
    <mergeCell ref="A2539:L2539"/>
    <mergeCell ref="B2603:D2603"/>
    <mergeCell ref="G2603:H2603"/>
    <mergeCell ref="K2603:L2603"/>
    <mergeCell ref="A2560:L2560"/>
    <mergeCell ref="C2562:D2562"/>
    <mergeCell ref="J2562:L2562"/>
    <mergeCell ref="A2552:L2552"/>
    <mergeCell ref="C2540:D2540"/>
    <mergeCell ref="B2541:D2541"/>
    <mergeCell ref="B2542:D2542"/>
    <mergeCell ref="J2544:L2544"/>
    <mergeCell ref="B2598:D2598"/>
    <mergeCell ref="B2577:D2577"/>
    <mergeCell ref="F2497:F2498"/>
    <mergeCell ref="G2497:J2497"/>
    <mergeCell ref="G2498:J2498"/>
    <mergeCell ref="A2512:L2512"/>
    <mergeCell ref="B2514:D2514"/>
    <mergeCell ref="C2513:D2513"/>
    <mergeCell ref="B2519:D2519"/>
    <mergeCell ref="I2519:J2519"/>
    <mergeCell ref="B2534:D2534"/>
    <mergeCell ref="I2534:J2534"/>
    <mergeCell ref="B2535:D2535"/>
    <mergeCell ref="I2535:J2535"/>
    <mergeCell ref="K2549:L2549"/>
    <mergeCell ref="A2553:L2553"/>
    <mergeCell ref="B2546:D2546"/>
    <mergeCell ref="G2546:H2546"/>
    <mergeCell ref="B2545:D2545"/>
    <mergeCell ref="G2545:H2545"/>
    <mergeCell ref="K2545:L2545"/>
    <mergeCell ref="G2524:H2524"/>
    <mergeCell ref="I2524:J2524"/>
    <mergeCell ref="B2528:D2528"/>
    <mergeCell ref="K2524:L2524"/>
    <mergeCell ref="B2536:D2536"/>
    <mergeCell ref="I2536:J2536"/>
    <mergeCell ref="B2537:D2537"/>
    <mergeCell ref="B2538:D2538"/>
    <mergeCell ref="B2533:D2533"/>
    <mergeCell ref="I2533:J2533"/>
    <mergeCell ref="B2559:D2559"/>
    <mergeCell ref="J2523:L2523"/>
    <mergeCell ref="A2561:L2561"/>
    <mergeCell ref="J2628:L2628"/>
    <mergeCell ref="B2621:D2621"/>
    <mergeCell ref="A2502:L2502"/>
    <mergeCell ref="A2503:C2503"/>
    <mergeCell ref="D2503:L2503"/>
    <mergeCell ref="A2511:C2511"/>
    <mergeCell ref="D2511:L2511"/>
    <mergeCell ref="A2478:C2478"/>
    <mergeCell ref="D2478:L2478"/>
    <mergeCell ref="A2479:C2479"/>
    <mergeCell ref="D2479:L2479"/>
    <mergeCell ref="C2517:D2517"/>
    <mergeCell ref="J2517:L2517"/>
    <mergeCell ref="G2484:H2484"/>
    <mergeCell ref="K2484:L2484"/>
    <mergeCell ref="B2485:D2485"/>
    <mergeCell ref="B2486:D2486"/>
    <mergeCell ref="B2495:D2495"/>
    <mergeCell ref="B2496:D2496"/>
    <mergeCell ref="B2490:D2490"/>
    <mergeCell ref="B2491:D2491"/>
    <mergeCell ref="B2484:D2484"/>
    <mergeCell ref="B2494:D2494"/>
    <mergeCell ref="B2492:D2492"/>
    <mergeCell ref="B2493:D2493"/>
    <mergeCell ref="B2556:D2556"/>
    <mergeCell ref="B2557:D2557"/>
    <mergeCell ref="B2620:D2620"/>
    <mergeCell ref="B2596:D2596"/>
    <mergeCell ref="B2597:D2597"/>
    <mergeCell ref="I2924:J2924"/>
    <mergeCell ref="B2945:D2945"/>
    <mergeCell ref="I2945:J2945"/>
    <mergeCell ref="B2946:D2946"/>
    <mergeCell ref="C2943:D2943"/>
    <mergeCell ref="J2943:L2943"/>
    <mergeCell ref="B2944:D2944"/>
    <mergeCell ref="B2518:D2518"/>
    <mergeCell ref="G2518:H2518"/>
    <mergeCell ref="I2518:J2518"/>
    <mergeCell ref="K2518:L2518"/>
    <mergeCell ref="A2504:C2504"/>
    <mergeCell ref="D2504:L2504"/>
    <mergeCell ref="A2505:C2505"/>
    <mergeCell ref="B2934:D2934"/>
    <mergeCell ref="A2866:C2866"/>
    <mergeCell ref="D2866:L2866"/>
    <mergeCell ref="A2867:C2867"/>
    <mergeCell ref="B2893:D2893"/>
    <mergeCell ref="G2893:J2893"/>
    <mergeCell ref="A2508:C2508"/>
    <mergeCell ref="D2508:L2508"/>
    <mergeCell ref="A2509:C2509"/>
    <mergeCell ref="D2509:L2509"/>
    <mergeCell ref="A2510:C2510"/>
    <mergeCell ref="D2510:L2510"/>
    <mergeCell ref="B2520:D2520"/>
    <mergeCell ref="I2520:J2520"/>
    <mergeCell ref="B2521:D2521"/>
    <mergeCell ref="A2522:L2522"/>
    <mergeCell ref="B2631:D2631"/>
    <mergeCell ref="C2523:D2523"/>
    <mergeCell ref="G4561:H4561"/>
    <mergeCell ref="A4344:C4344"/>
    <mergeCell ref="B3086:D3086"/>
    <mergeCell ref="C3088:D3088"/>
    <mergeCell ref="A3153:C3153"/>
    <mergeCell ref="G3191:H3191"/>
    <mergeCell ref="F3236:F3237"/>
    <mergeCell ref="G3028:J3028"/>
    <mergeCell ref="G2882:J2882"/>
    <mergeCell ref="B2909:D2909"/>
    <mergeCell ref="G2909:H2909"/>
    <mergeCell ref="K2909:L2909"/>
    <mergeCell ref="B2910:D2910"/>
    <mergeCell ref="B2911:D2911"/>
    <mergeCell ref="G2903:J2903"/>
    <mergeCell ref="B2904:D2904"/>
    <mergeCell ref="G2904:J2904"/>
    <mergeCell ref="C2908:D2908"/>
    <mergeCell ref="J2908:L2908"/>
    <mergeCell ref="A3050:L3050"/>
    <mergeCell ref="C3083:D3083"/>
    <mergeCell ref="J3083:L3083"/>
    <mergeCell ref="B3084:D3084"/>
    <mergeCell ref="I3084:J3084"/>
    <mergeCell ref="B3077:D3077"/>
    <mergeCell ref="F3078:F3079"/>
    <mergeCell ref="G3078:J3078"/>
    <mergeCell ref="G3079:J3079"/>
    <mergeCell ref="B3074:D3074"/>
    <mergeCell ref="G3074:H3074"/>
    <mergeCell ref="K3074:L3074"/>
    <mergeCell ref="B3075:D3075"/>
    <mergeCell ref="D1641:L1641"/>
    <mergeCell ref="A1662:L1662"/>
    <mergeCell ref="D5192:L5192"/>
    <mergeCell ref="G4387:J4387"/>
    <mergeCell ref="G4388:J4388"/>
    <mergeCell ref="F4324:F4325"/>
    <mergeCell ref="C4393:D4393"/>
    <mergeCell ref="B4386:D4386"/>
    <mergeCell ref="B4377:D4377"/>
    <mergeCell ref="C4379:D4379"/>
    <mergeCell ref="B4380:D4380"/>
    <mergeCell ref="B4602:D4602"/>
    <mergeCell ref="G4602:H4602"/>
    <mergeCell ref="B4603:D4603"/>
    <mergeCell ref="G4621:H4621"/>
    <mergeCell ref="F4622:F4623"/>
    <mergeCell ref="G4622:J4622"/>
    <mergeCell ref="G4623:J4623"/>
    <mergeCell ref="I4375:J4375"/>
    <mergeCell ref="A4347:C4347"/>
    <mergeCell ref="A4348:C4348"/>
    <mergeCell ref="A4349:C4349"/>
    <mergeCell ref="A4343:C4343"/>
    <mergeCell ref="B4367:D4367"/>
    <mergeCell ref="I4367:J4367"/>
    <mergeCell ref="I4359:J4359"/>
    <mergeCell ref="I4368:J4368"/>
    <mergeCell ref="C4616:D4616"/>
    <mergeCell ref="B4617:D4617"/>
    <mergeCell ref="G4617:H4617"/>
    <mergeCell ref="B4604:D4604"/>
    <mergeCell ref="D4343:L4343"/>
    <mergeCell ref="B3232:D3232"/>
    <mergeCell ref="G3232:H3232"/>
    <mergeCell ref="B3221:D3221"/>
    <mergeCell ref="B3222:D3222"/>
    <mergeCell ref="K3232:L3232"/>
    <mergeCell ref="J3242:L3242"/>
    <mergeCell ref="G4380:H4380"/>
    <mergeCell ref="I4370:J4370"/>
    <mergeCell ref="B4371:D4371"/>
    <mergeCell ref="D4348:L4348"/>
    <mergeCell ref="D4349:L4349"/>
    <mergeCell ref="B4384:D4384"/>
    <mergeCell ref="I4371:J4371"/>
    <mergeCell ref="A4303:D4306"/>
    <mergeCell ref="A4327:D4327"/>
    <mergeCell ref="B4320:D4320"/>
    <mergeCell ref="B4333:D4333"/>
    <mergeCell ref="B4318:D4318"/>
    <mergeCell ref="B4319:D4319"/>
    <mergeCell ref="B4332:D4332"/>
    <mergeCell ref="H4332:I4332"/>
    <mergeCell ref="A4285:D4288"/>
    <mergeCell ref="C4290:D4290"/>
    <mergeCell ref="D4350:L4350"/>
    <mergeCell ref="D4351:L4351"/>
    <mergeCell ref="B4355:L4355"/>
    <mergeCell ref="B4360:L4360"/>
    <mergeCell ref="B4369:L4369"/>
    <mergeCell ref="A3241:L3241"/>
    <mergeCell ref="G3237:J3237"/>
    <mergeCell ref="D3278:L3278"/>
    <mergeCell ref="A3280:C3280"/>
    <mergeCell ref="B4485:D4485"/>
    <mergeCell ref="B4496:D4496"/>
    <mergeCell ref="A1831:L1831"/>
    <mergeCell ref="A1859:L1859"/>
    <mergeCell ref="A1875:L1875"/>
    <mergeCell ref="A1890:L1890"/>
    <mergeCell ref="A1612:L1612"/>
    <mergeCell ref="A1642:L1642"/>
    <mergeCell ref="A1672:L1672"/>
    <mergeCell ref="A1639:C1639"/>
    <mergeCell ref="D1639:L1639"/>
    <mergeCell ref="A1640:C1640"/>
    <mergeCell ref="D1640:L1640"/>
    <mergeCell ref="A5191:C5191"/>
    <mergeCell ref="D5191:L5191"/>
    <mergeCell ref="B4226:D4226"/>
    <mergeCell ref="G3332:J3332"/>
    <mergeCell ref="A4127:L4127"/>
    <mergeCell ref="B4564:D4564"/>
    <mergeCell ref="F3331:F3332"/>
    <mergeCell ref="G3331:J3331"/>
    <mergeCell ref="A3403:C3403"/>
    <mergeCell ref="D3402:L3402"/>
    <mergeCell ref="A3404:C3404"/>
    <mergeCell ref="D3403:L3403"/>
    <mergeCell ref="C3467:D3467"/>
    <mergeCell ref="B4259:D4259"/>
    <mergeCell ref="B4261:D4261"/>
    <mergeCell ref="A4263:L4263"/>
    <mergeCell ref="B4894:D4894"/>
    <mergeCell ref="B4245:D4245"/>
    <mergeCell ref="I4245:J4245"/>
    <mergeCell ref="B4619:D4619"/>
    <mergeCell ref="B4256:D4256"/>
    <mergeCell ref="B4260:D4260"/>
    <mergeCell ref="A4264:C4264"/>
    <mergeCell ref="D4264:L4264"/>
    <mergeCell ref="J4250:L4250"/>
    <mergeCell ref="B4251:D4251"/>
    <mergeCell ref="K4251:L4251"/>
    <mergeCell ref="B4252:D4252"/>
    <mergeCell ref="B4253:D4253"/>
    <mergeCell ref="B4254:D4254"/>
    <mergeCell ref="F5271:F5272"/>
    <mergeCell ref="G5271:J5271"/>
    <mergeCell ref="B5272:D5273"/>
    <mergeCell ref="G5272:J5272"/>
    <mergeCell ref="B5263:D5263"/>
    <mergeCell ref="B5265:D5265"/>
    <mergeCell ref="B5264:D5264"/>
    <mergeCell ref="B5266:D5266"/>
    <mergeCell ref="B5267:D5267"/>
    <mergeCell ref="B5269:D5269"/>
    <mergeCell ref="B5260:D5260"/>
    <mergeCell ref="G5260:H5260"/>
    <mergeCell ref="B5261:D5261"/>
    <mergeCell ref="B5262:D5262"/>
    <mergeCell ref="C5259:D5259"/>
    <mergeCell ref="C5208:D5208"/>
    <mergeCell ref="B5209:D5209"/>
    <mergeCell ref="G5209:H5209"/>
    <mergeCell ref="B5210:D5210"/>
    <mergeCell ref="B5271:D5271"/>
    <mergeCell ref="J5259:L5259"/>
    <mergeCell ref="B5243:D5243"/>
    <mergeCell ref="F5243:F5244"/>
    <mergeCell ref="G5243:J5243"/>
    <mergeCell ref="G5244:J5244"/>
    <mergeCell ref="C5237:D5237"/>
    <mergeCell ref="B5227:D5227"/>
    <mergeCell ref="G5227:H5227"/>
    <mergeCell ref="B5228:D5228"/>
    <mergeCell ref="B5219:D5219"/>
    <mergeCell ref="B5221:D5221"/>
    <mergeCell ref="F5221:F5222"/>
    <mergeCell ref="C5226:D5226"/>
    <mergeCell ref="B5217:D5217"/>
    <mergeCell ref="A725:L725"/>
    <mergeCell ref="A730:L730"/>
    <mergeCell ref="A738:L738"/>
    <mergeCell ref="A751:L751"/>
    <mergeCell ref="A1378:L1378"/>
    <mergeCell ref="G5221:J5221"/>
    <mergeCell ref="C4855:D4855"/>
    <mergeCell ref="G4856:H4856"/>
    <mergeCell ref="B4620:D4620"/>
    <mergeCell ref="A966:L966"/>
    <mergeCell ref="B968:D968"/>
    <mergeCell ref="G968:H968"/>
    <mergeCell ref="K968:L968"/>
    <mergeCell ref="C991:D991"/>
    <mergeCell ref="A980:L980"/>
    <mergeCell ref="A990:L990"/>
    <mergeCell ref="B985:D985"/>
    <mergeCell ref="B986:D986"/>
    <mergeCell ref="B868:D868"/>
    <mergeCell ref="A718:C718"/>
    <mergeCell ref="D718:L718"/>
    <mergeCell ref="B552:D552"/>
    <mergeCell ref="I552:J552"/>
    <mergeCell ref="K552:L552"/>
    <mergeCell ref="B553:D553"/>
    <mergeCell ref="I553:J553"/>
    <mergeCell ref="I868:J868"/>
    <mergeCell ref="B554:D554"/>
    <mergeCell ref="A628:L628"/>
    <mergeCell ref="K557:L557"/>
    <mergeCell ref="C593:D593"/>
    <mergeCell ref="C597:D597"/>
    <mergeCell ref="A793:L793"/>
    <mergeCell ref="A580:L580"/>
    <mergeCell ref="A584:L584"/>
    <mergeCell ref="J581:L581"/>
    <mergeCell ref="J585:L585"/>
    <mergeCell ref="B760:D761"/>
    <mergeCell ref="G773:H773"/>
    <mergeCell ref="G783:H783"/>
    <mergeCell ref="J593:L593"/>
    <mergeCell ref="B743:F743"/>
    <mergeCell ref="A812:L812"/>
    <mergeCell ref="D722:L722"/>
    <mergeCell ref="A723:C723"/>
    <mergeCell ref="A744:L744"/>
    <mergeCell ref="K606:L606"/>
    <mergeCell ref="B607:D607"/>
    <mergeCell ref="C617:D617"/>
    <mergeCell ref="J617:L617"/>
    <mergeCell ref="A596:L596"/>
    <mergeCell ref="B5268:D5268"/>
    <mergeCell ref="B5238:D5238"/>
    <mergeCell ref="G5238:H5238"/>
    <mergeCell ref="B5239:D5239"/>
    <mergeCell ref="B5240:D5240"/>
    <mergeCell ref="B5241:D5241"/>
    <mergeCell ref="B5231:D5231"/>
    <mergeCell ref="F5203:F5204"/>
    <mergeCell ref="B958:D958"/>
    <mergeCell ref="B959:D959"/>
    <mergeCell ref="F5152:F5153"/>
    <mergeCell ref="G5152:J5152"/>
    <mergeCell ref="G5153:J5153"/>
    <mergeCell ref="C5096:D5096"/>
    <mergeCell ref="B5098:D5098"/>
    <mergeCell ref="I5098:J5098"/>
    <mergeCell ref="F5042:F5043"/>
    <mergeCell ref="G5042:J5042"/>
    <mergeCell ref="B5071:D5071"/>
    <mergeCell ref="B5072:D5072"/>
    <mergeCell ref="B969:D969"/>
    <mergeCell ref="B970:D970"/>
    <mergeCell ref="B971:D971"/>
    <mergeCell ref="B972:D972"/>
    <mergeCell ref="C967:D967"/>
    <mergeCell ref="B1024:D1024"/>
    <mergeCell ref="J967:L967"/>
    <mergeCell ref="G5222:J5222"/>
    <mergeCell ref="B1023:D1023"/>
    <mergeCell ref="B1005:D1005"/>
    <mergeCell ref="G1005:H1005"/>
    <mergeCell ref="B987:D987"/>
    <mergeCell ref="B917:D917"/>
    <mergeCell ref="I917:J917"/>
    <mergeCell ref="C913:D913"/>
    <mergeCell ref="J913:L913"/>
    <mergeCell ref="B914:D914"/>
    <mergeCell ref="A921:L921"/>
    <mergeCell ref="C927:D927"/>
    <mergeCell ref="J927:L927"/>
    <mergeCell ref="B928:D928"/>
    <mergeCell ref="G928:H928"/>
    <mergeCell ref="I928:J928"/>
    <mergeCell ref="K928:L928"/>
    <mergeCell ref="C922:D922"/>
    <mergeCell ref="J922:L922"/>
    <mergeCell ref="B923:D923"/>
    <mergeCell ref="G923:H923"/>
    <mergeCell ref="I923:J923"/>
    <mergeCell ref="K923:L923"/>
    <mergeCell ref="C981:D981"/>
    <mergeCell ref="J981:L981"/>
    <mergeCell ref="B982:D982"/>
    <mergeCell ref="G982:H982"/>
    <mergeCell ref="K982:L982"/>
    <mergeCell ref="B983:D983"/>
    <mergeCell ref="B995:D995"/>
    <mergeCell ref="B996:D996"/>
    <mergeCell ref="B997:D997"/>
    <mergeCell ref="B998:D998"/>
    <mergeCell ref="B1019:D1019"/>
    <mergeCell ref="B1020:D1020"/>
    <mergeCell ref="B1021:D1021"/>
    <mergeCell ref="B1022:D1022"/>
    <mergeCell ref="B1006:D1006"/>
    <mergeCell ref="B1007:D1007"/>
    <mergeCell ref="B1008:D1008"/>
    <mergeCell ref="B999:D999"/>
    <mergeCell ref="B1000:D1000"/>
    <mergeCell ref="C1004:D1004"/>
    <mergeCell ref="J1004:L1004"/>
    <mergeCell ref="A1014:D1015"/>
    <mergeCell ref="A1003:L1003"/>
    <mergeCell ref="A1016:L1016"/>
    <mergeCell ref="K1005:L1005"/>
    <mergeCell ref="B960:D960"/>
    <mergeCell ref="F961:F962"/>
    <mergeCell ref="G961:J961"/>
    <mergeCell ref="G962:J962"/>
    <mergeCell ref="D1117:L1117"/>
    <mergeCell ref="A1134:L1134"/>
    <mergeCell ref="A1517:C1517"/>
    <mergeCell ref="C1135:D1135"/>
    <mergeCell ref="J1135:L1135"/>
    <mergeCell ref="B1136:D1136"/>
    <mergeCell ref="A1466:L1466"/>
    <mergeCell ref="A1474:L1474"/>
    <mergeCell ref="A1493:L1493"/>
    <mergeCell ref="A1202:L1202"/>
    <mergeCell ref="B1137:D1137"/>
    <mergeCell ref="B1138:D1138"/>
    <mergeCell ref="B1139:D1139"/>
    <mergeCell ref="B1140:D1140"/>
    <mergeCell ref="B1141:D1141"/>
    <mergeCell ref="A1115:C1115"/>
    <mergeCell ref="D1115:L1115"/>
    <mergeCell ref="A1116:C1116"/>
    <mergeCell ref="B973:D973"/>
    <mergeCell ref="B974:D974"/>
    <mergeCell ref="B975:D975"/>
    <mergeCell ref="B976:D976"/>
    <mergeCell ref="B977:D977"/>
    <mergeCell ref="J991:L991"/>
    <mergeCell ref="B992:D992"/>
    <mergeCell ref="G992:H992"/>
    <mergeCell ref="K992:L992"/>
    <mergeCell ref="B984:D984"/>
    <mergeCell ref="K1524:L1524"/>
    <mergeCell ref="B1525:D1525"/>
    <mergeCell ref="B1526:D1526"/>
    <mergeCell ref="B1527:D1527"/>
    <mergeCell ref="C1523:D1523"/>
    <mergeCell ref="J1523:L1523"/>
    <mergeCell ref="B1509:D1509"/>
    <mergeCell ref="A1522:L1522"/>
    <mergeCell ref="A1532:L1532"/>
    <mergeCell ref="A1541:L1541"/>
    <mergeCell ref="B1142:D1142"/>
    <mergeCell ref="B1143:D1143"/>
    <mergeCell ref="B1144:D1144"/>
    <mergeCell ref="B1145:D1145"/>
    <mergeCell ref="B1146:D1146"/>
    <mergeCell ref="B1524:D1524"/>
    <mergeCell ref="G1524:H1524"/>
    <mergeCell ref="A1295:L1295"/>
    <mergeCell ref="A1309:L1309"/>
    <mergeCell ref="A1510:D1511"/>
    <mergeCell ref="B1503:D1503"/>
    <mergeCell ref="B1504:D1504"/>
    <mergeCell ref="B1505:D1505"/>
    <mergeCell ref="B1506:D1506"/>
    <mergeCell ref="A1530:D1531"/>
    <mergeCell ref="A1223:L1223"/>
    <mergeCell ref="B1175:D1175"/>
    <mergeCell ref="B1176:D1176"/>
    <mergeCell ref="B1177:D1177"/>
    <mergeCell ref="B1178:D1178"/>
    <mergeCell ref="B1169:D1169"/>
    <mergeCell ref="G1169:H1169"/>
    <mergeCell ref="D1667:L1667"/>
    <mergeCell ref="A1668:C1668"/>
    <mergeCell ref="D1668:L1668"/>
    <mergeCell ref="A1669:C1669"/>
    <mergeCell ref="D1669:L1669"/>
    <mergeCell ref="A1670:C1670"/>
    <mergeCell ref="D1670:L1670"/>
    <mergeCell ref="B1615:D1615"/>
    <mergeCell ref="B1798:D1798"/>
    <mergeCell ref="I1798:J1798"/>
    <mergeCell ref="J1613:L1613"/>
    <mergeCell ref="G1627:J1627"/>
    <mergeCell ref="G1628:J1628"/>
    <mergeCell ref="B1620:D1620"/>
    <mergeCell ref="B1621:D1621"/>
    <mergeCell ref="B1622:D1622"/>
    <mergeCell ref="B1623:D1623"/>
    <mergeCell ref="A1775:L1775"/>
    <mergeCell ref="A1780:L1780"/>
    <mergeCell ref="B1618:D1618"/>
    <mergeCell ref="B1619:D1619"/>
    <mergeCell ref="B1674:D1674"/>
    <mergeCell ref="G1674:H1674"/>
    <mergeCell ref="K1674:L1674"/>
    <mergeCell ref="A1663:C1663"/>
    <mergeCell ref="D1663:L1663"/>
    <mergeCell ref="A1664:C1664"/>
    <mergeCell ref="D1664:L1664"/>
    <mergeCell ref="A1665:C1665"/>
    <mergeCell ref="A1795:L1795"/>
    <mergeCell ref="J1781:L1781"/>
    <mergeCell ref="K1614:L1614"/>
    <mergeCell ref="A1816:L1816"/>
    <mergeCell ref="B1609:D1609"/>
    <mergeCell ref="G1609:H1609"/>
    <mergeCell ref="I1609:J1609"/>
    <mergeCell ref="K1609:L1609"/>
    <mergeCell ref="B1611:D1611"/>
    <mergeCell ref="B1624:D1624"/>
    <mergeCell ref="B1650:D1650"/>
    <mergeCell ref="B1651:D1651"/>
    <mergeCell ref="B1652:D1652"/>
    <mergeCell ref="B1653:D1653"/>
    <mergeCell ref="F1627:F1628"/>
    <mergeCell ref="A1632:L1632"/>
    <mergeCell ref="A1633:C1633"/>
    <mergeCell ref="D1633:L1633"/>
    <mergeCell ref="A1634:C1634"/>
    <mergeCell ref="B1699:D1699"/>
    <mergeCell ref="A1705:L1705"/>
    <mergeCell ref="B1688:D1688"/>
    <mergeCell ref="B1689:D1689"/>
    <mergeCell ref="B1690:D1690"/>
    <mergeCell ref="F1631:I1631"/>
    <mergeCell ref="B1626:D1626"/>
    <mergeCell ref="B1648:D1648"/>
    <mergeCell ref="B1649:D1649"/>
    <mergeCell ref="B1697:D1697"/>
    <mergeCell ref="B1698:D1698"/>
    <mergeCell ref="B1707:D1707"/>
    <mergeCell ref="A1785:L1785"/>
    <mergeCell ref="B1617:D1617"/>
    <mergeCell ref="A1641:C1641"/>
    <mergeCell ref="A1667:C1667"/>
    <mergeCell ref="C1801:D1801"/>
    <mergeCell ref="J1801:L1801"/>
    <mergeCell ref="I1797:J1797"/>
    <mergeCell ref="K1797:L1797"/>
    <mergeCell ref="B1792:D1792"/>
    <mergeCell ref="I1792:J1792"/>
    <mergeCell ref="K1792:L1792"/>
    <mergeCell ref="B1793:D1793"/>
    <mergeCell ref="D1913:L1913"/>
    <mergeCell ref="B1931:D1931"/>
    <mergeCell ref="I1960:J1960"/>
    <mergeCell ref="B1797:D1797"/>
    <mergeCell ref="I1793:J1793"/>
    <mergeCell ref="B1794:D1794"/>
    <mergeCell ref="B1808:D1808"/>
    <mergeCell ref="I1808:J1808"/>
    <mergeCell ref="B1809:D1809"/>
    <mergeCell ref="A1805:L1805"/>
    <mergeCell ref="C1811:D1811"/>
    <mergeCell ref="J1811:L1811"/>
    <mergeCell ref="C1806:D1806"/>
    <mergeCell ref="J1806:L1806"/>
    <mergeCell ref="B1807:D1807"/>
    <mergeCell ref="I1807:J1807"/>
    <mergeCell ref="K1807:L1807"/>
    <mergeCell ref="B1802:D1802"/>
    <mergeCell ref="I1802:J1802"/>
    <mergeCell ref="K1802:L1802"/>
    <mergeCell ref="B1803:D1803"/>
    <mergeCell ref="I1803:J1803"/>
    <mergeCell ref="A1800:L1800"/>
    <mergeCell ref="A1810:L1810"/>
    <mergeCell ref="A3275:C3275"/>
    <mergeCell ref="D3274:L3274"/>
    <mergeCell ref="F3270:I3270"/>
    <mergeCell ref="I2934:J2934"/>
    <mergeCell ref="K2934:L2934"/>
    <mergeCell ref="B2935:D2935"/>
    <mergeCell ref="I2935:J2935"/>
    <mergeCell ref="B2936:D2936"/>
    <mergeCell ref="B2930:D2930"/>
    <mergeCell ref="I2930:J2930"/>
    <mergeCell ref="B2931:D2931"/>
    <mergeCell ref="C2933:D2933"/>
    <mergeCell ref="C2923:D2923"/>
    <mergeCell ref="I2925:J2925"/>
    <mergeCell ref="J2923:L2923"/>
    <mergeCell ref="B2924:D2924"/>
    <mergeCell ref="A3161:C3161"/>
    <mergeCell ref="C2938:D2938"/>
    <mergeCell ref="J2938:L2938"/>
    <mergeCell ref="G3236:J3236"/>
    <mergeCell ref="B2926:D2926"/>
    <mergeCell ref="G3243:H3243"/>
    <mergeCell ref="D3160:L3160"/>
    <mergeCell ref="G3144:J3144"/>
    <mergeCell ref="D3125:L3125"/>
    <mergeCell ref="A3127:C3127"/>
    <mergeCell ref="D3126:L3126"/>
    <mergeCell ref="A3128:C3128"/>
    <mergeCell ref="B3064:D3064"/>
    <mergeCell ref="B3065:D3065"/>
    <mergeCell ref="B3066:D3066"/>
    <mergeCell ref="A3072:L3072"/>
    <mergeCell ref="C2887:D2887"/>
    <mergeCell ref="K2888:L2888"/>
    <mergeCell ref="B2890:D2890"/>
    <mergeCell ref="B2891:D2891"/>
    <mergeCell ref="A3273:C3273"/>
    <mergeCell ref="D3272:L3272"/>
    <mergeCell ref="A3274:C3274"/>
    <mergeCell ref="D3273:L3273"/>
    <mergeCell ref="G3173:J3173"/>
    <mergeCell ref="D3122:L3122"/>
    <mergeCell ref="A3124:C3124"/>
    <mergeCell ref="C3098:D3098"/>
    <mergeCell ref="B3099:D3099"/>
    <mergeCell ref="I3099:J3099"/>
    <mergeCell ref="J3098:L3098"/>
    <mergeCell ref="F3067:F3068"/>
    <mergeCell ref="G3067:J3067"/>
    <mergeCell ref="G3068:J3068"/>
    <mergeCell ref="C3073:D3073"/>
    <mergeCell ref="J3073:L3073"/>
    <mergeCell ref="K3084:L3084"/>
    <mergeCell ref="B3090:D3090"/>
    <mergeCell ref="I3090:J3090"/>
    <mergeCell ref="D3154:L3154"/>
    <mergeCell ref="A3157:C3157"/>
    <mergeCell ref="D3156:L3156"/>
    <mergeCell ref="A3155:C3155"/>
    <mergeCell ref="D3158:L3158"/>
    <mergeCell ref="B3204:D3204"/>
    <mergeCell ref="A3154:C3154"/>
    <mergeCell ref="D3153:L3153"/>
    <mergeCell ref="C3242:D3242"/>
    <mergeCell ref="B2879:D2879"/>
    <mergeCell ref="J2933:L2933"/>
    <mergeCell ref="A3281:L3281"/>
    <mergeCell ref="A3254:L3254"/>
    <mergeCell ref="A3249:L3249"/>
    <mergeCell ref="F3291:I3291"/>
    <mergeCell ref="A3302:L3302"/>
    <mergeCell ref="F3312:I3312"/>
    <mergeCell ref="C2918:D2918"/>
    <mergeCell ref="J2918:L2918"/>
    <mergeCell ref="B2919:D2919"/>
    <mergeCell ref="B3243:D3243"/>
    <mergeCell ref="G3029:J3029"/>
    <mergeCell ref="A3032:L3032"/>
    <mergeCell ref="A3040:L3040"/>
    <mergeCell ref="C3024:D3024"/>
    <mergeCell ref="F3151:I3151"/>
    <mergeCell ref="F3177:I3177"/>
    <mergeCell ref="F3188:I3188"/>
    <mergeCell ref="F3198:I3198"/>
    <mergeCell ref="F3229:I3229"/>
    <mergeCell ref="F3240:I3240"/>
    <mergeCell ref="B2880:D2880"/>
    <mergeCell ref="F2903:F2904"/>
    <mergeCell ref="C2897:D2897"/>
    <mergeCell ref="J2897:L2897"/>
    <mergeCell ref="B2898:D2898"/>
    <mergeCell ref="I2919:J2919"/>
    <mergeCell ref="B2892:D2892"/>
    <mergeCell ref="G2913:J2913"/>
    <mergeCell ref="A3129:L3129"/>
    <mergeCell ref="B2921:D2921"/>
    <mergeCell ref="K2618:L2618"/>
    <mergeCell ref="B2619:D2619"/>
    <mergeCell ref="B2591:D2591"/>
    <mergeCell ref="B2581:D2581"/>
    <mergeCell ref="B2582:D2582"/>
    <mergeCell ref="D2867:L2867"/>
    <mergeCell ref="B1783:D1783"/>
    <mergeCell ref="I1783:J1783"/>
    <mergeCell ref="B1784:D1784"/>
    <mergeCell ref="I1610:J1610"/>
    <mergeCell ref="C1613:D1613"/>
    <mergeCell ref="B1614:D1614"/>
    <mergeCell ref="G1614:H1614"/>
    <mergeCell ref="A3370:L3370"/>
    <mergeCell ref="F3346:I3346"/>
    <mergeCell ref="F3359:I3359"/>
    <mergeCell ref="F3323:I3323"/>
    <mergeCell ref="C3337:D3337"/>
    <mergeCell ref="A3276:C3276"/>
    <mergeCell ref="D3275:L3275"/>
    <mergeCell ref="B3181:D3181"/>
    <mergeCell ref="B3182:D3182"/>
    <mergeCell ref="G3206:J3206"/>
    <mergeCell ref="A3209:L3209"/>
    <mergeCell ref="A2917:L2917"/>
    <mergeCell ref="A2922:L2922"/>
    <mergeCell ref="A2932:L2932"/>
    <mergeCell ref="G3147:J3147"/>
    <mergeCell ref="G3148:J3148"/>
    <mergeCell ref="J3163:L3163"/>
    <mergeCell ref="A3162:L3162"/>
    <mergeCell ref="A2869:C2869"/>
    <mergeCell ref="B2564:D2564"/>
    <mergeCell ref="B2565:D2565"/>
    <mergeCell ref="B2566:D2566"/>
    <mergeCell ref="B2567:D2567"/>
    <mergeCell ref="B2568:D2568"/>
    <mergeCell ref="B2569:D2569"/>
    <mergeCell ref="B2570:D2570"/>
    <mergeCell ref="B2571:D2571"/>
    <mergeCell ref="B2572:D2572"/>
    <mergeCell ref="F1764:I1764"/>
    <mergeCell ref="B2599:D2599"/>
    <mergeCell ref="B2600:D2600"/>
    <mergeCell ref="G2600:H2600"/>
    <mergeCell ref="O918:T919"/>
    <mergeCell ref="C3617:D3617"/>
    <mergeCell ref="C3646:D3646"/>
    <mergeCell ref="B3647:D3647"/>
    <mergeCell ref="G3647:H3647"/>
    <mergeCell ref="A3610:C3610"/>
    <mergeCell ref="A3611:C3611"/>
    <mergeCell ref="A3612:C3612"/>
    <mergeCell ref="A3613:C3613"/>
    <mergeCell ref="A3614:C3614"/>
    <mergeCell ref="A3615:C3615"/>
    <mergeCell ref="A3018:L3018"/>
    <mergeCell ref="B3145:D3145"/>
    <mergeCell ref="B3146:D3146"/>
    <mergeCell ref="F3147:F3148"/>
    <mergeCell ref="K3042:L3042"/>
    <mergeCell ref="C3033:D3033"/>
    <mergeCell ref="B3639:D3639"/>
    <mergeCell ref="A3272:C3272"/>
    <mergeCell ref="B4155:D4155"/>
    <mergeCell ref="G4155:H4155"/>
    <mergeCell ref="A4156:L4156"/>
    <mergeCell ref="D4131:L4131"/>
    <mergeCell ref="D4132:L4132"/>
    <mergeCell ref="D4133:L4133"/>
    <mergeCell ref="D4134:L4134"/>
    <mergeCell ref="D4135:L4135"/>
    <mergeCell ref="D4136:L4136"/>
    <mergeCell ref="C4149:D4149"/>
    <mergeCell ref="J4149:L4149"/>
    <mergeCell ref="B4150:D4150"/>
    <mergeCell ref="G4150:H4150"/>
    <mergeCell ref="K4150:L4150"/>
    <mergeCell ref="B4151:D4151"/>
    <mergeCell ref="G4151:H4151"/>
    <mergeCell ref="A4152:L4152"/>
    <mergeCell ref="C4153:D4153"/>
    <mergeCell ref="A5188:C5188"/>
    <mergeCell ref="A5189:C5189"/>
    <mergeCell ref="A5190:C5190"/>
    <mergeCell ref="D5189:L5189"/>
    <mergeCell ref="D5190:L5190"/>
    <mergeCell ref="B5109:D5109"/>
    <mergeCell ref="B5110:D5110"/>
    <mergeCell ref="F5112:F5113"/>
    <mergeCell ref="G5112:J5112"/>
    <mergeCell ref="I5097:J5097"/>
    <mergeCell ref="F5099:F5100"/>
    <mergeCell ref="G5099:J5099"/>
    <mergeCell ref="G5113:J5113"/>
    <mergeCell ref="G5136:J5136"/>
    <mergeCell ref="C5141:D5141"/>
    <mergeCell ref="B5142:D5142"/>
    <mergeCell ref="G5142:H5142"/>
    <mergeCell ref="B5130:D5130"/>
    <mergeCell ref="B5131:D5131"/>
    <mergeCell ref="B5132:D5132"/>
    <mergeCell ref="G5163:J5163"/>
    <mergeCell ref="G5129:H5129"/>
    <mergeCell ref="F5135:F5136"/>
    <mergeCell ref="C5149:D5149"/>
    <mergeCell ref="G5135:J5135"/>
    <mergeCell ref="B5179:D5179"/>
    <mergeCell ref="B5180:D5180"/>
    <mergeCell ref="B5175:D5175"/>
    <mergeCell ref="C5128:D5128"/>
    <mergeCell ref="A5148:L5148"/>
    <mergeCell ref="G5106:H5106"/>
    <mergeCell ref="J5128:L5128"/>
    <mergeCell ref="A4136:C4136"/>
    <mergeCell ref="A4131:C4131"/>
    <mergeCell ref="A4132:C4132"/>
    <mergeCell ref="A4133:C4133"/>
    <mergeCell ref="A4134:C4134"/>
    <mergeCell ref="A4135:C4135"/>
    <mergeCell ref="A4055:L4055"/>
    <mergeCell ref="B3183:D3183"/>
    <mergeCell ref="C635:D635"/>
    <mergeCell ref="F3184:F3185"/>
    <mergeCell ref="J597:L597"/>
    <mergeCell ref="B659:D659"/>
    <mergeCell ref="I660:J660"/>
    <mergeCell ref="B606:D606"/>
    <mergeCell ref="I606:J606"/>
    <mergeCell ref="F3118:I3118"/>
    <mergeCell ref="B701:E701"/>
    <mergeCell ref="G1136:H1136"/>
    <mergeCell ref="K1136:L1136"/>
    <mergeCell ref="B1158:D1158"/>
    <mergeCell ref="B1159:D1159"/>
    <mergeCell ref="B1160:D1160"/>
    <mergeCell ref="B2588:D2588"/>
    <mergeCell ref="G2588:H2588"/>
    <mergeCell ref="B2592:D2592"/>
    <mergeCell ref="B2593:D2593"/>
    <mergeCell ref="B2594:D2594"/>
    <mergeCell ref="B2595:D2595"/>
    <mergeCell ref="B1782:D1782"/>
    <mergeCell ref="G1782:H1782"/>
    <mergeCell ref="I1782:J1782"/>
    <mergeCell ref="C1781:D1781"/>
    <mergeCell ref="K1782:L1782"/>
    <mergeCell ref="B1147:D1147"/>
    <mergeCell ref="B2579:D2579"/>
    <mergeCell ref="B2580:D2580"/>
    <mergeCell ref="G2618:H2618"/>
    <mergeCell ref="A334:L334"/>
    <mergeCell ref="C335:D335"/>
    <mergeCell ref="J551:L551"/>
    <mergeCell ref="B563:D563"/>
    <mergeCell ref="B564:D564"/>
    <mergeCell ref="A578:C578"/>
    <mergeCell ref="D578:L578"/>
    <mergeCell ref="A573:C573"/>
    <mergeCell ref="D573:L573"/>
    <mergeCell ref="A574:C574"/>
    <mergeCell ref="D574:L574"/>
    <mergeCell ref="A575:C575"/>
    <mergeCell ref="E354:H354"/>
    <mergeCell ref="H413:I413"/>
    <mergeCell ref="A398:L398"/>
    <mergeCell ref="B359:D359"/>
    <mergeCell ref="I359:J359"/>
    <mergeCell ref="B361:D361"/>
    <mergeCell ref="I361:J361"/>
    <mergeCell ref="J561:L561"/>
    <mergeCell ref="C556:D556"/>
    <mergeCell ref="J556:L556"/>
    <mergeCell ref="B562:D562"/>
    <mergeCell ref="G562:H562"/>
    <mergeCell ref="B336:D336"/>
    <mergeCell ref="B337:D337"/>
    <mergeCell ref="B338:D338"/>
    <mergeCell ref="B339:D339"/>
    <mergeCell ref="B340:D340"/>
    <mergeCell ref="B341:D341"/>
    <mergeCell ref="B342:D342"/>
    <mergeCell ref="B343:D343"/>
    <mergeCell ref="B344:D344"/>
    <mergeCell ref="G344:H344"/>
    <mergeCell ref="A345:L345"/>
    <mergeCell ref="A408:L408"/>
    <mergeCell ref="A441:L441"/>
    <mergeCell ref="A550:L550"/>
    <mergeCell ref="A555:L555"/>
    <mergeCell ref="A604:L604"/>
    <mergeCell ref="A653:L653"/>
    <mergeCell ref="D548:L548"/>
    <mergeCell ref="G557:H557"/>
    <mergeCell ref="K562:L562"/>
    <mergeCell ref="B565:D565"/>
    <mergeCell ref="C551:D551"/>
    <mergeCell ref="A600:L600"/>
    <mergeCell ref="C601:D601"/>
    <mergeCell ref="K435:L435"/>
    <mergeCell ref="B436:D436"/>
    <mergeCell ref="C581:D581"/>
    <mergeCell ref="C585:D585"/>
    <mergeCell ref="B595:D595"/>
    <mergeCell ref="G595:H595"/>
    <mergeCell ref="B582:D582"/>
    <mergeCell ref="G582:H582"/>
    <mergeCell ref="K582:L582"/>
    <mergeCell ref="B583:D583"/>
    <mergeCell ref="G583:H583"/>
    <mergeCell ref="C1608:D1608"/>
    <mergeCell ref="J1608:L1608"/>
    <mergeCell ref="I1595:J1595"/>
    <mergeCell ref="B1590:D1590"/>
    <mergeCell ref="B325:D325"/>
    <mergeCell ref="B326:D326"/>
    <mergeCell ref="B327:D327"/>
    <mergeCell ref="B328:D328"/>
    <mergeCell ref="B329:D329"/>
    <mergeCell ref="B330:D330"/>
    <mergeCell ref="B331:D331"/>
    <mergeCell ref="B333:D333"/>
    <mergeCell ref="G333:H333"/>
    <mergeCell ref="B332:D332"/>
    <mergeCell ref="G811:H811"/>
    <mergeCell ref="G829:H829"/>
    <mergeCell ref="G898:H898"/>
    <mergeCell ref="G911:H911"/>
    <mergeCell ref="G965:H965"/>
    <mergeCell ref="G1576:H1576"/>
    <mergeCell ref="A399:C399"/>
    <mergeCell ref="A396:E396"/>
    <mergeCell ref="A546:C546"/>
    <mergeCell ref="D546:L546"/>
    <mergeCell ref="A547:C547"/>
    <mergeCell ref="D547:L547"/>
    <mergeCell ref="A548:C548"/>
    <mergeCell ref="C955:D955"/>
    <mergeCell ref="J955:L955"/>
    <mergeCell ref="B956:D956"/>
    <mergeCell ref="G956:H956"/>
    <mergeCell ref="K956:L956"/>
    <mergeCell ref="D1116:L1116"/>
    <mergeCell ref="B993:D993"/>
    <mergeCell ref="B994:D994"/>
    <mergeCell ref="B957:D957"/>
    <mergeCell ref="F1661:I1661"/>
    <mergeCell ref="F1684:I1684"/>
    <mergeCell ref="F1704:I1704"/>
    <mergeCell ref="B1610:D1610"/>
    <mergeCell ref="B313:D313"/>
    <mergeCell ref="B314:D314"/>
    <mergeCell ref="B315:D315"/>
    <mergeCell ref="B316:D316"/>
    <mergeCell ref="B317:D317"/>
    <mergeCell ref="G317:H317"/>
    <mergeCell ref="B282:D282"/>
    <mergeCell ref="B283:D283"/>
    <mergeCell ref="B284:D284"/>
    <mergeCell ref="B285:D285"/>
    <mergeCell ref="B286:D286"/>
    <mergeCell ref="B287:D287"/>
    <mergeCell ref="B288:D288"/>
    <mergeCell ref="B289:D289"/>
    <mergeCell ref="B292:D292"/>
    <mergeCell ref="B293:D293"/>
    <mergeCell ref="G293:H293"/>
    <mergeCell ref="B291:D291"/>
    <mergeCell ref="B290:D290"/>
    <mergeCell ref="B308:D308"/>
    <mergeCell ref="B309:D309"/>
    <mergeCell ref="B310:D310"/>
    <mergeCell ref="B311:D311"/>
    <mergeCell ref="B300:D300"/>
    <mergeCell ref="B312:D312"/>
    <mergeCell ref="B296:D296"/>
    <mergeCell ref="G296:H296"/>
    <mergeCell ref="B324:D324"/>
    <mergeCell ref="B271:D271"/>
    <mergeCell ref="B272:D272"/>
    <mergeCell ref="B273:D273"/>
    <mergeCell ref="B274:D274"/>
    <mergeCell ref="B275:D275"/>
    <mergeCell ref="B276:D276"/>
    <mergeCell ref="B277:D277"/>
    <mergeCell ref="B278:D278"/>
    <mergeCell ref="B279:D279"/>
    <mergeCell ref="G279:H279"/>
    <mergeCell ref="B218:D218"/>
    <mergeCell ref="B219:D219"/>
    <mergeCell ref="B220:D220"/>
    <mergeCell ref="B221:D221"/>
    <mergeCell ref="B222:D222"/>
    <mergeCell ref="B223:D223"/>
    <mergeCell ref="B224:D224"/>
    <mergeCell ref="B234:D234"/>
    <mergeCell ref="B235:D235"/>
    <mergeCell ref="G235:H235"/>
    <mergeCell ref="B225:D225"/>
    <mergeCell ref="B226:D226"/>
    <mergeCell ref="B229:D229"/>
    <mergeCell ref="B230:D230"/>
    <mergeCell ref="B231:D231"/>
    <mergeCell ref="B232:D232"/>
    <mergeCell ref="B233:D233"/>
    <mergeCell ref="B262:D262"/>
    <mergeCell ref="B246:D246"/>
    <mergeCell ref="B247:D247"/>
    <mergeCell ref="B248:D248"/>
    <mergeCell ref="B256:D256"/>
    <mergeCell ref="B118:D118"/>
    <mergeCell ref="B119:D119"/>
    <mergeCell ref="B120:D120"/>
    <mergeCell ref="B121:D121"/>
    <mergeCell ref="B122:D122"/>
    <mergeCell ref="B123:D123"/>
    <mergeCell ref="B124:D124"/>
    <mergeCell ref="B125:D125"/>
    <mergeCell ref="A126:D128"/>
    <mergeCell ref="H126:I126"/>
    <mergeCell ref="B203:D203"/>
    <mergeCell ref="B204:D204"/>
    <mergeCell ref="B205:D205"/>
    <mergeCell ref="B206:D206"/>
    <mergeCell ref="B135:D135"/>
    <mergeCell ref="B136:D136"/>
    <mergeCell ref="B137:D137"/>
    <mergeCell ref="B141:D141"/>
    <mergeCell ref="B142:D142"/>
    <mergeCell ref="B144:D144"/>
    <mergeCell ref="A145:D147"/>
    <mergeCell ref="H145:I145"/>
    <mergeCell ref="B150:D150"/>
    <mergeCell ref="B151:D151"/>
    <mergeCell ref="A152:L152"/>
    <mergeCell ref="G186:H186"/>
    <mergeCell ref="C184:D184"/>
    <mergeCell ref="J184:L184"/>
    <mergeCell ref="A183:L183"/>
    <mergeCell ref="A169:L169"/>
    <mergeCell ref="A165:L165"/>
    <mergeCell ref="C170:D170"/>
    <mergeCell ref="B207:D207"/>
    <mergeCell ref="B208:D208"/>
    <mergeCell ref="A209:D211"/>
    <mergeCell ref="H209:I209"/>
    <mergeCell ref="B189:D189"/>
    <mergeCell ref="B190:D190"/>
    <mergeCell ref="B191:D191"/>
    <mergeCell ref="B195:D195"/>
    <mergeCell ref="B196:D196"/>
    <mergeCell ref="B197:D197"/>
    <mergeCell ref="A198:D200"/>
    <mergeCell ref="H198:I198"/>
    <mergeCell ref="B171:D171"/>
    <mergeCell ref="B172:D172"/>
    <mergeCell ref="B173:D173"/>
    <mergeCell ref="B177:D177"/>
    <mergeCell ref="B178:D178"/>
    <mergeCell ref="B179:D179"/>
    <mergeCell ref="A180:D182"/>
    <mergeCell ref="H180:I180"/>
    <mergeCell ref="C166:D166"/>
  </mergeCells>
  <phoneticPr fontId="26" type="noConversion"/>
  <conditionalFormatting sqref="Q2630:Q2633">
    <cfRule type="duplicateValues" dxfId="209" priority="210"/>
  </conditionalFormatting>
  <conditionalFormatting sqref="Q2890">
    <cfRule type="duplicateValues" dxfId="208" priority="208"/>
  </conditionalFormatting>
  <conditionalFormatting sqref="Q2898:Q2899">
    <cfRule type="duplicateValues" dxfId="207" priority="207"/>
  </conditionalFormatting>
  <conditionalFormatting sqref="Q2903:Q2905">
    <cfRule type="duplicateValues" dxfId="206" priority="206"/>
  </conditionalFormatting>
  <conditionalFormatting sqref="Q425:Q426">
    <cfRule type="duplicateValues" dxfId="205" priority="204"/>
  </conditionalFormatting>
  <conditionalFormatting sqref="Q440:Q441">
    <cfRule type="duplicateValues" dxfId="204" priority="203"/>
  </conditionalFormatting>
  <conditionalFormatting sqref="Q445:Q446">
    <cfRule type="duplicateValues" dxfId="203" priority="202"/>
  </conditionalFormatting>
  <conditionalFormatting sqref="Q539:Q540">
    <cfRule type="duplicateValues" dxfId="202" priority="201"/>
  </conditionalFormatting>
  <conditionalFormatting sqref="Q577:Q578">
    <cfRule type="duplicateValues" dxfId="201" priority="200"/>
  </conditionalFormatting>
  <conditionalFormatting sqref="Q648 Q650">
    <cfRule type="duplicateValues" dxfId="200" priority="198"/>
  </conditionalFormatting>
  <conditionalFormatting sqref="Q701:Q702">
    <cfRule type="duplicateValues" dxfId="199" priority="197"/>
  </conditionalFormatting>
  <conditionalFormatting sqref="Q739:Q740">
    <cfRule type="duplicateValues" dxfId="198" priority="195"/>
  </conditionalFormatting>
  <conditionalFormatting sqref="Q827:Q829">
    <cfRule type="duplicateValues" dxfId="197" priority="194"/>
  </conditionalFormatting>
  <conditionalFormatting sqref="Q851:Q852">
    <cfRule type="duplicateValues" dxfId="196" priority="193"/>
  </conditionalFormatting>
  <conditionalFormatting sqref="Q862:Q863">
    <cfRule type="duplicateValues" dxfId="195" priority="192"/>
  </conditionalFormatting>
  <conditionalFormatting sqref="Q884:Q885">
    <cfRule type="duplicateValues" dxfId="194" priority="191"/>
  </conditionalFormatting>
  <conditionalFormatting sqref="Q889:Q890">
    <cfRule type="duplicateValues" dxfId="193" priority="190"/>
  </conditionalFormatting>
  <conditionalFormatting sqref="Q895 Q897">
    <cfRule type="duplicateValues" dxfId="192" priority="189"/>
  </conditionalFormatting>
  <conditionalFormatting sqref="Q1555:Q1556">
    <cfRule type="duplicateValues" dxfId="191" priority="188"/>
  </conditionalFormatting>
  <conditionalFormatting sqref="Q1759:Q1760">
    <cfRule type="duplicateValues" dxfId="190" priority="186"/>
  </conditionalFormatting>
  <conditionalFormatting sqref="Q1871:Q1872">
    <cfRule type="duplicateValues" dxfId="189" priority="185"/>
  </conditionalFormatting>
  <conditionalFormatting sqref="Q1900:Q1901">
    <cfRule type="duplicateValues" dxfId="188" priority="184"/>
  </conditionalFormatting>
  <conditionalFormatting sqref="Q1905:Q1906">
    <cfRule type="duplicateValues" dxfId="187" priority="183"/>
  </conditionalFormatting>
  <conditionalFormatting sqref="Q2071:Q2072">
    <cfRule type="duplicateValues" dxfId="186" priority="182"/>
  </conditionalFormatting>
  <conditionalFormatting sqref="Q2181 Q2183">
    <cfRule type="duplicateValues" dxfId="185" priority="181"/>
  </conditionalFormatting>
  <conditionalFormatting sqref="Q2191:Q2192">
    <cfRule type="duplicateValues" dxfId="184" priority="180"/>
  </conditionalFormatting>
  <conditionalFormatting sqref="Q2428:Q2429">
    <cfRule type="duplicateValues" dxfId="183" priority="179"/>
  </conditionalFormatting>
  <conditionalFormatting sqref="Q2436:Q2437">
    <cfRule type="duplicateValues" dxfId="182" priority="178"/>
  </conditionalFormatting>
  <conditionalFormatting sqref="Q2528:Q2529">
    <cfRule type="duplicateValues" dxfId="181" priority="175"/>
  </conditionalFormatting>
  <conditionalFormatting sqref="Q2893:Q2894">
    <cfRule type="duplicateValues" dxfId="180" priority="174"/>
  </conditionalFormatting>
  <conditionalFormatting sqref="Q2910:Q2911">
    <cfRule type="duplicateValues" dxfId="179" priority="173"/>
  </conditionalFormatting>
  <conditionalFormatting sqref="Q3609:Q3610">
    <cfRule type="duplicateValues" dxfId="178" priority="172"/>
  </conditionalFormatting>
  <conditionalFormatting sqref="Q3764:Q3765">
    <cfRule type="duplicateValues" dxfId="177" priority="171"/>
  </conditionalFormatting>
  <conditionalFormatting sqref="Q3819:Q3820">
    <cfRule type="duplicateValues" dxfId="176" priority="170"/>
  </conditionalFormatting>
  <conditionalFormatting sqref="Q3854:Q3855">
    <cfRule type="duplicateValues" dxfId="175" priority="169"/>
  </conditionalFormatting>
  <conditionalFormatting sqref="Q4063:Q4065 Q3941:Q3942">
    <cfRule type="duplicateValues" dxfId="174" priority="168"/>
  </conditionalFormatting>
  <conditionalFormatting sqref="Q4118:Q4119 Q4128:Q4130">
    <cfRule type="duplicateValues" dxfId="173" priority="167"/>
  </conditionalFormatting>
  <conditionalFormatting sqref="Q4184:Q4185 Q4138:Q4139">
    <cfRule type="duplicateValues" dxfId="172" priority="212"/>
  </conditionalFormatting>
  <conditionalFormatting sqref="Q4366:Q4368 Q4262:Q4263">
    <cfRule type="duplicateValues" dxfId="171" priority="166"/>
  </conditionalFormatting>
  <conditionalFormatting sqref="Q4499:Q4501 Q4372:Q4373">
    <cfRule type="duplicateValues" dxfId="170" priority="165"/>
  </conditionalFormatting>
  <conditionalFormatting sqref="Q4505:Q4508 Q4510:Q4512">
    <cfRule type="duplicateValues" dxfId="169" priority="164"/>
  </conditionalFormatting>
  <conditionalFormatting sqref="Q4588:Q4591 Q4514:Q4515">
    <cfRule type="duplicateValues" dxfId="168" priority="213"/>
  </conditionalFormatting>
  <conditionalFormatting sqref="Q370:Q374">
    <cfRule type="duplicateValues" dxfId="167" priority="214"/>
  </conditionalFormatting>
  <conditionalFormatting sqref="Q385 Q377:Q383">
    <cfRule type="duplicateValues" dxfId="166" priority="163"/>
  </conditionalFormatting>
  <conditionalFormatting sqref="Q384">
    <cfRule type="duplicateValues" dxfId="165" priority="162"/>
  </conditionalFormatting>
  <conditionalFormatting sqref="Q668:Q669">
    <cfRule type="duplicateValues" dxfId="164" priority="160"/>
  </conditionalFormatting>
  <conditionalFormatting sqref="Q4800:Q4804 Q4806:Q4816">
    <cfRule type="duplicateValues" dxfId="163" priority="159"/>
  </conditionalFormatting>
  <conditionalFormatting sqref="Q415:Q416">
    <cfRule type="duplicateValues" dxfId="162" priority="153"/>
  </conditionalFormatting>
  <conditionalFormatting sqref="Q430:Q431">
    <cfRule type="duplicateValues" dxfId="161" priority="152"/>
  </conditionalFormatting>
  <conditionalFormatting sqref="Q435:Q436">
    <cfRule type="duplicateValues" dxfId="160" priority="151"/>
  </conditionalFormatting>
  <conditionalFormatting sqref="Q534:Q535">
    <cfRule type="duplicateValues" dxfId="159" priority="150"/>
  </conditionalFormatting>
  <conditionalFormatting sqref="Q794:Q795">
    <cfRule type="duplicateValues" dxfId="158" priority="149"/>
  </conditionalFormatting>
  <conditionalFormatting sqref="Q809:Q810">
    <cfRule type="duplicateValues" dxfId="157" priority="148"/>
  </conditionalFormatting>
  <conditionalFormatting sqref="Q815:Q816">
    <cfRule type="duplicateValues" dxfId="156" priority="147"/>
  </conditionalFormatting>
  <conditionalFormatting sqref="Q832:Q833">
    <cfRule type="duplicateValues" dxfId="155" priority="146"/>
  </conditionalFormatting>
  <conditionalFormatting sqref="Q841:Q842">
    <cfRule type="duplicateValues" dxfId="154" priority="145"/>
  </conditionalFormatting>
  <conditionalFormatting sqref="Q836:Q837">
    <cfRule type="duplicateValues" dxfId="153" priority="144"/>
  </conditionalFormatting>
  <conditionalFormatting sqref="Q857:Q858">
    <cfRule type="duplicateValues" dxfId="152" priority="143"/>
  </conditionalFormatting>
  <conditionalFormatting sqref="Q1492:Q1493">
    <cfRule type="duplicateValues" dxfId="151" priority="142"/>
  </conditionalFormatting>
  <conditionalFormatting sqref="Q1537:Q1538">
    <cfRule type="duplicateValues" dxfId="150" priority="141"/>
  </conditionalFormatting>
  <conditionalFormatting sqref="Q1547:Q1548">
    <cfRule type="duplicateValues" dxfId="149" priority="140"/>
  </conditionalFormatting>
  <conditionalFormatting sqref="Q1545:Q1546">
    <cfRule type="duplicateValues" dxfId="148" priority="216"/>
  </conditionalFormatting>
  <conditionalFormatting sqref="Q1693:Q1694">
    <cfRule type="duplicateValues" dxfId="147" priority="139"/>
  </conditionalFormatting>
  <conditionalFormatting sqref="Q1732:Q1733">
    <cfRule type="duplicateValues" dxfId="146" priority="138"/>
  </conditionalFormatting>
  <conditionalFormatting sqref="Q1727:Q1728">
    <cfRule type="duplicateValues" dxfId="145" priority="137"/>
  </conditionalFormatting>
  <conditionalFormatting sqref="Q1737:Q1738">
    <cfRule type="duplicateValues" dxfId="144" priority="136"/>
  </conditionalFormatting>
  <conditionalFormatting sqref="Q1744:Q1745">
    <cfRule type="duplicateValues" dxfId="143" priority="135"/>
  </conditionalFormatting>
  <conditionalFormatting sqref="Q1560 Q1562">
    <cfRule type="duplicateValues" dxfId="142" priority="217"/>
  </conditionalFormatting>
  <conditionalFormatting sqref="Q1761:Q1762">
    <cfRule type="duplicateValues" dxfId="141" priority="134"/>
  </conditionalFormatting>
  <conditionalFormatting sqref="Q1882:Q1883">
    <cfRule type="duplicateValues" dxfId="140" priority="133"/>
  </conditionalFormatting>
  <conditionalFormatting sqref="Q1887:Q1888">
    <cfRule type="duplicateValues" dxfId="139" priority="132"/>
  </conditionalFormatting>
  <conditionalFormatting sqref="Q1893:Q1894">
    <cfRule type="duplicateValues" dxfId="138" priority="218"/>
  </conditionalFormatting>
  <conditionalFormatting sqref="Q2622:Q2623">
    <cfRule type="duplicateValues" dxfId="137" priority="131"/>
  </conditionalFormatting>
  <conditionalFormatting sqref="Q2545:Q2546">
    <cfRule type="duplicateValues" dxfId="136" priority="219"/>
  </conditionalFormatting>
  <conditionalFormatting sqref="Q2666 P2665">
    <cfRule type="duplicateValues" dxfId="135" priority="130"/>
  </conditionalFormatting>
  <conditionalFormatting sqref="Q2675:Q2676">
    <cfRule type="duplicateValues" dxfId="134" priority="220"/>
  </conditionalFormatting>
  <conditionalFormatting sqref="Q2636:Q2637">
    <cfRule type="duplicateValues" dxfId="133" priority="221"/>
  </conditionalFormatting>
  <conditionalFormatting sqref="Q2725:Q2726">
    <cfRule type="duplicateValues" dxfId="132" priority="129"/>
  </conditionalFormatting>
  <conditionalFormatting sqref="Q2679:Q2680">
    <cfRule type="duplicateValues" dxfId="131" priority="222"/>
  </conditionalFormatting>
  <conditionalFormatting sqref="Q2837:Q2838">
    <cfRule type="duplicateValues" dxfId="130" priority="128"/>
  </conditionalFormatting>
  <conditionalFormatting sqref="Q2767:Q2768">
    <cfRule type="duplicateValues" dxfId="129" priority="223"/>
  </conditionalFormatting>
  <conditionalFormatting sqref="Q2842:Q2843">
    <cfRule type="duplicateValues" dxfId="128" priority="127"/>
  </conditionalFormatting>
  <conditionalFormatting sqref="Q2841">
    <cfRule type="duplicateValues" dxfId="127" priority="224"/>
  </conditionalFormatting>
  <conditionalFormatting sqref="Q2857:Q2858">
    <cfRule type="duplicateValues" dxfId="126" priority="126"/>
  </conditionalFormatting>
  <conditionalFormatting sqref="Q2862:Q2863">
    <cfRule type="duplicateValues" dxfId="125" priority="125"/>
  </conditionalFormatting>
  <conditionalFormatting sqref="Q2847:Q2848">
    <cfRule type="duplicateValues" dxfId="124" priority="124"/>
  </conditionalFormatting>
  <conditionalFormatting sqref="Q2852:Q2853">
    <cfRule type="duplicateValues" dxfId="123" priority="123"/>
  </conditionalFormatting>
  <conditionalFormatting sqref="Q3009:Q3010">
    <cfRule type="duplicateValues" dxfId="122" priority="120"/>
  </conditionalFormatting>
  <conditionalFormatting sqref="Q3014:Q3015">
    <cfRule type="duplicateValues" dxfId="121" priority="119"/>
  </conditionalFormatting>
  <conditionalFormatting sqref="Q3041:Q3042">
    <cfRule type="duplicateValues" dxfId="120" priority="118"/>
  </conditionalFormatting>
  <conditionalFormatting sqref="Q3047:Q3048">
    <cfRule type="duplicateValues" dxfId="119" priority="117"/>
  </conditionalFormatting>
  <conditionalFormatting sqref="Q3115:Q3116">
    <cfRule type="duplicateValues" dxfId="118" priority="116"/>
  </conditionalFormatting>
  <conditionalFormatting sqref="Q3120:Q3121">
    <cfRule type="duplicateValues" dxfId="117" priority="115"/>
  </conditionalFormatting>
  <conditionalFormatting sqref="Q4734:Q4735">
    <cfRule type="duplicateValues" dxfId="116" priority="113"/>
  </conditionalFormatting>
  <conditionalFormatting sqref="Q4594 Q4596">
    <cfRule type="duplicateValues" dxfId="115" priority="225"/>
  </conditionalFormatting>
  <conditionalFormatting sqref="Q4160:Q4164 P4139:P4148 Q4140:Q4141 P4150:P4156">
    <cfRule type="duplicateValues" dxfId="114" priority="108"/>
  </conditionalFormatting>
  <conditionalFormatting sqref="P4164 Q4179:Q4183 Q4166:Q4167 P4166:P4175">
    <cfRule type="duplicateValues" dxfId="113" priority="107"/>
  </conditionalFormatting>
  <conditionalFormatting sqref="Q294:Q298">
    <cfRule type="duplicateValues" dxfId="112" priority="106"/>
  </conditionalFormatting>
  <conditionalFormatting sqref="Q1491">
    <cfRule type="duplicateValues" dxfId="111" priority="105"/>
  </conditionalFormatting>
  <conditionalFormatting sqref="Q1722:Q1723">
    <cfRule type="duplicateValues" dxfId="110" priority="104"/>
  </conditionalFormatting>
  <conditionalFormatting sqref="Q1866:Q1867">
    <cfRule type="duplicateValues" dxfId="109" priority="103"/>
  </conditionalFormatting>
  <conditionalFormatting sqref="Q2670:Q2671">
    <cfRule type="duplicateValues" dxfId="108" priority="102"/>
  </conditionalFormatting>
  <conditionalFormatting sqref="Q4190">
    <cfRule type="duplicateValues" dxfId="107" priority="101"/>
  </conditionalFormatting>
  <conditionalFormatting sqref="Q4191">
    <cfRule type="duplicateValues" dxfId="106" priority="100"/>
  </conditionalFormatting>
  <conditionalFormatting sqref="Q3152:Q3153">
    <cfRule type="duplicateValues" dxfId="105" priority="229"/>
  </conditionalFormatting>
  <conditionalFormatting sqref="Q3482:Q3483">
    <cfRule type="duplicateValues" dxfId="104" priority="98"/>
  </conditionalFormatting>
  <conditionalFormatting sqref="Q3458:Q3459">
    <cfRule type="duplicateValues" dxfId="103" priority="230"/>
  </conditionalFormatting>
  <conditionalFormatting sqref="Q3509:Q3510">
    <cfRule type="duplicateValues" dxfId="102" priority="97"/>
  </conditionalFormatting>
  <conditionalFormatting sqref="Q3718:Q3719">
    <cfRule type="duplicateValues" dxfId="101" priority="96"/>
  </conditionalFormatting>
  <conditionalFormatting sqref="Q3613:Q3614">
    <cfRule type="duplicateValues" dxfId="100" priority="231"/>
  </conditionalFormatting>
  <conditionalFormatting sqref="Q4113:Q4114 Q4073:Q4074">
    <cfRule type="duplicateValues" dxfId="99" priority="232"/>
  </conditionalFormatting>
  <conditionalFormatting sqref="S253">
    <cfRule type="duplicateValues" dxfId="98" priority="90"/>
  </conditionalFormatting>
  <conditionalFormatting sqref="S269">
    <cfRule type="duplicateValues" dxfId="97" priority="88"/>
  </conditionalFormatting>
  <conditionalFormatting sqref="S2516:S2517">
    <cfRule type="duplicateValues" dxfId="96" priority="80"/>
  </conditionalFormatting>
  <conditionalFormatting sqref="Q846:Q847">
    <cfRule type="duplicateValues" dxfId="95" priority="79"/>
  </conditionalFormatting>
  <conditionalFormatting sqref="Q4567:Q4569 Q4559:Q4560">
    <cfRule type="duplicateValues" dxfId="94" priority="77"/>
  </conditionalFormatting>
  <conditionalFormatting sqref="Q4586:Q4587">
    <cfRule type="duplicateValues" dxfId="93" priority="78"/>
  </conditionalFormatting>
  <conditionalFormatting sqref="Q4576:Q4577">
    <cfRule type="duplicateValues" dxfId="92" priority="76"/>
  </conditionalFormatting>
  <conditionalFormatting sqref="Q4045:Q4051 Q4053">
    <cfRule type="duplicateValues" dxfId="91" priority="238"/>
  </conditionalFormatting>
  <conditionalFormatting sqref="Q388:Q389">
    <cfRule type="duplicateValues" dxfId="90" priority="74"/>
  </conditionalFormatting>
  <conditionalFormatting sqref="Q420:Q421">
    <cfRule type="duplicateValues" dxfId="89" priority="73"/>
  </conditionalFormatting>
  <conditionalFormatting sqref="Q822:Q823">
    <cfRule type="duplicateValues" dxfId="88" priority="72"/>
  </conditionalFormatting>
  <conditionalFormatting sqref="Q1897:Q1898">
    <cfRule type="duplicateValues" dxfId="87" priority="71"/>
  </conditionalFormatting>
  <conditionalFormatting sqref="Q3545 Q3547:Q3548">
    <cfRule type="duplicateValues" dxfId="86" priority="70"/>
  </conditionalFormatting>
  <conditionalFormatting sqref="Q4532:Q4533">
    <cfRule type="duplicateValues" dxfId="85" priority="69"/>
  </conditionalFormatting>
  <conditionalFormatting sqref="Q4529:Q4530">
    <cfRule type="duplicateValues" dxfId="84" priority="240"/>
  </conditionalFormatting>
  <conditionalFormatting sqref="Q4563:Q4564">
    <cfRule type="duplicateValues" dxfId="83" priority="67"/>
  </conditionalFormatting>
  <conditionalFormatting sqref="Q1505:Q1507 Q1494:Q1502">
    <cfRule type="duplicateValues" dxfId="82" priority="66"/>
  </conditionalFormatting>
  <conditionalFormatting sqref="Q2880:Q2881">
    <cfRule type="duplicateValues" dxfId="81" priority="65"/>
  </conditionalFormatting>
  <conditionalFormatting sqref="Q2874:Q2876">
    <cfRule type="duplicateValues" dxfId="80" priority="64"/>
  </conditionalFormatting>
  <conditionalFormatting sqref="S2460">
    <cfRule type="duplicateValues" dxfId="79" priority="61"/>
  </conditionalFormatting>
  <conditionalFormatting sqref="Q2461:Q2468 Q2458:Q2459">
    <cfRule type="duplicateValues" dxfId="78" priority="62"/>
  </conditionalFormatting>
  <conditionalFormatting sqref="S2477">
    <cfRule type="duplicateValues" dxfId="77" priority="59"/>
  </conditionalFormatting>
  <conditionalFormatting sqref="Q2478:Q2485 Q2469:Q2471 Q2475:Q2476">
    <cfRule type="duplicateValues" dxfId="76" priority="60"/>
  </conditionalFormatting>
  <conditionalFormatting sqref="Q2487">
    <cfRule type="duplicateValues" dxfId="75" priority="58"/>
  </conditionalFormatting>
  <conditionalFormatting sqref="Q2445:Q2454">
    <cfRule type="duplicateValues" dxfId="74" priority="63"/>
  </conditionalFormatting>
  <conditionalFormatting sqref="S2492">
    <cfRule type="duplicateValues" dxfId="73" priority="56"/>
  </conditionalFormatting>
  <conditionalFormatting sqref="Q2499:Q2502 Q2488">
    <cfRule type="duplicateValues" dxfId="72" priority="257"/>
  </conditionalFormatting>
  <conditionalFormatting sqref="S216:S217">
    <cfRule type="duplicateValues" dxfId="71" priority="52"/>
  </conditionalFormatting>
  <conditionalFormatting sqref="Q4244:Q4255 Q4189 Q4192:Q4193">
    <cfRule type="duplicateValues" dxfId="70" priority="261"/>
  </conditionalFormatting>
  <conditionalFormatting sqref="Q604:Q607">
    <cfRule type="duplicateValues" dxfId="69" priority="268"/>
  </conditionalFormatting>
  <conditionalFormatting sqref="Q1754">
    <cfRule type="duplicateValues" dxfId="68" priority="269"/>
  </conditionalFormatting>
  <conditionalFormatting sqref="Q2489:Q2491 Q2493:Q2498">
    <cfRule type="duplicateValues" dxfId="67" priority="302"/>
  </conditionalFormatting>
  <conditionalFormatting sqref="S29:S44 Q24:Q27 Q45:Q48 S9:S23 Q66:Q73 S50:S65">
    <cfRule type="duplicateValues" dxfId="66" priority="310"/>
  </conditionalFormatting>
  <conditionalFormatting sqref="Q3005">
    <cfRule type="duplicateValues" dxfId="65" priority="325"/>
  </conditionalFormatting>
  <conditionalFormatting sqref="Q3000:Q3001">
    <cfRule type="duplicateValues" dxfId="64" priority="332"/>
  </conditionalFormatting>
  <conditionalFormatting sqref="S213">
    <cfRule type="duplicateValues" dxfId="63" priority="45"/>
  </conditionalFormatting>
  <conditionalFormatting sqref="Q212">
    <cfRule type="duplicateValues" dxfId="62" priority="44"/>
  </conditionalFormatting>
  <conditionalFormatting sqref="Q246">
    <cfRule type="duplicateValues" dxfId="61" priority="42"/>
  </conditionalFormatting>
  <conditionalFormatting sqref="Q254:Q259 Q251:Q252 Q244:Q245">
    <cfRule type="duplicateValues" dxfId="60" priority="333"/>
  </conditionalFormatting>
  <conditionalFormatting sqref="AE250">
    <cfRule type="duplicateValues" dxfId="59" priority="41"/>
  </conditionalFormatting>
  <conditionalFormatting sqref="Q248:Q249">
    <cfRule type="duplicateValues" dxfId="58" priority="40"/>
  </conditionalFormatting>
  <conditionalFormatting sqref="S266">
    <cfRule type="duplicateValues" dxfId="57" priority="39"/>
  </conditionalFormatting>
  <conditionalFormatting sqref="Q265">
    <cfRule type="duplicateValues" dxfId="56" priority="38"/>
  </conditionalFormatting>
  <conditionalFormatting sqref="Q157">
    <cfRule type="duplicateValues" dxfId="55" priority="37"/>
  </conditionalFormatting>
  <conditionalFormatting sqref="S247">
    <cfRule type="duplicateValues" dxfId="54" priority="359"/>
  </conditionalFormatting>
  <conditionalFormatting sqref="Q4571">
    <cfRule type="duplicateValues" dxfId="53" priority="36"/>
  </conditionalFormatting>
  <conditionalFormatting sqref="Q4520">
    <cfRule type="duplicateValues" dxfId="52" priority="35"/>
  </conditionalFormatting>
  <conditionalFormatting sqref="Q599:Q600">
    <cfRule type="duplicateValues" dxfId="51" priority="34"/>
  </conditionalFormatting>
  <conditionalFormatting sqref="Q602">
    <cfRule type="duplicateValues" dxfId="50" priority="33"/>
  </conditionalFormatting>
  <conditionalFormatting sqref="Q280">
    <cfRule type="duplicateValues" dxfId="49" priority="383"/>
  </conditionalFormatting>
  <conditionalFormatting sqref="Q263:Q264 Q270 Q267:Q268">
    <cfRule type="duplicateValues" dxfId="48" priority="411"/>
  </conditionalFormatting>
  <conditionalFormatting sqref="Q129 S101:S112 Q74:Q100">
    <cfRule type="duplicateValues" dxfId="47" priority="420"/>
  </conditionalFormatting>
  <conditionalFormatting sqref="Q149">
    <cfRule type="duplicateValues" dxfId="46" priority="447"/>
  </conditionalFormatting>
  <conditionalFormatting sqref="S167:S168">
    <cfRule type="duplicateValues" dxfId="45" priority="466"/>
  </conditionalFormatting>
  <conditionalFormatting sqref="Q169:Q170">
    <cfRule type="duplicateValues" dxfId="44" priority="475"/>
  </conditionalFormatting>
  <conditionalFormatting sqref="Q186">
    <cfRule type="duplicateValues" dxfId="43" priority="491"/>
  </conditionalFormatting>
  <conditionalFormatting sqref="Q201:Q202">
    <cfRule type="duplicateValues" dxfId="42" priority="512"/>
  </conditionalFormatting>
  <conditionalFormatting sqref="Q2474">
    <cfRule type="duplicateValues" dxfId="41" priority="32"/>
  </conditionalFormatting>
  <conditionalFormatting sqref="Q2504:Q2506">
    <cfRule type="duplicateValues" dxfId="40" priority="31"/>
  </conditionalFormatting>
  <conditionalFormatting sqref="Q2508:Q2510">
    <cfRule type="duplicateValues" dxfId="39" priority="30"/>
  </conditionalFormatting>
  <conditionalFormatting sqref="Q2523">
    <cfRule type="duplicateValues" dxfId="38" priority="29"/>
  </conditionalFormatting>
  <conditionalFormatting sqref="Q2512:Q2515 Q2518:Q2522">
    <cfRule type="duplicateValues" dxfId="37" priority="551"/>
  </conditionalFormatting>
  <conditionalFormatting sqref="Q2527">
    <cfRule type="duplicateValues" dxfId="36" priority="28"/>
  </conditionalFormatting>
  <conditionalFormatting sqref="Q2554">
    <cfRule type="duplicateValues" dxfId="35" priority="27"/>
  </conditionalFormatting>
  <conditionalFormatting sqref="Q3157:Q3158">
    <cfRule type="duplicateValues" dxfId="34" priority="577"/>
  </conditionalFormatting>
  <conditionalFormatting sqref="Q4214:Q4215">
    <cfRule type="duplicateValues" dxfId="33" priority="26"/>
  </conditionalFormatting>
  <conditionalFormatting sqref="Q610:Q612">
    <cfRule type="duplicateValues" dxfId="32" priority="642"/>
  </conditionalFormatting>
  <conditionalFormatting sqref="Q4561">
    <cfRule type="duplicateValues" dxfId="31" priority="645"/>
  </conditionalFormatting>
  <conditionalFormatting sqref="Q158:Q162 Q156 P153:P155 Q150:Q152">
    <cfRule type="duplicateValues" dxfId="30" priority="884"/>
  </conditionalFormatting>
  <conditionalFormatting sqref="Q163:Q166">
    <cfRule type="duplicateValues" dxfId="29" priority="925"/>
  </conditionalFormatting>
  <conditionalFormatting sqref="P4906:P4907">
    <cfRule type="duplicateValues" dxfId="28" priority="926"/>
  </conditionalFormatting>
  <conditionalFormatting sqref="P5059:P5060">
    <cfRule type="duplicateValues" dxfId="27" priority="24"/>
  </conditionalFormatting>
  <conditionalFormatting sqref="P5063:P5064">
    <cfRule type="duplicateValues" dxfId="26" priority="23"/>
  </conditionalFormatting>
  <conditionalFormatting sqref="Q323">
    <cfRule type="duplicateValues" dxfId="25" priority="939"/>
  </conditionalFormatting>
  <conditionalFormatting sqref="Q236:Q241">
    <cfRule type="duplicateValues" dxfId="24" priority="978"/>
  </conditionalFormatting>
  <conditionalFormatting sqref="Q214:Q215">
    <cfRule type="duplicateValues" dxfId="23" priority="979"/>
  </conditionalFormatting>
  <conditionalFormatting sqref="Q126">
    <cfRule type="duplicateValues" dxfId="22" priority="19"/>
  </conditionalFormatting>
  <conditionalFormatting sqref="Q128 Q124:Q125">
    <cfRule type="duplicateValues" dxfId="21" priority="20"/>
  </conditionalFormatting>
  <conditionalFormatting sqref="AE127">
    <cfRule type="duplicateValues" dxfId="20" priority="18"/>
  </conditionalFormatting>
  <conditionalFormatting sqref="Q118:Q121">
    <cfRule type="duplicateValues" dxfId="19" priority="22"/>
  </conditionalFormatting>
  <conditionalFormatting sqref="S115:S117 Q113">
    <cfRule type="duplicateValues" dxfId="18" priority="1020"/>
  </conditionalFormatting>
  <conditionalFormatting sqref="Q209">
    <cfRule type="duplicateValues" dxfId="17" priority="14"/>
  </conditionalFormatting>
  <conditionalFormatting sqref="Q211">
    <cfRule type="duplicateValues" dxfId="16" priority="15"/>
  </conditionalFormatting>
  <conditionalFormatting sqref="AE210">
    <cfRule type="duplicateValues" dxfId="15" priority="13"/>
  </conditionalFormatting>
  <conditionalFormatting sqref="Q203:Q206">
    <cfRule type="duplicateValues" dxfId="14" priority="16"/>
  </conditionalFormatting>
  <conditionalFormatting sqref="Q198">
    <cfRule type="duplicateValues" dxfId="13" priority="10"/>
  </conditionalFormatting>
  <conditionalFormatting sqref="Q200">
    <cfRule type="duplicateValues" dxfId="12" priority="11"/>
  </conditionalFormatting>
  <conditionalFormatting sqref="AE199">
    <cfRule type="duplicateValues" dxfId="11" priority="9"/>
  </conditionalFormatting>
  <conditionalFormatting sqref="Q189:Q195">
    <cfRule type="duplicateValues" dxfId="10" priority="12"/>
  </conditionalFormatting>
  <conditionalFormatting sqref="Q180">
    <cfRule type="duplicateValues" dxfId="9" priority="6"/>
  </conditionalFormatting>
  <conditionalFormatting sqref="Q182">
    <cfRule type="duplicateValues" dxfId="8" priority="7"/>
  </conditionalFormatting>
  <conditionalFormatting sqref="AE181">
    <cfRule type="duplicateValues" dxfId="7" priority="5"/>
  </conditionalFormatting>
  <conditionalFormatting sqref="Q171:Q177">
    <cfRule type="duplicateValues" dxfId="6" priority="8"/>
  </conditionalFormatting>
  <conditionalFormatting sqref="Q183">
    <cfRule type="duplicateValues" dxfId="5" priority="1036"/>
  </conditionalFormatting>
  <conditionalFormatting sqref="Q145">
    <cfRule type="duplicateValues" dxfId="4" priority="2"/>
  </conditionalFormatting>
  <conditionalFormatting sqref="Q147">
    <cfRule type="duplicateValues" dxfId="3" priority="3"/>
  </conditionalFormatting>
  <conditionalFormatting sqref="AE146">
    <cfRule type="duplicateValues" dxfId="2" priority="1"/>
  </conditionalFormatting>
  <conditionalFormatting sqref="Q135:Q141">
    <cfRule type="duplicateValues" dxfId="1" priority="4"/>
  </conditionalFormatting>
  <pageMargins left="0.5" right="0.5" top="0.55000000000000004" bottom="0.5" header="0.05" footer="0.3"/>
  <pageSetup fitToHeight="0" orientation="landscape" r:id="rId1"/>
  <headerFooter differentFirst="1">
    <oddFooter>&amp;C&amp;P</oddFooter>
  </headerFooter>
  <rowBreaks count="24" manualBreakCount="24">
    <brk id="375" max="16383" man="1"/>
    <brk id="450" max="16383" man="1"/>
    <brk id="608" max="16383" man="1"/>
    <brk id="675" max="16383" man="1"/>
    <brk id="887" max="16383" man="1"/>
    <brk id="1563" max="16383" man="1"/>
    <brk id="1980" max="16383" man="1"/>
    <brk id="2057" max="16383" man="1"/>
    <brk id="2827" max="16383" man="1"/>
    <brk id="2890" max="16383" man="1"/>
    <brk id="3095" max="16383" man="1"/>
    <brk id="3146" max="16383" man="1"/>
    <brk id="3233" max="16383" man="1"/>
    <brk id="3332" max="16383" man="1"/>
    <brk id="3417" max="16383" man="1"/>
    <brk id="3565" max="16383" man="1"/>
    <brk id="3821" max="16383" man="1"/>
    <brk id="3911" max="16383" man="1"/>
    <brk id="4063" max="16383" man="1"/>
    <brk id="4193" max="16383" man="1"/>
    <brk id="4652" max="16383" man="1"/>
    <brk id="4776" max="16383" man="1"/>
    <brk id="4834" max="16383" man="1"/>
    <brk id="4910" max="16383" man="1"/>
  </rowBreaks>
  <ignoredErrors>
    <ignoredError sqref="K2062 I4890 K1712 K4038" formula="1"/>
    <ignoredError sqref="A2878:A2879"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276225</xdr:colOff>
                <xdr:row>749</xdr:row>
                <xdr:rowOff>333375</xdr:rowOff>
              </from>
              <to>
                <xdr:col>1</xdr:col>
                <xdr:colOff>0</xdr:colOff>
                <xdr:row>749</xdr:row>
                <xdr:rowOff>1143000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80" r:id="rId6">
          <objectPr defaultSize="0" altText="FAC 2131 RUC _FY2011 CNIC Study" r:id="rId7">
            <anchor moveWithCells="1">
              <from>
                <xdr:col>0</xdr:col>
                <xdr:colOff>219075</xdr:colOff>
                <xdr:row>1739</xdr:row>
                <xdr:rowOff>447675</xdr:rowOff>
              </from>
              <to>
                <xdr:col>1</xdr:col>
                <xdr:colOff>0</xdr:colOff>
                <xdr:row>1741</xdr:row>
                <xdr:rowOff>333375</xdr:rowOff>
              </to>
            </anchor>
          </objectPr>
        </oleObject>
      </mc:Choice>
      <mc:Fallback>
        <oleObject progId="Acrobat Document" dvAspect="DVASPECT_ICON" shapeId="3080" r:id="rId6"/>
      </mc:Fallback>
    </mc:AlternateContent>
    <mc:AlternateContent xmlns:mc="http://schemas.openxmlformats.org/markup-compatibility/2006">
      <mc:Choice Requires="x14">
        <oleObject progId="Acrobat Document" dvAspect="DVASPECT_ICON" shapeId="3084" r:id="rId8">
          <objectPr defaultSize="0" r:id="rId9">
            <anchor moveWithCells="1">
              <from>
                <xdr:col>3</xdr:col>
                <xdr:colOff>19050</xdr:colOff>
                <xdr:row>5271</xdr:row>
                <xdr:rowOff>38100</xdr:rowOff>
              </from>
              <to>
                <xdr:col>3</xdr:col>
                <xdr:colOff>933450</xdr:colOff>
                <xdr:row>5272</xdr:row>
                <xdr:rowOff>342900</xdr:rowOff>
              </to>
            </anchor>
          </objectPr>
        </oleObject>
      </mc:Choice>
      <mc:Fallback>
        <oleObject progId="Acrobat Document" dvAspect="DVASPECT_ICON" shapeId="3084"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tabColor theme="4" tint="0.79998168889431442"/>
    <pageSetUpPr fitToPage="1"/>
  </sheetPr>
  <dimension ref="A1:B7"/>
  <sheetViews>
    <sheetView workbookViewId="0">
      <selection activeCell="B7" sqref="B7"/>
    </sheetView>
  </sheetViews>
  <sheetFormatPr defaultRowHeight="15" x14ac:dyDescent="0.25"/>
  <cols>
    <col min="1" max="1" width="14.85546875" style="1" customWidth="1"/>
    <col min="2" max="2" width="93.140625" style="1" customWidth="1"/>
  </cols>
  <sheetData>
    <row r="1" spans="1:2" ht="24.75" customHeight="1" x14ac:dyDescent="0.3">
      <c r="A1" s="1738" t="s">
        <v>3354</v>
      </c>
      <c r="B1" s="1738"/>
    </row>
    <row r="2" spans="1:2" ht="30" x14ac:dyDescent="0.25">
      <c r="A2" s="301" t="s">
        <v>3355</v>
      </c>
      <c r="B2" s="301" t="s">
        <v>3356</v>
      </c>
    </row>
    <row r="3" spans="1:2" ht="36.75" customHeight="1" x14ac:dyDescent="0.25">
      <c r="A3" s="301" t="s">
        <v>3357</v>
      </c>
      <c r="B3" s="301" t="s">
        <v>3358</v>
      </c>
    </row>
    <row r="4" spans="1:2" ht="63" customHeight="1" x14ac:dyDescent="0.25">
      <c r="A4" s="301" t="s">
        <v>3359</v>
      </c>
      <c r="B4" s="301" t="s">
        <v>3360</v>
      </c>
    </row>
    <row r="5" spans="1:2" ht="90" x14ac:dyDescent="0.25">
      <c r="A5" s="301" t="s">
        <v>3361</v>
      </c>
      <c r="B5" s="301" t="s">
        <v>3362</v>
      </c>
    </row>
    <row r="6" spans="1:2" ht="75" x14ac:dyDescent="0.25">
      <c r="A6" s="301" t="s">
        <v>3363</v>
      </c>
      <c r="B6" s="301" t="s">
        <v>3364</v>
      </c>
    </row>
    <row r="7" spans="1:2" ht="120" x14ac:dyDescent="0.25">
      <c r="A7" s="301" t="s">
        <v>3365</v>
      </c>
      <c r="B7" s="301" t="s">
        <v>3366</v>
      </c>
    </row>
  </sheetData>
  <mergeCells count="1">
    <mergeCell ref="A1:B1"/>
  </mergeCells>
  <pageMargins left="0.7" right="0.7" top="0.75" bottom="0.75" header="0.3" footer="0.3"/>
  <pageSetup scale="8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6444-E2AB-4344-A8CE-353AAF735A29}">
  <sheetPr>
    <tabColor theme="4" tint="0.79998168889431442"/>
  </sheetPr>
  <dimension ref="A1:J39"/>
  <sheetViews>
    <sheetView workbookViewId="0">
      <selection activeCell="K21" sqref="K21"/>
    </sheetView>
  </sheetViews>
  <sheetFormatPr defaultRowHeight="15" x14ac:dyDescent="0.25"/>
  <cols>
    <col min="8" max="8" width="3.28515625" customWidth="1"/>
  </cols>
  <sheetData>
    <row r="1" spans="1:8" ht="14.45" customHeight="1" x14ac:dyDescent="0.25">
      <c r="A1" s="1695" t="s">
        <v>2877</v>
      </c>
      <c r="B1" s="1695"/>
      <c r="C1" s="1695"/>
      <c r="D1" s="1695"/>
      <c r="E1" s="1695"/>
      <c r="F1" s="1695"/>
      <c r="G1" s="1695"/>
      <c r="H1" s="119"/>
    </row>
    <row r="2" spans="1:8" x14ac:dyDescent="0.25">
      <c r="A2" s="1695"/>
      <c r="B2" s="1695"/>
      <c r="C2" s="1695"/>
      <c r="D2" s="1695"/>
      <c r="E2" s="1695"/>
      <c r="F2" s="1695"/>
      <c r="G2" s="1695"/>
      <c r="H2" s="119"/>
    </row>
    <row r="39" spans="10:10" x14ac:dyDescent="0.25">
      <c r="J39" s="138"/>
    </row>
  </sheetData>
  <mergeCells count="1">
    <mergeCell ref="A1:G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pageSetUpPr fitToPage="1"/>
  </sheetPr>
  <dimension ref="A1:S31"/>
  <sheetViews>
    <sheetView topLeftCell="A4" zoomScale="85" zoomScaleNormal="85" workbookViewId="0">
      <selection activeCell="F21" sqref="F21"/>
    </sheetView>
  </sheetViews>
  <sheetFormatPr defaultColWidth="9.140625" defaultRowHeight="15" x14ac:dyDescent="0.25"/>
  <cols>
    <col min="1" max="1" width="30.28515625" style="9" customWidth="1"/>
    <col min="2" max="2" width="12" style="9" customWidth="1"/>
    <col min="3" max="3" width="11.42578125" style="9" customWidth="1"/>
    <col min="4" max="4" width="16.5703125" style="9" customWidth="1"/>
    <col min="5" max="5" width="15.42578125" style="9" customWidth="1"/>
    <col min="6" max="6" width="23.5703125" style="9" customWidth="1"/>
    <col min="7" max="7" width="19.85546875" style="9" customWidth="1"/>
    <col min="8" max="8" width="14" style="9" customWidth="1"/>
    <col min="9" max="9" width="15.42578125" style="9" customWidth="1"/>
    <col min="10" max="10" width="16.140625" style="9" customWidth="1"/>
    <col min="11" max="16384" width="9.140625" style="9"/>
  </cols>
  <sheetData>
    <row r="1" spans="1:19" ht="30" customHeight="1" x14ac:dyDescent="0.25">
      <c r="A1" s="1699" t="s">
        <v>2878</v>
      </c>
      <c r="B1" s="1700"/>
      <c r="C1" s="1700"/>
      <c r="D1" s="1700"/>
      <c r="E1" s="1700"/>
      <c r="F1" s="1701"/>
      <c r="M1" s="5"/>
      <c r="O1" s="36"/>
      <c r="P1" s="5"/>
      <c r="S1" s="37"/>
    </row>
    <row r="2" spans="1:19" ht="109.5" customHeight="1" x14ac:dyDescent="0.25">
      <c r="A2" s="1702" t="s">
        <v>2879</v>
      </c>
      <c r="B2" s="1703"/>
      <c r="C2" s="1703"/>
      <c r="D2" s="1703"/>
      <c r="E2" s="1703"/>
      <c r="F2" s="1704"/>
      <c r="G2" s="51"/>
      <c r="H2" s="38"/>
      <c r="I2" s="38"/>
      <c r="J2" s="38"/>
      <c r="K2" s="16"/>
      <c r="M2" s="5"/>
      <c r="O2" s="36"/>
      <c r="P2" s="5"/>
      <c r="S2" s="37"/>
    </row>
    <row r="3" spans="1:19" ht="59.45" customHeight="1" x14ac:dyDescent="0.25">
      <c r="A3" s="312" t="s">
        <v>2880</v>
      </c>
      <c r="B3" s="238" t="s">
        <v>2881</v>
      </c>
      <c r="C3" s="238" t="s">
        <v>2882</v>
      </c>
      <c r="D3" s="294" t="s">
        <v>2883</v>
      </c>
      <c r="E3" s="142" t="s">
        <v>2884</v>
      </c>
      <c r="F3" s="313" t="s">
        <v>2885</v>
      </c>
      <c r="G3" s="53"/>
      <c r="H3" s="39"/>
      <c r="I3" s="8"/>
      <c r="J3" s="5"/>
      <c r="L3" s="5"/>
      <c r="N3" s="36"/>
      <c r="O3" s="5"/>
      <c r="R3" s="37"/>
    </row>
    <row r="4" spans="1:19" ht="30" customHeight="1" x14ac:dyDescent="0.25">
      <c r="A4" s="314"/>
      <c r="B4" s="295">
        <v>39356</v>
      </c>
      <c r="C4" s="241">
        <v>2008</v>
      </c>
      <c r="D4" s="193">
        <v>100</v>
      </c>
      <c r="E4" s="195"/>
      <c r="F4" s="296">
        <f>D18/D4</f>
        <v>1.4758838504863185</v>
      </c>
      <c r="G4" s="17"/>
      <c r="H4" s="17"/>
      <c r="I4" s="8"/>
      <c r="J4" s="5"/>
      <c r="L4" s="5"/>
      <c r="N4" s="36"/>
      <c r="O4" s="5"/>
      <c r="R4" s="37"/>
    </row>
    <row r="5" spans="1:19" ht="30" customHeight="1" x14ac:dyDescent="0.25">
      <c r="A5" s="314"/>
      <c r="B5" s="295">
        <v>39722</v>
      </c>
      <c r="C5" s="241">
        <v>2009</v>
      </c>
      <c r="D5" s="193">
        <v>104.36687965350772</v>
      </c>
      <c r="E5" s="220"/>
      <c r="F5" s="296">
        <f>D18/D5</f>
        <v>1.4141304745204335</v>
      </c>
      <c r="G5" s="39"/>
      <c r="H5" s="39"/>
      <c r="I5" s="8"/>
      <c r="J5" s="5"/>
      <c r="L5" s="5"/>
      <c r="N5" s="36"/>
      <c r="O5" s="5"/>
      <c r="R5" s="37"/>
    </row>
    <row r="6" spans="1:19" ht="30" customHeight="1" x14ac:dyDescent="0.25">
      <c r="A6" s="314"/>
      <c r="B6" s="295">
        <v>40087</v>
      </c>
      <c r="C6" s="241">
        <v>2010</v>
      </c>
      <c r="D6" s="193">
        <v>96.617868698058075</v>
      </c>
      <c r="E6" s="220"/>
      <c r="F6" s="296">
        <f>D18/D6</f>
        <v>1.5275475130781708</v>
      </c>
      <c r="G6" s="39"/>
      <c r="H6" s="39"/>
      <c r="I6" s="8"/>
      <c r="J6" s="5"/>
      <c r="L6" s="5"/>
      <c r="N6" s="36"/>
      <c r="O6" s="5"/>
      <c r="R6" s="37"/>
    </row>
    <row r="7" spans="1:19" ht="30" customHeight="1" x14ac:dyDescent="0.25">
      <c r="A7" s="314"/>
      <c r="B7" s="295">
        <v>40452</v>
      </c>
      <c r="C7" s="241">
        <v>2011</v>
      </c>
      <c r="D7" s="193">
        <v>96.536202508912254</v>
      </c>
      <c r="E7" s="220"/>
      <c r="F7" s="296">
        <f>D18/D7</f>
        <v>1.5288397638699995</v>
      </c>
      <c r="G7" s="39"/>
      <c r="H7" s="39"/>
      <c r="I7" s="8"/>
      <c r="J7" s="5"/>
      <c r="L7" s="5"/>
      <c r="N7" s="36"/>
      <c r="O7" s="5"/>
      <c r="R7" s="37"/>
    </row>
    <row r="8" spans="1:19" ht="30" customHeight="1" x14ac:dyDescent="0.25">
      <c r="A8" s="315" t="s">
        <v>2886</v>
      </c>
      <c r="B8" s="295">
        <v>40817</v>
      </c>
      <c r="C8" s="239">
        <v>2012</v>
      </c>
      <c r="D8" s="167">
        <v>98.94055747581173</v>
      </c>
      <c r="E8" s="221"/>
      <c r="F8" s="296">
        <f>D18/D8</f>
        <v>1.4916874213561331</v>
      </c>
      <c r="G8" s="40"/>
      <c r="H8" s="41"/>
      <c r="M8" s="15"/>
    </row>
    <row r="9" spans="1:19" ht="30" customHeight="1" x14ac:dyDescent="0.25">
      <c r="A9" s="315" t="s">
        <v>2887</v>
      </c>
      <c r="B9" s="295">
        <v>41183</v>
      </c>
      <c r="C9" s="239">
        <v>2013</v>
      </c>
      <c r="D9" s="167">
        <v>100.79382698088115</v>
      </c>
      <c r="E9" s="221"/>
      <c r="F9" s="296">
        <f>D18/D9</f>
        <v>1.4642601582796022</v>
      </c>
      <c r="G9" s="40"/>
      <c r="H9" s="41"/>
      <c r="M9" s="15"/>
    </row>
    <row r="10" spans="1:19" ht="30" customHeight="1" x14ac:dyDescent="0.25">
      <c r="A10" s="315" t="s">
        <v>2888</v>
      </c>
      <c r="B10" s="295">
        <v>41548</v>
      </c>
      <c r="C10" s="239">
        <v>2014</v>
      </c>
      <c r="D10" s="167">
        <v>104.48176215518485</v>
      </c>
      <c r="E10" s="221"/>
      <c r="F10" s="296">
        <f>D18/D10</f>
        <v>1.4125755730404082</v>
      </c>
      <c r="G10" s="40"/>
      <c r="H10" s="41"/>
      <c r="M10" s="15"/>
    </row>
    <row r="11" spans="1:19" ht="30" customHeight="1" x14ac:dyDescent="0.25">
      <c r="A11" s="315" t="s">
        <v>2889</v>
      </c>
      <c r="B11" s="295">
        <v>41913</v>
      </c>
      <c r="C11" s="239">
        <v>2015</v>
      </c>
      <c r="D11" s="167">
        <v>108.68748981038418</v>
      </c>
      <c r="E11" s="221"/>
      <c r="F11" s="296">
        <f>D18/D11</f>
        <v>1.357915113377943</v>
      </c>
      <c r="G11" s="40"/>
      <c r="H11" s="41"/>
      <c r="M11" s="15"/>
    </row>
    <row r="12" spans="1:19" ht="30" customHeight="1" x14ac:dyDescent="0.25">
      <c r="A12" s="315" t="s">
        <v>2890</v>
      </c>
      <c r="B12" s="295">
        <v>42278</v>
      </c>
      <c r="C12" s="239">
        <v>2016</v>
      </c>
      <c r="D12" s="167">
        <v>113.08118566321927</v>
      </c>
      <c r="E12" s="221"/>
      <c r="F12" s="296">
        <f>D18/D12</f>
        <v>1.3051542056534731</v>
      </c>
      <c r="G12" s="40"/>
      <c r="H12" s="41"/>
      <c r="M12" s="15"/>
    </row>
    <row r="13" spans="1:19" ht="30" customHeight="1" x14ac:dyDescent="0.25">
      <c r="A13" s="315" t="s">
        <v>2891</v>
      </c>
      <c r="B13" s="295">
        <v>42644</v>
      </c>
      <c r="C13" s="239">
        <v>2017</v>
      </c>
      <c r="D13" s="167">
        <v>117.49476449153478</v>
      </c>
      <c r="E13" s="222"/>
      <c r="F13" s="296">
        <f>D18/D13</f>
        <v>1.2561273320332946</v>
      </c>
      <c r="G13" s="40"/>
      <c r="H13" s="41"/>
      <c r="M13" s="15"/>
    </row>
    <row r="14" spans="1:19" ht="30" customHeight="1" x14ac:dyDescent="0.25">
      <c r="A14" s="315" t="s">
        <v>2892</v>
      </c>
      <c r="B14" s="295">
        <v>43009</v>
      </c>
      <c r="C14" s="239">
        <v>2018</v>
      </c>
      <c r="D14" s="167">
        <v>122.22543173834799</v>
      </c>
      <c r="E14" s="223"/>
      <c r="F14" s="296">
        <f>D18/D14</f>
        <v>1.2075096234029197</v>
      </c>
      <c r="G14" s="41"/>
      <c r="H14" s="41"/>
      <c r="I14" s="41"/>
      <c r="M14" s="15"/>
    </row>
    <row r="15" spans="1:19" ht="30" customHeight="1" x14ac:dyDescent="0.25">
      <c r="A15" s="315" t="s">
        <v>2893</v>
      </c>
      <c r="B15" s="295">
        <v>43374</v>
      </c>
      <c r="C15" s="239">
        <v>2019</v>
      </c>
      <c r="D15" s="167">
        <v>128.94182119951699</v>
      </c>
      <c r="E15" s="223"/>
      <c r="F15" s="296">
        <f>D18/D15</f>
        <v>1.1446122264727614</v>
      </c>
      <c r="G15" s="41"/>
      <c r="H15" s="41"/>
      <c r="I15" s="41"/>
      <c r="M15" s="15"/>
    </row>
    <row r="16" spans="1:19" ht="30" customHeight="1" x14ac:dyDescent="0.25">
      <c r="A16" s="315" t="s">
        <v>2894</v>
      </c>
      <c r="B16" s="297">
        <v>43739</v>
      </c>
      <c r="C16" s="239">
        <v>2020</v>
      </c>
      <c r="D16" s="178">
        <v>134.83448125817947</v>
      </c>
      <c r="E16" s="223"/>
      <c r="F16" s="296">
        <f>D18/D16</f>
        <v>1.0945893340593744</v>
      </c>
      <c r="G16" s="41"/>
      <c r="H16" s="41"/>
      <c r="I16" s="41"/>
      <c r="K16" s="15"/>
    </row>
    <row r="17" spans="1:14" ht="30" customHeight="1" x14ac:dyDescent="0.25">
      <c r="A17" s="316" t="s">
        <v>2895</v>
      </c>
      <c r="B17" s="297">
        <v>44105</v>
      </c>
      <c r="C17" s="151">
        <v>2021</v>
      </c>
      <c r="D17" s="258">
        <v>136.2290415488477</v>
      </c>
      <c r="E17" s="118"/>
      <c r="F17" s="317">
        <f>D18/D17</f>
        <v>1.0833841548808889</v>
      </c>
      <c r="N17" s="15"/>
    </row>
    <row r="18" spans="1:14" ht="30" customHeight="1" x14ac:dyDescent="0.25">
      <c r="A18" s="196" t="s">
        <v>2896</v>
      </c>
      <c r="B18" s="197">
        <v>44470</v>
      </c>
      <c r="C18" s="225">
        <v>2022</v>
      </c>
      <c r="D18" s="258">
        <v>147.58838504863186</v>
      </c>
      <c r="E18" s="198">
        <v>1</v>
      </c>
      <c r="F18" s="317">
        <f>D18/D18</f>
        <v>1</v>
      </c>
      <c r="N18" s="15"/>
    </row>
    <row r="19" spans="1:14" ht="30" customHeight="1" x14ac:dyDescent="0.25">
      <c r="A19" s="196" t="s">
        <v>2897</v>
      </c>
      <c r="B19" s="197">
        <v>44835</v>
      </c>
      <c r="C19" s="225">
        <v>2023</v>
      </c>
      <c r="D19" s="221"/>
      <c r="E19" s="230">
        <v>1.022</v>
      </c>
      <c r="F19" s="317">
        <f t="shared" ref="F19:F24" si="0">F18/E19</f>
        <v>0.97847358121330719</v>
      </c>
      <c r="N19" s="15"/>
    </row>
    <row r="20" spans="1:14" ht="30" customHeight="1" x14ac:dyDescent="0.25">
      <c r="A20" s="196" t="s">
        <v>2898</v>
      </c>
      <c r="B20" s="197">
        <v>45200</v>
      </c>
      <c r="C20" s="225">
        <v>2024</v>
      </c>
      <c r="D20" s="221"/>
      <c r="E20" s="230">
        <v>1.02</v>
      </c>
      <c r="F20" s="317">
        <f>F19/E20</f>
        <v>0.95928782471892859</v>
      </c>
      <c r="N20" s="15"/>
    </row>
    <row r="21" spans="1:14" ht="30" customHeight="1" x14ac:dyDescent="0.25">
      <c r="A21" s="196" t="s">
        <v>2899</v>
      </c>
      <c r="B21" s="197">
        <v>45566</v>
      </c>
      <c r="C21" s="151">
        <v>2025</v>
      </c>
      <c r="D21" s="221"/>
      <c r="E21" s="230">
        <v>1.02</v>
      </c>
      <c r="F21" s="317">
        <f t="shared" si="0"/>
        <v>0.94047825952836139</v>
      </c>
      <c r="N21" s="15"/>
    </row>
    <row r="22" spans="1:14" ht="30" customHeight="1" x14ac:dyDescent="0.25">
      <c r="A22" s="196"/>
      <c r="B22" s="136"/>
      <c r="C22" s="151">
        <v>2026</v>
      </c>
      <c r="D22" s="221"/>
      <c r="E22" s="198">
        <v>1.02</v>
      </c>
      <c r="F22" s="317">
        <f t="shared" si="0"/>
        <v>0.92203750934153073</v>
      </c>
      <c r="N22" s="15"/>
    </row>
    <row r="23" spans="1:14" ht="30" customHeight="1" x14ac:dyDescent="0.25">
      <c r="A23" s="196"/>
      <c r="B23" s="136"/>
      <c r="C23" s="239">
        <v>2027</v>
      </c>
      <c r="D23" s="221"/>
      <c r="E23" s="198">
        <v>1.02</v>
      </c>
      <c r="F23" s="317">
        <f t="shared" si="0"/>
        <v>0.90395834249169682</v>
      </c>
      <c r="N23" s="15"/>
    </row>
    <row r="24" spans="1:14" ht="30" customHeight="1" x14ac:dyDescent="0.25">
      <c r="A24" s="316"/>
      <c r="B24" s="136"/>
      <c r="C24" s="5">
        <v>2028</v>
      </c>
      <c r="D24" s="221"/>
      <c r="E24" s="198">
        <v>1.02</v>
      </c>
      <c r="F24" s="317">
        <f t="shared" si="0"/>
        <v>0.88623366910950663</v>
      </c>
      <c r="N24" s="15"/>
    </row>
    <row r="25" spans="1:14" ht="30" customHeight="1" x14ac:dyDescent="0.25">
      <c r="A25" s="140"/>
      <c r="B25" s="141"/>
      <c r="C25" s="239">
        <v>2029</v>
      </c>
      <c r="D25" s="221"/>
      <c r="E25" s="269">
        <v>1.02</v>
      </c>
      <c r="F25" s="317">
        <f>F24/E24</f>
        <v>0.86885653834265353</v>
      </c>
      <c r="N25" s="15"/>
    </row>
    <row r="26" spans="1:14" ht="12.75" customHeight="1" thickBot="1" x14ac:dyDescent="0.3">
      <c r="A26" s="42"/>
      <c r="B26" s="43"/>
      <c r="C26" s="44"/>
      <c r="D26" s="43"/>
      <c r="E26" s="45"/>
      <c r="F26" s="46"/>
      <c r="N26" s="15"/>
    </row>
    <row r="27" spans="1:14" ht="15.75" thickBot="1" x14ac:dyDescent="0.3">
      <c r="A27" s="1705" t="s">
        <v>2900</v>
      </c>
      <c r="B27" s="1706"/>
      <c r="C27" s="1706"/>
      <c r="D27" s="1706"/>
      <c r="E27" s="1706"/>
      <c r="F27" s="1707"/>
    </row>
    <row r="28" spans="1:14" ht="93.95" customHeight="1" thickBot="1" x14ac:dyDescent="0.3">
      <c r="A28" s="1696" t="s">
        <v>2901</v>
      </c>
      <c r="B28" s="1697"/>
      <c r="C28" s="1697"/>
      <c r="D28" s="1697"/>
      <c r="E28" s="1697"/>
      <c r="F28" s="1698"/>
      <c r="G28" s="52"/>
    </row>
    <row r="29" spans="1:14" ht="57.95" customHeight="1" thickBot="1" x14ac:dyDescent="0.3">
      <c r="A29" s="1696" t="s">
        <v>2902</v>
      </c>
      <c r="B29" s="1697"/>
      <c r="C29" s="1697"/>
      <c r="D29" s="1697"/>
      <c r="E29" s="1697"/>
      <c r="F29" s="1698"/>
      <c r="G29" s="52"/>
    </row>
    <row r="30" spans="1:14" ht="30" customHeight="1" thickBot="1" x14ac:dyDescent="0.3">
      <c r="A30" s="1696" t="s">
        <v>2903</v>
      </c>
      <c r="B30" s="1697"/>
      <c r="C30" s="1697"/>
      <c r="D30" s="1697"/>
      <c r="E30" s="1697"/>
      <c r="F30" s="1698"/>
      <c r="G30" s="52"/>
    </row>
    <row r="31" spans="1:14" ht="30" customHeight="1" thickBot="1" x14ac:dyDescent="0.3">
      <c r="A31" s="1696" t="s">
        <v>2904</v>
      </c>
      <c r="B31" s="1697"/>
      <c r="C31" s="1697"/>
      <c r="D31" s="1697"/>
      <c r="E31" s="1697"/>
      <c r="F31" s="1698"/>
      <c r="G31" s="52"/>
    </row>
  </sheetData>
  <mergeCells count="7">
    <mergeCell ref="A31:F31"/>
    <mergeCell ref="A30:F30"/>
    <mergeCell ref="A1:F1"/>
    <mergeCell ref="A2:F2"/>
    <mergeCell ref="A27:F27"/>
    <mergeCell ref="A28:F28"/>
    <mergeCell ref="A29:F29"/>
  </mergeCells>
  <pageMargins left="0.7" right="0.7" top="0.75" bottom="0.75" header="0.3" footer="0.3"/>
  <pageSetup scale="64" orientation="portrait" horizontalDpi="360" verticalDpi="36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tabColor theme="4" tint="0.79998168889431442"/>
    <pageSetUpPr fitToPage="1"/>
  </sheetPr>
  <dimension ref="A1:IM545"/>
  <sheetViews>
    <sheetView topLeftCell="F1" zoomScale="115" zoomScaleNormal="115" workbookViewId="0">
      <pane ySplit="3" topLeftCell="A157" activePane="bottomLeft" state="frozen"/>
      <selection activeCell="G11" sqref="G11"/>
      <selection pane="bottomLeft" activeCell="R167" sqref="R167"/>
    </sheetView>
  </sheetViews>
  <sheetFormatPr defaultColWidth="8.85546875" defaultRowHeight="15" x14ac:dyDescent="0.25"/>
  <cols>
    <col min="1" max="1" width="7.5703125" style="9" customWidth="1"/>
    <col min="2" max="2" width="54.42578125" style="9" customWidth="1"/>
    <col min="3" max="3" width="7.140625" style="9" customWidth="1"/>
    <col min="4" max="4" width="7.85546875" style="9" customWidth="1"/>
    <col min="5" max="5" width="13.5703125" style="9" customWidth="1"/>
    <col min="6" max="6" width="11.85546875" style="9" customWidth="1"/>
    <col min="7" max="8" width="11.140625" style="9" customWidth="1"/>
    <col min="9" max="9" width="9.85546875" style="9" customWidth="1"/>
    <col min="10" max="10" width="9.42578125" style="9" customWidth="1"/>
    <col min="11" max="11" width="10.42578125" style="9" customWidth="1"/>
    <col min="12" max="12" width="10" style="9" customWidth="1"/>
    <col min="13" max="13" width="9.85546875" style="9" customWidth="1"/>
    <col min="14" max="14" width="9.140625" style="9" customWidth="1"/>
    <col min="15" max="15" width="14.85546875" style="9" customWidth="1"/>
    <col min="16" max="16" width="13.5703125" style="9" customWidth="1"/>
    <col min="17" max="17" width="12.85546875" style="9" customWidth="1"/>
    <col min="18" max="18" width="12.140625" style="108" customWidth="1"/>
    <col min="19" max="44" width="8.85546875" style="9"/>
    <col min="45" max="45" width="8.85546875" style="109"/>
    <col min="46" max="227" width="8.85546875" style="9"/>
    <col min="228" max="228" width="5.85546875" style="9" customWidth="1"/>
    <col min="229" max="229" width="42.85546875" style="9" customWidth="1"/>
    <col min="230" max="230" width="3.42578125" style="9" customWidth="1"/>
    <col min="231" max="232" width="15.85546875" style="9" customWidth="1"/>
    <col min="233" max="233" width="6.5703125" style="9" customWidth="1"/>
    <col min="234" max="234" width="92" style="9" customWidth="1"/>
    <col min="235" max="16384" width="8.85546875" style="9"/>
  </cols>
  <sheetData>
    <row r="1" spans="1:247" ht="26.25" customHeight="1" thickBot="1" x14ac:dyDescent="0.35">
      <c r="A1" s="1709" t="s">
        <v>2905</v>
      </c>
      <c r="B1" s="1709"/>
      <c r="C1" s="1709"/>
      <c r="D1" s="1710"/>
      <c r="E1" s="1711" t="s">
        <v>2906</v>
      </c>
      <c r="F1" s="1712"/>
      <c r="G1" s="1713"/>
      <c r="H1" s="1714" t="s">
        <v>2907</v>
      </c>
      <c r="I1" s="1715"/>
      <c r="J1" s="1715"/>
      <c r="K1" s="1715"/>
      <c r="L1" s="1715"/>
      <c r="M1" s="1715"/>
      <c r="N1" s="1715"/>
      <c r="O1" s="97" t="s">
        <v>2908</v>
      </c>
      <c r="P1" s="1716" t="s">
        <v>2909</v>
      </c>
      <c r="Q1" s="1713"/>
      <c r="R1" s="98"/>
      <c r="AS1" s="9"/>
    </row>
    <row r="2" spans="1:247" ht="72.75" customHeight="1" x14ac:dyDescent="0.25">
      <c r="A2" s="1709"/>
      <c r="B2" s="1709"/>
      <c r="C2" s="1709"/>
      <c r="D2" s="1710"/>
      <c r="E2" s="150" t="s">
        <v>2910</v>
      </c>
      <c r="F2" s="238" t="s">
        <v>2911</v>
      </c>
      <c r="G2" s="313" t="s">
        <v>2912</v>
      </c>
      <c r="H2" s="149" t="s">
        <v>2913</v>
      </c>
      <c r="I2" s="238" t="s">
        <v>2914</v>
      </c>
      <c r="J2" s="238" t="s">
        <v>2915</v>
      </c>
      <c r="K2" s="238" t="s">
        <v>2916</v>
      </c>
      <c r="L2" s="238" t="s">
        <v>2917</v>
      </c>
      <c r="M2" s="238" t="s">
        <v>2918</v>
      </c>
      <c r="N2" s="148" t="s">
        <v>2919</v>
      </c>
      <c r="O2" s="99" t="s">
        <v>2920</v>
      </c>
      <c r="P2" s="149" t="s">
        <v>2921</v>
      </c>
      <c r="Q2" s="313" t="s">
        <v>2922</v>
      </c>
      <c r="R2" s="100" t="s">
        <v>2923</v>
      </c>
      <c r="S2" s="82"/>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row>
    <row r="3" spans="1:247" ht="48.75" customHeight="1" thickBot="1" x14ac:dyDescent="0.3">
      <c r="A3" s="84" t="s">
        <v>331</v>
      </c>
      <c r="B3" s="85" t="s">
        <v>2924</v>
      </c>
      <c r="C3" s="86" t="s">
        <v>15</v>
      </c>
      <c r="D3" s="101" t="s">
        <v>2925</v>
      </c>
      <c r="E3" s="298">
        <v>1.0740000000000001</v>
      </c>
      <c r="F3" s="102">
        <v>1.0209999999999999</v>
      </c>
      <c r="G3" s="101">
        <v>1.0269999999999999</v>
      </c>
      <c r="H3" s="298">
        <v>1.0029999999999999</v>
      </c>
      <c r="I3" s="103">
        <v>1.0289999999999999</v>
      </c>
      <c r="J3" s="103">
        <v>1.0049999999999999</v>
      </c>
      <c r="K3" s="104">
        <v>1.026</v>
      </c>
      <c r="L3" s="103">
        <v>1.0129999999999999</v>
      </c>
      <c r="M3" s="103">
        <v>1.0029999999999999</v>
      </c>
      <c r="N3" s="101">
        <v>1.0029999999999999</v>
      </c>
      <c r="O3" s="105">
        <v>1.0209999999999999</v>
      </c>
      <c r="P3" s="298">
        <v>1.032</v>
      </c>
      <c r="Q3" s="101">
        <v>1.0349999999999999</v>
      </c>
      <c r="R3" s="106"/>
      <c r="S3" s="87"/>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row>
    <row r="4" spans="1:247" x14ac:dyDescent="0.25">
      <c r="A4" s="310">
        <v>1321</v>
      </c>
      <c r="B4" s="299" t="s">
        <v>2926</v>
      </c>
      <c r="C4" s="239" t="s">
        <v>76</v>
      </c>
      <c r="D4" s="311" t="s">
        <v>2927</v>
      </c>
      <c r="E4" s="89"/>
      <c r="F4" s="90">
        <f t="shared" ref="F4:F132" si="0">+$F$3</f>
        <v>1.0209999999999999</v>
      </c>
      <c r="G4" s="91"/>
      <c r="H4" s="89"/>
      <c r="I4" s="90"/>
      <c r="J4" s="90"/>
      <c r="K4" s="90"/>
      <c r="L4" s="90"/>
      <c r="M4" s="90"/>
      <c r="N4" s="92"/>
      <c r="O4" s="93"/>
      <c r="P4" s="89"/>
      <c r="Q4" s="92"/>
      <c r="R4" s="94">
        <f t="shared" ref="R4:R132" si="1">PRODUCT(E4:Q4)</f>
        <v>1.0209999999999999</v>
      </c>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row>
    <row r="5" spans="1:247" x14ac:dyDescent="0.25">
      <c r="A5" s="310">
        <v>1341</v>
      </c>
      <c r="B5" s="299" t="s">
        <v>2928</v>
      </c>
      <c r="C5" s="239" t="s">
        <v>76</v>
      </c>
      <c r="D5" s="311" t="s">
        <v>2927</v>
      </c>
      <c r="E5" s="143"/>
      <c r="F5" s="90">
        <f t="shared" si="0"/>
        <v>1.0209999999999999</v>
      </c>
      <c r="G5" s="318"/>
      <c r="H5" s="143"/>
      <c r="I5" s="300"/>
      <c r="J5" s="300"/>
      <c r="K5" s="300"/>
      <c r="L5" s="300"/>
      <c r="M5" s="300"/>
      <c r="N5" s="318"/>
      <c r="O5" s="95"/>
      <c r="P5" s="143"/>
      <c r="Q5" s="318"/>
      <c r="R5" s="96">
        <f t="shared" si="1"/>
        <v>1.0209999999999999</v>
      </c>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row>
    <row r="6" spans="1:247" x14ac:dyDescent="0.25">
      <c r="A6" s="310">
        <v>1351</v>
      </c>
      <c r="B6" s="299" t="s">
        <v>2929</v>
      </c>
      <c r="C6" s="239" t="s">
        <v>333</v>
      </c>
      <c r="D6" s="311" t="s">
        <v>2930</v>
      </c>
      <c r="E6" s="143"/>
      <c r="F6" s="90">
        <f t="shared" si="0"/>
        <v>1.0209999999999999</v>
      </c>
      <c r="G6" s="318"/>
      <c r="H6" s="143"/>
      <c r="I6" s="300"/>
      <c r="J6" s="300"/>
      <c r="K6" s="300"/>
      <c r="L6" s="300"/>
      <c r="M6" s="300"/>
      <c r="N6" s="318"/>
      <c r="O6" s="95"/>
      <c r="P6" s="143"/>
      <c r="Q6" s="318"/>
      <c r="R6" s="96">
        <f t="shared" si="1"/>
        <v>1.0209999999999999</v>
      </c>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row>
    <row r="7" spans="1:247" x14ac:dyDescent="0.25">
      <c r="A7" s="310">
        <v>1362</v>
      </c>
      <c r="B7" s="299" t="s">
        <v>2931</v>
      </c>
      <c r="C7" s="239" t="s">
        <v>76</v>
      </c>
      <c r="D7" s="311" t="s">
        <v>2927</v>
      </c>
      <c r="E7" s="143"/>
      <c r="F7" s="90">
        <f t="shared" si="0"/>
        <v>1.0209999999999999</v>
      </c>
      <c r="G7" s="318"/>
      <c r="H7" s="143"/>
      <c r="I7" s="300"/>
      <c r="J7" s="300"/>
      <c r="K7" s="300"/>
      <c r="L7" s="300"/>
      <c r="M7" s="300"/>
      <c r="N7" s="318"/>
      <c r="O7" s="95"/>
      <c r="P7" s="143"/>
      <c r="Q7" s="318"/>
      <c r="R7" s="96">
        <f t="shared" si="1"/>
        <v>1.0209999999999999</v>
      </c>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row>
    <row r="8" spans="1:247" x14ac:dyDescent="0.25">
      <c r="A8" s="310">
        <v>1381</v>
      </c>
      <c r="B8" s="299" t="s">
        <v>2932</v>
      </c>
      <c r="C8" s="239" t="s">
        <v>76</v>
      </c>
      <c r="D8" s="311" t="s">
        <v>2927</v>
      </c>
      <c r="E8" s="143"/>
      <c r="F8" s="90">
        <f t="shared" si="0"/>
        <v>1.0209999999999999</v>
      </c>
      <c r="G8" s="318"/>
      <c r="H8" s="143"/>
      <c r="I8" s="300"/>
      <c r="J8" s="300"/>
      <c r="K8" s="300"/>
      <c r="L8" s="300"/>
      <c r="M8" s="300"/>
      <c r="N8" s="318"/>
      <c r="O8" s="95"/>
      <c r="P8" s="143"/>
      <c r="Q8" s="318"/>
      <c r="R8" s="96">
        <f t="shared" si="1"/>
        <v>1.0209999999999999</v>
      </c>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row>
    <row r="9" spans="1:247" x14ac:dyDescent="0.25">
      <c r="A9" s="310">
        <v>1422</v>
      </c>
      <c r="B9" s="299" t="s">
        <v>2933</v>
      </c>
      <c r="C9" s="239" t="s">
        <v>76</v>
      </c>
      <c r="D9" s="311" t="s">
        <v>2927</v>
      </c>
      <c r="E9" s="143"/>
      <c r="F9" s="90">
        <f t="shared" si="0"/>
        <v>1.0209999999999999</v>
      </c>
      <c r="G9" s="318"/>
      <c r="H9" s="143"/>
      <c r="I9" s="300"/>
      <c r="J9" s="300"/>
      <c r="K9" s="300"/>
      <c r="L9" s="300"/>
      <c r="M9" s="300"/>
      <c r="N9" s="318"/>
      <c r="O9" s="95"/>
      <c r="P9" s="143"/>
      <c r="Q9" s="318"/>
      <c r="R9" s="96">
        <f t="shared" si="1"/>
        <v>1.0209999999999999</v>
      </c>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row>
    <row r="10" spans="1:247" x14ac:dyDescent="0.25">
      <c r="A10" s="310">
        <v>1431</v>
      </c>
      <c r="B10" s="299" t="s">
        <v>2934</v>
      </c>
      <c r="C10" s="239" t="s">
        <v>205</v>
      </c>
      <c r="D10" s="311" t="s">
        <v>2935</v>
      </c>
      <c r="E10" s="143">
        <f t="shared" ref="E10:E16" si="2">+$E$3</f>
        <v>1.0740000000000001</v>
      </c>
      <c r="F10" s="90">
        <f t="shared" si="0"/>
        <v>1.0209999999999999</v>
      </c>
      <c r="G10" s="318">
        <f t="shared" ref="G10:G17" si="3">+$G$3</f>
        <v>1.0269999999999999</v>
      </c>
      <c r="H10" s="143">
        <f>+$H$3</f>
        <v>1.0029999999999999</v>
      </c>
      <c r="I10" s="300">
        <f>+$I$3</f>
        <v>1.0289999999999999</v>
      </c>
      <c r="J10" s="300">
        <f>+$J$3</f>
        <v>1.0049999999999999</v>
      </c>
      <c r="K10" s="300">
        <f>+$K$3</f>
        <v>1.026</v>
      </c>
      <c r="L10" s="300">
        <f>+$L$3</f>
        <v>1.0129999999999999</v>
      </c>
      <c r="M10" s="300">
        <f>+$M$3</f>
        <v>1.0029999999999999</v>
      </c>
      <c r="N10" s="318">
        <f>+$N$3</f>
        <v>1.0029999999999999</v>
      </c>
      <c r="O10" s="95">
        <f>+$O$3</f>
        <v>1.0209999999999999</v>
      </c>
      <c r="P10" s="143">
        <f t="shared" ref="P10:P17" si="4">+$P$3</f>
        <v>1.032</v>
      </c>
      <c r="Q10" s="318">
        <f t="shared" ref="Q10:Q17" si="5">+$Q$3</f>
        <v>1.0349999999999999</v>
      </c>
      <c r="R10" s="96">
        <f t="shared" si="1"/>
        <v>1.3319480854780448</v>
      </c>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row>
    <row r="11" spans="1:247" x14ac:dyDescent="0.25">
      <c r="A11" s="310">
        <v>1441</v>
      </c>
      <c r="B11" s="299" t="s">
        <v>2936</v>
      </c>
      <c r="C11" s="239" t="s">
        <v>205</v>
      </c>
      <c r="D11" s="311" t="s">
        <v>2935</v>
      </c>
      <c r="E11" s="143">
        <f t="shared" si="2"/>
        <v>1.0740000000000001</v>
      </c>
      <c r="F11" s="90">
        <f t="shared" si="0"/>
        <v>1.0209999999999999</v>
      </c>
      <c r="G11" s="318">
        <f t="shared" si="3"/>
        <v>1.0269999999999999</v>
      </c>
      <c r="H11" s="143">
        <f>+$H$3</f>
        <v>1.0029999999999999</v>
      </c>
      <c r="I11" s="300">
        <f>+$I$3</f>
        <v>1.0289999999999999</v>
      </c>
      <c r="J11" s="300">
        <f>+$J$3</f>
        <v>1.0049999999999999</v>
      </c>
      <c r="K11" s="300">
        <f>+$K$3</f>
        <v>1.026</v>
      </c>
      <c r="L11" s="300">
        <f>+$L$3</f>
        <v>1.0129999999999999</v>
      </c>
      <c r="M11" s="300">
        <f>+$M$3</f>
        <v>1.0029999999999999</v>
      </c>
      <c r="N11" s="318">
        <f>+$N$3</f>
        <v>1.0029999999999999</v>
      </c>
      <c r="O11" s="95">
        <f>+$O$3</f>
        <v>1.0209999999999999</v>
      </c>
      <c r="P11" s="143">
        <f t="shared" si="4"/>
        <v>1.032</v>
      </c>
      <c r="Q11" s="318">
        <f t="shared" si="5"/>
        <v>1.0349999999999999</v>
      </c>
      <c r="R11" s="96">
        <f t="shared" si="1"/>
        <v>1.3319480854780448</v>
      </c>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row>
    <row r="12" spans="1:247" x14ac:dyDescent="0.25">
      <c r="A12" s="310">
        <v>1442</v>
      </c>
      <c r="B12" s="299" t="s">
        <v>2937</v>
      </c>
      <c r="C12" s="239" t="s">
        <v>205</v>
      </c>
      <c r="D12" s="311" t="s">
        <v>2935</v>
      </c>
      <c r="E12" s="143">
        <f t="shared" si="2"/>
        <v>1.0740000000000001</v>
      </c>
      <c r="F12" s="90">
        <f t="shared" si="0"/>
        <v>1.0209999999999999</v>
      </c>
      <c r="G12" s="318">
        <f t="shared" si="3"/>
        <v>1.0269999999999999</v>
      </c>
      <c r="H12" s="143">
        <f>+$H$3</f>
        <v>1.0029999999999999</v>
      </c>
      <c r="I12" s="300">
        <f>+$I$3</f>
        <v>1.0289999999999999</v>
      </c>
      <c r="J12" s="300">
        <f>+$J$3</f>
        <v>1.0049999999999999</v>
      </c>
      <c r="K12" s="300">
        <f>+$K$3</f>
        <v>1.026</v>
      </c>
      <c r="L12" s="300">
        <f>+$L$3</f>
        <v>1.0129999999999999</v>
      </c>
      <c r="M12" s="300">
        <f>+$M$3</f>
        <v>1.0029999999999999</v>
      </c>
      <c r="N12" s="318">
        <f>+$N$3</f>
        <v>1.0029999999999999</v>
      </c>
      <c r="O12" s="95">
        <f>+$O$3</f>
        <v>1.0209999999999999</v>
      </c>
      <c r="P12" s="143">
        <f t="shared" si="4"/>
        <v>1.032</v>
      </c>
      <c r="Q12" s="318">
        <f t="shared" si="5"/>
        <v>1.0349999999999999</v>
      </c>
      <c r="R12" s="96">
        <f t="shared" si="1"/>
        <v>1.3319480854780448</v>
      </c>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row>
    <row r="13" spans="1:247" x14ac:dyDescent="0.25">
      <c r="A13" s="310">
        <v>1443</v>
      </c>
      <c r="B13" s="299" t="s">
        <v>2938</v>
      </c>
      <c r="C13" s="239" t="s">
        <v>205</v>
      </c>
      <c r="D13" s="311" t="s">
        <v>2935</v>
      </c>
      <c r="E13" s="143">
        <f t="shared" si="2"/>
        <v>1.0740000000000001</v>
      </c>
      <c r="F13" s="90">
        <f t="shared" si="0"/>
        <v>1.0209999999999999</v>
      </c>
      <c r="G13" s="318">
        <f t="shared" si="3"/>
        <v>1.0269999999999999</v>
      </c>
      <c r="H13" s="143">
        <f>+$H$3</f>
        <v>1.0029999999999999</v>
      </c>
      <c r="I13" s="300">
        <f>+$I$3</f>
        <v>1.0289999999999999</v>
      </c>
      <c r="J13" s="300">
        <f>+$J$3</f>
        <v>1.0049999999999999</v>
      </c>
      <c r="K13" s="300"/>
      <c r="L13" s="300"/>
      <c r="M13" s="300">
        <f>+$M$3</f>
        <v>1.0029999999999999</v>
      </c>
      <c r="N13" s="318">
        <f>+$N$3</f>
        <v>1.0029999999999999</v>
      </c>
      <c r="O13" s="95"/>
      <c r="P13" s="143">
        <f t="shared" si="4"/>
        <v>1.032</v>
      </c>
      <c r="Q13" s="318">
        <f t="shared" si="5"/>
        <v>1.0349999999999999</v>
      </c>
      <c r="R13" s="96">
        <f t="shared" si="1"/>
        <v>1.2551763558420395</v>
      </c>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row>
    <row r="14" spans="1:247" x14ac:dyDescent="0.25">
      <c r="A14" s="310">
        <v>1446</v>
      </c>
      <c r="B14" s="299" t="s">
        <v>2939</v>
      </c>
      <c r="C14" s="239" t="s">
        <v>205</v>
      </c>
      <c r="D14" s="311" t="s">
        <v>2935</v>
      </c>
      <c r="E14" s="143">
        <f t="shared" si="2"/>
        <v>1.0740000000000001</v>
      </c>
      <c r="F14" s="90">
        <f t="shared" si="0"/>
        <v>1.0209999999999999</v>
      </c>
      <c r="G14" s="318">
        <f t="shared" si="3"/>
        <v>1.0269999999999999</v>
      </c>
      <c r="H14" s="143"/>
      <c r="I14" s="300">
        <f>+$I$3</f>
        <v>1.0289999999999999</v>
      </c>
      <c r="J14" s="300">
        <f>+$J$3</f>
        <v>1.0049999999999999</v>
      </c>
      <c r="K14" s="300">
        <f>+$K$3</f>
        <v>1.026</v>
      </c>
      <c r="L14" s="300">
        <f>+$L$3</f>
        <v>1.0129999999999999</v>
      </c>
      <c r="M14" s="300">
        <f>+$M$3</f>
        <v>1.0029999999999999</v>
      </c>
      <c r="N14" s="318">
        <f>+$N$3</f>
        <v>1.0029999999999999</v>
      </c>
      <c r="O14" s="95">
        <f>+$O$3</f>
        <v>1.0209999999999999</v>
      </c>
      <c r="P14" s="143">
        <f t="shared" si="4"/>
        <v>1.032</v>
      </c>
      <c r="Q14" s="318">
        <f t="shared" si="5"/>
        <v>1.0349999999999999</v>
      </c>
      <c r="R14" s="96">
        <f t="shared" si="1"/>
        <v>1.3279641928993471</v>
      </c>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row>
    <row r="15" spans="1:247" x14ac:dyDescent="0.25">
      <c r="A15" s="310">
        <v>1463</v>
      </c>
      <c r="B15" s="299" t="s">
        <v>2940</v>
      </c>
      <c r="C15" s="239" t="s">
        <v>76</v>
      </c>
      <c r="D15" s="311"/>
      <c r="E15" s="143"/>
      <c r="F15" s="90">
        <f t="shared" si="0"/>
        <v>1.0209999999999999</v>
      </c>
      <c r="G15" s="318">
        <f t="shared" si="3"/>
        <v>1.0269999999999999</v>
      </c>
      <c r="H15" s="143"/>
      <c r="I15" s="300"/>
      <c r="J15" s="300"/>
      <c r="K15" s="300"/>
      <c r="L15" s="300"/>
      <c r="M15" s="300"/>
      <c r="N15" s="318"/>
      <c r="O15" s="95"/>
      <c r="P15" s="143">
        <f t="shared" si="4"/>
        <v>1.032</v>
      </c>
      <c r="Q15" s="318">
        <f t="shared" si="5"/>
        <v>1.0349999999999999</v>
      </c>
      <c r="R15" s="96">
        <f t="shared" si="1"/>
        <v>1.1199953840399997</v>
      </c>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row>
    <row r="16" spans="1:247" x14ac:dyDescent="0.25">
      <c r="A16" s="310">
        <v>1491</v>
      </c>
      <c r="B16" s="299" t="s">
        <v>2941</v>
      </c>
      <c r="C16" s="239" t="s">
        <v>76</v>
      </c>
      <c r="D16" s="311" t="s">
        <v>2927</v>
      </c>
      <c r="E16" s="143">
        <f t="shared" si="2"/>
        <v>1.0740000000000001</v>
      </c>
      <c r="F16" s="90">
        <f t="shared" si="0"/>
        <v>1.0209999999999999</v>
      </c>
      <c r="G16" s="318">
        <f t="shared" si="3"/>
        <v>1.0269999999999999</v>
      </c>
      <c r="H16" s="143"/>
      <c r="I16" s="300"/>
      <c r="J16" s="300"/>
      <c r="K16" s="300"/>
      <c r="L16" s="300"/>
      <c r="M16" s="300"/>
      <c r="N16" s="318"/>
      <c r="O16" s="95">
        <f>+$O$3</f>
        <v>1.0209999999999999</v>
      </c>
      <c r="P16" s="143">
        <f t="shared" si="4"/>
        <v>1.032</v>
      </c>
      <c r="Q16" s="318">
        <f t="shared" si="5"/>
        <v>1.0349999999999999</v>
      </c>
      <c r="R16" s="96">
        <f t="shared" si="1"/>
        <v>1.2281354183505979</v>
      </c>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row>
    <row r="17" spans="1:247" x14ac:dyDescent="0.25">
      <c r="A17" s="310">
        <v>1493</v>
      </c>
      <c r="B17" s="299" t="s">
        <v>2942</v>
      </c>
      <c r="C17" s="239" t="s">
        <v>76</v>
      </c>
      <c r="D17" s="311" t="s">
        <v>2927</v>
      </c>
      <c r="E17" s="143"/>
      <c r="F17" s="90">
        <f t="shared" si="0"/>
        <v>1.0209999999999999</v>
      </c>
      <c r="G17" s="318">
        <f t="shared" si="3"/>
        <v>1.0269999999999999</v>
      </c>
      <c r="H17" s="143"/>
      <c r="I17" s="300"/>
      <c r="J17" s="300"/>
      <c r="K17" s="300"/>
      <c r="L17" s="300"/>
      <c r="M17" s="300"/>
      <c r="N17" s="318"/>
      <c r="O17" s="95"/>
      <c r="P17" s="143">
        <f t="shared" si="4"/>
        <v>1.032</v>
      </c>
      <c r="Q17" s="318">
        <f t="shared" si="5"/>
        <v>1.0349999999999999</v>
      </c>
      <c r="R17" s="96">
        <f t="shared" si="1"/>
        <v>1.1199953840399997</v>
      </c>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row>
    <row r="18" spans="1:247" x14ac:dyDescent="0.25">
      <c r="A18" s="310">
        <v>1495</v>
      </c>
      <c r="B18" s="299" t="s">
        <v>2943</v>
      </c>
      <c r="C18" s="239" t="s">
        <v>76</v>
      </c>
      <c r="D18" s="311" t="s">
        <v>2927</v>
      </c>
      <c r="E18" s="143"/>
      <c r="F18" s="90">
        <f t="shared" si="0"/>
        <v>1.0209999999999999</v>
      </c>
      <c r="G18" s="318"/>
      <c r="H18" s="143"/>
      <c r="I18" s="300"/>
      <c r="J18" s="300"/>
      <c r="K18" s="300"/>
      <c r="L18" s="300"/>
      <c r="M18" s="300"/>
      <c r="N18" s="318"/>
      <c r="O18" s="95"/>
      <c r="P18" s="143"/>
      <c r="Q18" s="318"/>
      <c r="R18" s="96">
        <f t="shared" si="1"/>
        <v>1.0209999999999999</v>
      </c>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row>
    <row r="19" spans="1:247" x14ac:dyDescent="0.25">
      <c r="A19" s="310">
        <v>1513</v>
      </c>
      <c r="B19" s="299" t="s">
        <v>2944</v>
      </c>
      <c r="C19" s="239" t="s">
        <v>9</v>
      </c>
      <c r="D19" s="311" t="s">
        <v>2927</v>
      </c>
      <c r="E19" s="143"/>
      <c r="F19" s="90">
        <f t="shared" si="0"/>
        <v>1.0209999999999999</v>
      </c>
      <c r="G19" s="318"/>
      <c r="H19" s="143"/>
      <c r="I19" s="300"/>
      <c r="J19" s="300"/>
      <c r="K19" s="300"/>
      <c r="L19" s="300"/>
      <c r="M19" s="300"/>
      <c r="N19" s="318"/>
      <c r="O19" s="95"/>
      <c r="P19" s="143">
        <f>+$P$3</f>
        <v>1.032</v>
      </c>
      <c r="Q19" s="318">
        <f>+$Q$3</f>
        <v>1.0349999999999999</v>
      </c>
      <c r="R19" s="96">
        <f t="shared" si="1"/>
        <v>1.0905505199999999</v>
      </c>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row>
    <row r="20" spans="1:247" x14ac:dyDescent="0.25">
      <c r="A20" s="310">
        <v>1541</v>
      </c>
      <c r="B20" s="299" t="s">
        <v>2945</v>
      </c>
      <c r="C20" s="239" t="s">
        <v>40</v>
      </c>
      <c r="D20" s="311" t="s">
        <v>2927</v>
      </c>
      <c r="E20" s="143"/>
      <c r="F20" s="90">
        <f t="shared" si="0"/>
        <v>1.0209999999999999</v>
      </c>
      <c r="G20" s="318"/>
      <c r="H20" s="143"/>
      <c r="I20" s="300"/>
      <c r="J20" s="300"/>
      <c r="K20" s="300"/>
      <c r="L20" s="300"/>
      <c r="M20" s="300"/>
      <c r="N20" s="318"/>
      <c r="O20" s="95"/>
      <c r="P20" s="143"/>
      <c r="Q20" s="318"/>
      <c r="R20" s="96">
        <f t="shared" si="1"/>
        <v>1.0209999999999999</v>
      </c>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row>
    <row r="21" spans="1:247" x14ac:dyDescent="0.25">
      <c r="A21" s="310">
        <v>1551</v>
      </c>
      <c r="B21" s="299" t="s">
        <v>2946</v>
      </c>
      <c r="C21" s="239" t="s">
        <v>591</v>
      </c>
      <c r="D21" s="311" t="s">
        <v>2927</v>
      </c>
      <c r="E21" s="143"/>
      <c r="F21" s="90">
        <f t="shared" si="0"/>
        <v>1.0209999999999999</v>
      </c>
      <c r="G21" s="318"/>
      <c r="H21" s="143"/>
      <c r="I21" s="300"/>
      <c r="J21" s="300"/>
      <c r="K21" s="300"/>
      <c r="L21" s="300"/>
      <c r="M21" s="300"/>
      <c r="N21" s="318"/>
      <c r="O21" s="95"/>
      <c r="P21" s="143">
        <f>+$P$3</f>
        <v>1.032</v>
      </c>
      <c r="Q21" s="318">
        <f>+$Q$3</f>
        <v>1.0349999999999999</v>
      </c>
      <c r="R21" s="96">
        <f t="shared" si="1"/>
        <v>1.0905505199999999</v>
      </c>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row>
    <row r="22" spans="1:247" x14ac:dyDescent="0.25">
      <c r="A22" s="310">
        <v>1552</v>
      </c>
      <c r="B22" s="299" t="s">
        <v>2947</v>
      </c>
      <c r="C22" s="239" t="s">
        <v>205</v>
      </c>
      <c r="D22" s="311" t="s">
        <v>2935</v>
      </c>
      <c r="E22" s="143"/>
      <c r="F22" s="90">
        <f t="shared" si="0"/>
        <v>1.0209999999999999</v>
      </c>
      <c r="G22" s="318"/>
      <c r="H22" s="143"/>
      <c r="I22" s="300"/>
      <c r="J22" s="300">
        <f>+$J$3</f>
        <v>1.0049999999999999</v>
      </c>
      <c r="K22" s="300"/>
      <c r="L22" s="300"/>
      <c r="M22" s="300"/>
      <c r="N22" s="318">
        <f>+$N$3</f>
        <v>1.0029999999999999</v>
      </c>
      <c r="O22" s="95">
        <f>+$O$3</f>
        <v>1.0209999999999999</v>
      </c>
      <c r="P22" s="143">
        <f>+$P$3</f>
        <v>1.032</v>
      </c>
      <c r="Q22" s="318">
        <f>+$Q$3</f>
        <v>1.0349999999999999</v>
      </c>
      <c r="R22" s="96">
        <f t="shared" si="1"/>
        <v>1.1223763993485734</v>
      </c>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row>
    <row r="23" spans="1:247" x14ac:dyDescent="0.25">
      <c r="A23" s="310">
        <v>1591</v>
      </c>
      <c r="B23" s="299" t="s">
        <v>2948</v>
      </c>
      <c r="C23" s="239" t="s">
        <v>76</v>
      </c>
      <c r="D23" s="311" t="s">
        <v>2927</v>
      </c>
      <c r="E23" s="143"/>
      <c r="F23" s="90">
        <f t="shared" si="0"/>
        <v>1.0209999999999999</v>
      </c>
      <c r="G23" s="318"/>
      <c r="H23" s="143"/>
      <c r="I23" s="300"/>
      <c r="J23" s="300"/>
      <c r="K23" s="300"/>
      <c r="L23" s="300"/>
      <c r="M23" s="300"/>
      <c r="N23" s="318"/>
      <c r="O23" s="95"/>
      <c r="P23" s="143"/>
      <c r="Q23" s="318"/>
      <c r="R23" s="96">
        <f t="shared" si="1"/>
        <v>1.0209999999999999</v>
      </c>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row>
    <row r="24" spans="1:247" x14ac:dyDescent="0.25">
      <c r="A24" s="310">
        <v>1593</v>
      </c>
      <c r="B24" s="299" t="s">
        <v>2949</v>
      </c>
      <c r="C24" s="239" t="s">
        <v>9</v>
      </c>
      <c r="D24" s="311" t="s">
        <v>2927</v>
      </c>
      <c r="E24" s="143"/>
      <c r="F24" s="90">
        <f t="shared" si="0"/>
        <v>1.0209999999999999</v>
      </c>
      <c r="G24" s="318"/>
      <c r="H24" s="143"/>
      <c r="I24" s="300"/>
      <c r="J24" s="300"/>
      <c r="K24" s="300"/>
      <c r="L24" s="300"/>
      <c r="M24" s="300"/>
      <c r="N24" s="318"/>
      <c r="O24" s="95"/>
      <c r="P24" s="143"/>
      <c r="Q24" s="318"/>
      <c r="R24" s="96">
        <f>PRODUCT(E24:Q24)</f>
        <v>1.0209999999999999</v>
      </c>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row>
    <row r="25" spans="1:247" x14ac:dyDescent="0.25">
      <c r="A25" s="310">
        <v>1641</v>
      </c>
      <c r="B25" s="299" t="s">
        <v>2950</v>
      </c>
      <c r="C25" s="239" t="s">
        <v>40</v>
      </c>
      <c r="D25" s="311" t="s">
        <v>2927</v>
      </c>
      <c r="E25" s="143"/>
      <c r="F25" s="90">
        <f t="shared" si="0"/>
        <v>1.0209999999999999</v>
      </c>
      <c r="G25" s="318"/>
      <c r="H25" s="143"/>
      <c r="I25" s="300"/>
      <c r="J25" s="300"/>
      <c r="K25" s="300"/>
      <c r="L25" s="300"/>
      <c r="M25" s="300"/>
      <c r="N25" s="318"/>
      <c r="O25" s="95"/>
      <c r="P25" s="143"/>
      <c r="Q25" s="318"/>
      <c r="R25" s="96">
        <f t="shared" si="1"/>
        <v>1.0209999999999999</v>
      </c>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row>
    <row r="26" spans="1:247" x14ac:dyDescent="0.25">
      <c r="A26" s="310">
        <v>1725</v>
      </c>
      <c r="B26" s="299" t="s">
        <v>2951</v>
      </c>
      <c r="C26" s="239" t="s">
        <v>76</v>
      </c>
      <c r="D26" s="311" t="s">
        <v>2927</v>
      </c>
      <c r="E26" s="143"/>
      <c r="F26" s="90">
        <f t="shared" si="0"/>
        <v>1.0209999999999999</v>
      </c>
      <c r="G26" s="318">
        <f>+$G$3</f>
        <v>1.0269999999999999</v>
      </c>
      <c r="H26" s="143"/>
      <c r="I26" s="300"/>
      <c r="J26" s="300"/>
      <c r="K26" s="300"/>
      <c r="L26" s="300">
        <f>+$L$3</f>
        <v>1.0129999999999999</v>
      </c>
      <c r="M26" s="300"/>
      <c r="N26" s="318">
        <f>+$N$3</f>
        <v>1.0029999999999999</v>
      </c>
      <c r="O26" s="95"/>
      <c r="P26" s="143">
        <f>+$P$3</f>
        <v>1.032</v>
      </c>
      <c r="Q26" s="318">
        <f>+$Q$3</f>
        <v>1.0349999999999999</v>
      </c>
      <c r="R26" s="96">
        <f t="shared" si="1"/>
        <v>1.1379589900046172</v>
      </c>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row>
    <row r="27" spans="1:247" x14ac:dyDescent="0.25">
      <c r="A27" s="310">
        <v>1726</v>
      </c>
      <c r="B27" s="299" t="s">
        <v>2952</v>
      </c>
      <c r="C27" s="239" t="s">
        <v>205</v>
      </c>
      <c r="D27" s="311" t="s">
        <v>2935</v>
      </c>
      <c r="E27" s="143"/>
      <c r="F27" s="90">
        <f t="shared" si="0"/>
        <v>1.0209999999999999</v>
      </c>
      <c r="G27" s="318">
        <f t="shared" ref="G27:G63" si="6">+$G$3</f>
        <v>1.0269999999999999</v>
      </c>
      <c r="H27" s="143"/>
      <c r="I27" s="300"/>
      <c r="J27" s="300"/>
      <c r="K27" s="300"/>
      <c r="L27" s="300"/>
      <c r="M27" s="300"/>
      <c r="N27" s="318"/>
      <c r="O27" s="95"/>
      <c r="P27" s="143">
        <f>+$P$3</f>
        <v>1.032</v>
      </c>
      <c r="Q27" s="318"/>
      <c r="R27" s="96">
        <f t="shared" si="1"/>
        <v>1.0821211439999998</v>
      </c>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row>
    <row r="28" spans="1:247" x14ac:dyDescent="0.25">
      <c r="A28" s="310">
        <v>1745</v>
      </c>
      <c r="B28" s="299" t="s">
        <v>2953</v>
      </c>
      <c r="C28" s="239" t="s">
        <v>712</v>
      </c>
      <c r="D28" s="311" t="s">
        <v>2927</v>
      </c>
      <c r="E28" s="143"/>
      <c r="F28" s="90">
        <f t="shared" si="0"/>
        <v>1.0209999999999999</v>
      </c>
      <c r="G28" s="318"/>
      <c r="H28" s="143"/>
      <c r="I28" s="300"/>
      <c r="J28" s="300"/>
      <c r="K28" s="300"/>
      <c r="L28" s="300"/>
      <c r="M28" s="300"/>
      <c r="N28" s="318"/>
      <c r="O28" s="95"/>
      <c r="P28" s="143"/>
      <c r="Q28" s="318"/>
      <c r="R28" s="96">
        <f t="shared" si="1"/>
        <v>1.0209999999999999</v>
      </c>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row>
    <row r="29" spans="1:247" x14ac:dyDescent="0.25">
      <c r="A29" s="310">
        <v>1750</v>
      </c>
      <c r="B29" s="299" t="s">
        <v>2954</v>
      </c>
      <c r="C29" s="239" t="s">
        <v>732</v>
      </c>
      <c r="D29" s="311" t="s">
        <v>2927</v>
      </c>
      <c r="E29" s="143"/>
      <c r="F29" s="90">
        <f t="shared" si="0"/>
        <v>1.0209999999999999</v>
      </c>
      <c r="G29" s="318">
        <f t="shared" si="6"/>
        <v>1.0269999999999999</v>
      </c>
      <c r="H29" s="143"/>
      <c r="I29" s="300"/>
      <c r="J29" s="300"/>
      <c r="K29" s="300"/>
      <c r="L29" s="300"/>
      <c r="M29" s="300"/>
      <c r="N29" s="318"/>
      <c r="O29" s="95"/>
      <c r="P29" s="143"/>
      <c r="Q29" s="318"/>
      <c r="R29" s="96">
        <f t="shared" si="1"/>
        <v>1.0485669999999998</v>
      </c>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row>
    <row r="30" spans="1:247" x14ac:dyDescent="0.25">
      <c r="A30" s="310">
        <v>1751</v>
      </c>
      <c r="B30" s="299" t="s">
        <v>2955</v>
      </c>
      <c r="C30" s="239" t="s">
        <v>732</v>
      </c>
      <c r="D30" s="311" t="s">
        <v>2927</v>
      </c>
      <c r="E30" s="143"/>
      <c r="F30" s="90">
        <f t="shared" si="0"/>
        <v>1.0209999999999999</v>
      </c>
      <c r="G30" s="318">
        <f t="shared" si="6"/>
        <v>1.0269999999999999</v>
      </c>
      <c r="H30" s="143"/>
      <c r="I30" s="300"/>
      <c r="J30" s="300"/>
      <c r="K30" s="300"/>
      <c r="L30" s="300"/>
      <c r="M30" s="300"/>
      <c r="N30" s="318"/>
      <c r="O30" s="95"/>
      <c r="P30" s="143"/>
      <c r="Q30" s="318"/>
      <c r="R30" s="96">
        <f t="shared" si="1"/>
        <v>1.0485669999999998</v>
      </c>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row>
    <row r="31" spans="1:247" x14ac:dyDescent="0.25">
      <c r="A31" s="310">
        <v>1752</v>
      </c>
      <c r="B31" s="299" t="s">
        <v>2956</v>
      </c>
      <c r="C31" s="239" t="s">
        <v>732</v>
      </c>
      <c r="D31" s="311" t="s">
        <v>2927</v>
      </c>
      <c r="E31" s="143"/>
      <c r="F31" s="90">
        <f t="shared" si="0"/>
        <v>1.0209999999999999</v>
      </c>
      <c r="G31" s="318">
        <f t="shared" si="6"/>
        <v>1.0269999999999999</v>
      </c>
      <c r="H31" s="143"/>
      <c r="I31" s="300"/>
      <c r="J31" s="300"/>
      <c r="K31" s="300"/>
      <c r="L31" s="300"/>
      <c r="M31" s="300"/>
      <c r="N31" s="318"/>
      <c r="O31" s="95"/>
      <c r="P31" s="143"/>
      <c r="Q31" s="318"/>
      <c r="R31" s="96">
        <f t="shared" si="1"/>
        <v>1.0485669999999998</v>
      </c>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row>
    <row r="32" spans="1:247" x14ac:dyDescent="0.25">
      <c r="A32" s="310">
        <v>1753</v>
      </c>
      <c r="B32" s="299" t="s">
        <v>2957</v>
      </c>
      <c r="C32" s="239" t="s">
        <v>732</v>
      </c>
      <c r="D32" s="311" t="s">
        <v>2927</v>
      </c>
      <c r="E32" s="143"/>
      <c r="F32" s="90">
        <f t="shared" si="0"/>
        <v>1.0209999999999999</v>
      </c>
      <c r="G32" s="318">
        <f t="shared" si="6"/>
        <v>1.0269999999999999</v>
      </c>
      <c r="H32" s="143"/>
      <c r="I32" s="300"/>
      <c r="J32" s="300"/>
      <c r="K32" s="300"/>
      <c r="L32" s="300"/>
      <c r="M32" s="300"/>
      <c r="N32" s="318"/>
      <c r="O32" s="95"/>
      <c r="P32" s="143"/>
      <c r="Q32" s="318"/>
      <c r="R32" s="96">
        <f t="shared" si="1"/>
        <v>1.0485669999999998</v>
      </c>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row>
    <row r="33" spans="1:247" x14ac:dyDescent="0.25">
      <c r="A33" s="310">
        <v>1754</v>
      </c>
      <c r="B33" s="299" t="s">
        <v>2958</v>
      </c>
      <c r="C33" s="239" t="s">
        <v>732</v>
      </c>
      <c r="D33" s="311" t="s">
        <v>2927</v>
      </c>
      <c r="E33" s="143"/>
      <c r="F33" s="90">
        <f t="shared" si="0"/>
        <v>1.0209999999999999</v>
      </c>
      <c r="G33" s="318">
        <f t="shared" si="6"/>
        <v>1.0269999999999999</v>
      </c>
      <c r="H33" s="143"/>
      <c r="I33" s="300"/>
      <c r="J33" s="300"/>
      <c r="K33" s="300"/>
      <c r="L33" s="300"/>
      <c r="M33" s="300"/>
      <c r="N33" s="318"/>
      <c r="O33" s="95"/>
      <c r="P33" s="143"/>
      <c r="Q33" s="318"/>
      <c r="R33" s="96">
        <f t="shared" si="1"/>
        <v>1.0485669999999998</v>
      </c>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row>
    <row r="34" spans="1:247" x14ac:dyDescent="0.25">
      <c r="A34" s="310">
        <v>1755</v>
      </c>
      <c r="B34" s="299" t="s">
        <v>2959</v>
      </c>
      <c r="C34" s="239" t="s">
        <v>732</v>
      </c>
      <c r="D34" s="311" t="s">
        <v>2927</v>
      </c>
      <c r="E34" s="143"/>
      <c r="F34" s="90">
        <f t="shared" si="0"/>
        <v>1.0209999999999999</v>
      </c>
      <c r="G34" s="318">
        <f t="shared" si="6"/>
        <v>1.0269999999999999</v>
      </c>
      <c r="H34" s="143"/>
      <c r="I34" s="300"/>
      <c r="J34" s="300"/>
      <c r="K34" s="300"/>
      <c r="L34" s="300"/>
      <c r="M34" s="300"/>
      <c r="N34" s="318"/>
      <c r="O34" s="95"/>
      <c r="P34" s="143"/>
      <c r="Q34" s="318"/>
      <c r="R34" s="96">
        <f t="shared" si="1"/>
        <v>1.0485669999999998</v>
      </c>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row>
    <row r="35" spans="1:247" x14ac:dyDescent="0.25">
      <c r="A35" s="310">
        <v>1756</v>
      </c>
      <c r="B35" s="299" t="s">
        <v>2960</v>
      </c>
      <c r="C35" s="239" t="s">
        <v>732</v>
      </c>
      <c r="D35" s="311" t="s">
        <v>2927</v>
      </c>
      <c r="E35" s="143"/>
      <c r="F35" s="90">
        <f t="shared" si="0"/>
        <v>1.0209999999999999</v>
      </c>
      <c r="G35" s="318">
        <f t="shared" si="6"/>
        <v>1.0269999999999999</v>
      </c>
      <c r="H35" s="143"/>
      <c r="I35" s="300"/>
      <c r="J35" s="300"/>
      <c r="K35" s="300"/>
      <c r="L35" s="300"/>
      <c r="M35" s="300"/>
      <c r="N35" s="318"/>
      <c r="O35" s="95"/>
      <c r="P35" s="143"/>
      <c r="Q35" s="318"/>
      <c r="R35" s="96">
        <f t="shared" si="1"/>
        <v>1.0485669999999998</v>
      </c>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row>
    <row r="36" spans="1:247" x14ac:dyDescent="0.25">
      <c r="A36" s="310">
        <v>1757</v>
      </c>
      <c r="B36" s="299" t="s">
        <v>2961</v>
      </c>
      <c r="C36" s="239" t="s">
        <v>732</v>
      </c>
      <c r="D36" s="311" t="s">
        <v>2927</v>
      </c>
      <c r="E36" s="143"/>
      <c r="F36" s="90">
        <f t="shared" si="0"/>
        <v>1.0209999999999999</v>
      </c>
      <c r="G36" s="318">
        <f t="shared" si="6"/>
        <v>1.0269999999999999</v>
      </c>
      <c r="H36" s="143"/>
      <c r="I36" s="300"/>
      <c r="J36" s="300"/>
      <c r="K36" s="300"/>
      <c r="L36" s="300"/>
      <c r="M36" s="300"/>
      <c r="N36" s="318"/>
      <c r="O36" s="95"/>
      <c r="P36" s="143"/>
      <c r="Q36" s="318"/>
      <c r="R36" s="96">
        <f t="shared" si="1"/>
        <v>1.0485669999999998</v>
      </c>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row>
    <row r="37" spans="1:247" x14ac:dyDescent="0.25">
      <c r="A37" s="310">
        <v>1758</v>
      </c>
      <c r="B37" s="299" t="s">
        <v>2962</v>
      </c>
      <c r="C37" s="239" t="s">
        <v>732</v>
      </c>
      <c r="D37" s="311" t="s">
        <v>2927</v>
      </c>
      <c r="E37" s="143"/>
      <c r="F37" s="90">
        <f t="shared" si="0"/>
        <v>1.0209999999999999</v>
      </c>
      <c r="G37" s="318">
        <f t="shared" si="6"/>
        <v>1.0269999999999999</v>
      </c>
      <c r="H37" s="143"/>
      <c r="I37" s="300"/>
      <c r="J37" s="300"/>
      <c r="K37" s="300"/>
      <c r="L37" s="300"/>
      <c r="M37" s="300"/>
      <c r="N37" s="318"/>
      <c r="O37" s="95"/>
      <c r="P37" s="143"/>
      <c r="Q37" s="318"/>
      <c r="R37" s="96">
        <f t="shared" si="1"/>
        <v>1.0485669999999998</v>
      </c>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row>
    <row r="38" spans="1:247" x14ac:dyDescent="0.25">
      <c r="A38" s="310">
        <v>1760</v>
      </c>
      <c r="B38" s="299" t="s">
        <v>2963</v>
      </c>
      <c r="C38" s="239" t="s">
        <v>732</v>
      </c>
      <c r="D38" s="311" t="s">
        <v>2927</v>
      </c>
      <c r="E38" s="143"/>
      <c r="F38" s="90">
        <f t="shared" si="0"/>
        <v>1.0209999999999999</v>
      </c>
      <c r="G38" s="318">
        <f t="shared" si="6"/>
        <v>1.0269999999999999</v>
      </c>
      <c r="H38" s="143"/>
      <c r="I38" s="300"/>
      <c r="J38" s="300"/>
      <c r="K38" s="300"/>
      <c r="L38" s="300"/>
      <c r="M38" s="300"/>
      <c r="N38" s="318"/>
      <c r="O38" s="95"/>
      <c r="P38" s="143"/>
      <c r="Q38" s="318"/>
      <c r="R38" s="96">
        <f t="shared" si="1"/>
        <v>1.0485669999999998</v>
      </c>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row>
    <row r="39" spans="1:247" x14ac:dyDescent="0.25">
      <c r="A39" s="310">
        <v>1761</v>
      </c>
      <c r="B39" s="299" t="s">
        <v>2964</v>
      </c>
      <c r="C39" s="239" t="s">
        <v>732</v>
      </c>
      <c r="D39" s="311" t="s">
        <v>2927</v>
      </c>
      <c r="E39" s="143"/>
      <c r="F39" s="90">
        <f t="shared" si="0"/>
        <v>1.0209999999999999</v>
      </c>
      <c r="G39" s="318">
        <f t="shared" si="6"/>
        <v>1.0269999999999999</v>
      </c>
      <c r="H39" s="143"/>
      <c r="I39" s="300"/>
      <c r="J39" s="300"/>
      <c r="K39" s="300"/>
      <c r="L39" s="300"/>
      <c r="M39" s="300"/>
      <c r="N39" s="318"/>
      <c r="O39" s="95"/>
      <c r="P39" s="143"/>
      <c r="Q39" s="318"/>
      <c r="R39" s="96">
        <f t="shared" si="1"/>
        <v>1.0485669999999998</v>
      </c>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row>
    <row r="40" spans="1:247" x14ac:dyDescent="0.25">
      <c r="A40" s="310">
        <v>1762</v>
      </c>
      <c r="B40" s="299" t="s">
        <v>2965</v>
      </c>
      <c r="C40" s="239" t="s">
        <v>812</v>
      </c>
      <c r="D40" s="311" t="s">
        <v>2927</v>
      </c>
      <c r="E40" s="143"/>
      <c r="F40" s="90">
        <f t="shared" si="0"/>
        <v>1.0209999999999999</v>
      </c>
      <c r="G40" s="318">
        <f t="shared" si="6"/>
        <v>1.0269999999999999</v>
      </c>
      <c r="H40" s="143"/>
      <c r="I40" s="300"/>
      <c r="J40" s="300"/>
      <c r="K40" s="300"/>
      <c r="L40" s="300"/>
      <c r="M40" s="300"/>
      <c r="N40" s="318"/>
      <c r="O40" s="95"/>
      <c r="P40" s="143"/>
      <c r="Q40" s="318"/>
      <c r="R40" s="96">
        <f t="shared" si="1"/>
        <v>1.0485669999999998</v>
      </c>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row>
    <row r="41" spans="1:247" x14ac:dyDescent="0.25">
      <c r="A41" s="310">
        <v>1763</v>
      </c>
      <c r="B41" s="299" t="s">
        <v>2966</v>
      </c>
      <c r="C41" s="239" t="s">
        <v>732</v>
      </c>
      <c r="D41" s="311" t="s">
        <v>2927</v>
      </c>
      <c r="E41" s="143"/>
      <c r="F41" s="90">
        <f t="shared" si="0"/>
        <v>1.0209999999999999</v>
      </c>
      <c r="G41" s="318">
        <f t="shared" si="6"/>
        <v>1.0269999999999999</v>
      </c>
      <c r="H41" s="143"/>
      <c r="I41" s="300"/>
      <c r="J41" s="300"/>
      <c r="K41" s="300"/>
      <c r="L41" s="300"/>
      <c r="M41" s="300"/>
      <c r="N41" s="318"/>
      <c r="O41" s="95"/>
      <c r="P41" s="143"/>
      <c r="Q41" s="318"/>
      <c r="R41" s="96">
        <f t="shared" si="1"/>
        <v>1.0485669999999998</v>
      </c>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row>
    <row r="42" spans="1:247" x14ac:dyDescent="0.25">
      <c r="A42" s="310">
        <v>1764</v>
      </c>
      <c r="B42" s="299" t="s">
        <v>2967</v>
      </c>
      <c r="C42" s="239" t="s">
        <v>812</v>
      </c>
      <c r="D42" s="311" t="s">
        <v>2927</v>
      </c>
      <c r="E42" s="143"/>
      <c r="F42" s="90">
        <f t="shared" si="0"/>
        <v>1.0209999999999999</v>
      </c>
      <c r="G42" s="318">
        <f t="shared" si="6"/>
        <v>1.0269999999999999</v>
      </c>
      <c r="H42" s="143"/>
      <c r="I42" s="300"/>
      <c r="J42" s="300"/>
      <c r="K42" s="300"/>
      <c r="L42" s="300"/>
      <c r="M42" s="300"/>
      <c r="N42" s="318"/>
      <c r="O42" s="95"/>
      <c r="P42" s="143"/>
      <c r="Q42" s="318"/>
      <c r="R42" s="96">
        <f t="shared" si="1"/>
        <v>1.0485669999999998</v>
      </c>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row>
    <row r="43" spans="1:247" x14ac:dyDescent="0.25">
      <c r="A43" s="310">
        <v>1765</v>
      </c>
      <c r="B43" s="299" t="s">
        <v>2968</v>
      </c>
      <c r="C43" s="239" t="s">
        <v>76</v>
      </c>
      <c r="D43" s="311" t="s">
        <v>2927</v>
      </c>
      <c r="E43" s="143"/>
      <c r="F43" s="90">
        <f t="shared" si="0"/>
        <v>1.0209999999999999</v>
      </c>
      <c r="G43" s="318">
        <f t="shared" si="6"/>
        <v>1.0269999999999999</v>
      </c>
      <c r="H43" s="143"/>
      <c r="I43" s="300"/>
      <c r="J43" s="300"/>
      <c r="K43" s="300"/>
      <c r="L43" s="300"/>
      <c r="M43" s="300"/>
      <c r="N43" s="318"/>
      <c r="O43" s="95"/>
      <c r="P43" s="143"/>
      <c r="Q43" s="318"/>
      <c r="R43" s="96">
        <f t="shared" si="1"/>
        <v>1.0485669999999998</v>
      </c>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row>
    <row r="44" spans="1:247" x14ac:dyDescent="0.25">
      <c r="A44" s="310">
        <v>1766</v>
      </c>
      <c r="B44" s="299" t="s">
        <v>2969</v>
      </c>
      <c r="C44" s="239" t="s">
        <v>76</v>
      </c>
      <c r="D44" s="311" t="s">
        <v>2927</v>
      </c>
      <c r="E44" s="143"/>
      <c r="F44" s="90">
        <f t="shared" si="0"/>
        <v>1.0209999999999999</v>
      </c>
      <c r="G44" s="318">
        <f t="shared" si="6"/>
        <v>1.0269999999999999</v>
      </c>
      <c r="H44" s="143"/>
      <c r="I44" s="300"/>
      <c r="J44" s="300"/>
      <c r="K44" s="300"/>
      <c r="L44" s="300"/>
      <c r="M44" s="300"/>
      <c r="N44" s="318"/>
      <c r="O44" s="95"/>
      <c r="P44" s="143"/>
      <c r="Q44" s="318"/>
      <c r="R44" s="96">
        <f t="shared" si="1"/>
        <v>1.0485669999999998</v>
      </c>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row>
    <row r="45" spans="1:247" x14ac:dyDescent="0.25">
      <c r="A45" s="310">
        <v>1767</v>
      </c>
      <c r="B45" s="299" t="s">
        <v>2970</v>
      </c>
      <c r="C45" s="239" t="s">
        <v>76</v>
      </c>
      <c r="D45" s="311" t="s">
        <v>2927</v>
      </c>
      <c r="E45" s="143"/>
      <c r="F45" s="90">
        <f t="shared" si="0"/>
        <v>1.0209999999999999</v>
      </c>
      <c r="G45" s="318">
        <f t="shared" si="6"/>
        <v>1.0269999999999999</v>
      </c>
      <c r="H45" s="143"/>
      <c r="I45" s="300"/>
      <c r="J45" s="300"/>
      <c r="K45" s="300"/>
      <c r="L45" s="300"/>
      <c r="M45" s="300"/>
      <c r="N45" s="318"/>
      <c r="O45" s="95"/>
      <c r="P45" s="143"/>
      <c r="Q45" s="318"/>
      <c r="R45" s="96">
        <f t="shared" si="1"/>
        <v>1.0485669999999998</v>
      </c>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row>
    <row r="46" spans="1:247" x14ac:dyDescent="0.25">
      <c r="A46" s="310">
        <v>1768</v>
      </c>
      <c r="B46" s="299" t="s">
        <v>2971</v>
      </c>
      <c r="C46" s="239" t="s">
        <v>76</v>
      </c>
      <c r="D46" s="311" t="s">
        <v>2927</v>
      </c>
      <c r="E46" s="143"/>
      <c r="F46" s="90">
        <f t="shared" si="0"/>
        <v>1.0209999999999999</v>
      </c>
      <c r="G46" s="318">
        <f t="shared" si="6"/>
        <v>1.0269999999999999</v>
      </c>
      <c r="H46" s="143"/>
      <c r="I46" s="300"/>
      <c r="J46" s="300"/>
      <c r="K46" s="300"/>
      <c r="L46" s="300"/>
      <c r="M46" s="300"/>
      <c r="N46" s="318"/>
      <c r="O46" s="95"/>
      <c r="P46" s="143"/>
      <c r="Q46" s="318"/>
      <c r="R46" s="96">
        <f t="shared" si="1"/>
        <v>1.0485669999999998</v>
      </c>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row>
    <row r="47" spans="1:247" x14ac:dyDescent="0.25">
      <c r="A47" s="310">
        <v>1769</v>
      </c>
      <c r="B47" s="299" t="s">
        <v>2972</v>
      </c>
      <c r="C47" s="239" t="s">
        <v>76</v>
      </c>
      <c r="D47" s="311" t="s">
        <v>2927</v>
      </c>
      <c r="E47" s="143"/>
      <c r="F47" s="90">
        <f t="shared" si="0"/>
        <v>1.0209999999999999</v>
      </c>
      <c r="G47" s="318">
        <f t="shared" si="6"/>
        <v>1.0269999999999999</v>
      </c>
      <c r="H47" s="143"/>
      <c r="I47" s="300"/>
      <c r="J47" s="300"/>
      <c r="K47" s="300"/>
      <c r="L47" s="300"/>
      <c r="M47" s="300"/>
      <c r="N47" s="318"/>
      <c r="O47" s="95"/>
      <c r="P47" s="143"/>
      <c r="Q47" s="318"/>
      <c r="R47" s="96">
        <f t="shared" si="1"/>
        <v>1.0485669999999998</v>
      </c>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row>
    <row r="48" spans="1:247" x14ac:dyDescent="0.25">
      <c r="A48" s="310">
        <v>1771</v>
      </c>
      <c r="B48" s="299" t="s">
        <v>2973</v>
      </c>
      <c r="C48" s="239" t="s">
        <v>812</v>
      </c>
      <c r="D48" s="311" t="s">
        <v>2927</v>
      </c>
      <c r="E48" s="143"/>
      <c r="F48" s="90">
        <f t="shared" si="0"/>
        <v>1.0209999999999999</v>
      </c>
      <c r="G48" s="318">
        <f t="shared" si="6"/>
        <v>1.0269999999999999</v>
      </c>
      <c r="H48" s="143"/>
      <c r="I48" s="300"/>
      <c r="J48" s="300"/>
      <c r="K48" s="300"/>
      <c r="L48" s="300"/>
      <c r="M48" s="300"/>
      <c r="N48" s="318"/>
      <c r="O48" s="95"/>
      <c r="P48" s="143">
        <f>+$P$3</f>
        <v>1.032</v>
      </c>
      <c r="Q48" s="318"/>
      <c r="R48" s="96">
        <f t="shared" si="1"/>
        <v>1.0821211439999998</v>
      </c>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row>
    <row r="49" spans="1:247" x14ac:dyDescent="0.25">
      <c r="A49" s="310">
        <v>1772</v>
      </c>
      <c r="B49" s="299" t="s">
        <v>2974</v>
      </c>
      <c r="C49" s="239" t="s">
        <v>76</v>
      </c>
      <c r="D49" s="311" t="s">
        <v>2927</v>
      </c>
      <c r="E49" s="143"/>
      <c r="F49" s="90">
        <f t="shared" si="0"/>
        <v>1.0209999999999999</v>
      </c>
      <c r="G49" s="318">
        <f t="shared" si="6"/>
        <v>1.0269999999999999</v>
      </c>
      <c r="H49" s="143"/>
      <c r="I49" s="300"/>
      <c r="J49" s="300"/>
      <c r="K49" s="300"/>
      <c r="L49" s="300"/>
      <c r="M49" s="300"/>
      <c r="N49" s="318"/>
      <c r="O49" s="95"/>
      <c r="P49" s="143">
        <f>+$P$3</f>
        <v>1.032</v>
      </c>
      <c r="Q49" s="318"/>
      <c r="R49" s="96">
        <f t="shared" si="1"/>
        <v>1.0821211439999998</v>
      </c>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row>
    <row r="50" spans="1:247" x14ac:dyDescent="0.25">
      <c r="A50" s="310">
        <v>1773</v>
      </c>
      <c r="B50" s="299" t="s">
        <v>2975</v>
      </c>
      <c r="C50" s="239" t="s">
        <v>812</v>
      </c>
      <c r="D50" s="311" t="s">
        <v>2927</v>
      </c>
      <c r="E50" s="143"/>
      <c r="F50" s="90">
        <f t="shared" si="0"/>
        <v>1.0209999999999999</v>
      </c>
      <c r="G50" s="318">
        <f t="shared" si="6"/>
        <v>1.0269999999999999</v>
      </c>
      <c r="H50" s="143"/>
      <c r="I50" s="300"/>
      <c r="J50" s="300"/>
      <c r="K50" s="300"/>
      <c r="L50" s="300"/>
      <c r="M50" s="300"/>
      <c r="N50" s="318"/>
      <c r="O50" s="95"/>
      <c r="P50" s="143"/>
      <c r="Q50" s="318"/>
      <c r="R50" s="96">
        <f t="shared" si="1"/>
        <v>1.0485669999999998</v>
      </c>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row>
    <row r="51" spans="1:247" x14ac:dyDescent="0.25">
      <c r="A51" s="310">
        <v>1774</v>
      </c>
      <c r="B51" s="299" t="s">
        <v>2976</v>
      </c>
      <c r="C51" s="239" t="s">
        <v>76</v>
      </c>
      <c r="D51" s="311" t="s">
        <v>2927</v>
      </c>
      <c r="E51" s="143"/>
      <c r="F51" s="90">
        <f t="shared" si="0"/>
        <v>1.0209999999999999</v>
      </c>
      <c r="G51" s="318">
        <f t="shared" si="6"/>
        <v>1.0269999999999999</v>
      </c>
      <c r="H51" s="143"/>
      <c r="I51" s="300"/>
      <c r="J51" s="300"/>
      <c r="K51" s="300"/>
      <c r="L51" s="300"/>
      <c r="M51" s="300"/>
      <c r="N51" s="318"/>
      <c r="O51" s="95"/>
      <c r="P51" s="143"/>
      <c r="Q51" s="318"/>
      <c r="R51" s="96">
        <f t="shared" si="1"/>
        <v>1.0485669999999998</v>
      </c>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row>
    <row r="52" spans="1:247" x14ac:dyDescent="0.25">
      <c r="A52" s="310">
        <v>1775</v>
      </c>
      <c r="B52" s="299" t="s">
        <v>2977</v>
      </c>
      <c r="C52" s="239" t="s">
        <v>76</v>
      </c>
      <c r="D52" s="311" t="s">
        <v>2927</v>
      </c>
      <c r="E52" s="143"/>
      <c r="F52" s="90">
        <f t="shared" si="0"/>
        <v>1.0209999999999999</v>
      </c>
      <c r="G52" s="318">
        <f t="shared" si="6"/>
        <v>1.0269999999999999</v>
      </c>
      <c r="H52" s="143"/>
      <c r="I52" s="300"/>
      <c r="J52" s="300"/>
      <c r="K52" s="300"/>
      <c r="L52" s="300"/>
      <c r="M52" s="300"/>
      <c r="N52" s="318"/>
      <c r="O52" s="95"/>
      <c r="P52" s="143"/>
      <c r="Q52" s="318"/>
      <c r="R52" s="96">
        <f t="shared" si="1"/>
        <v>1.0485669999999998</v>
      </c>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row>
    <row r="53" spans="1:247" x14ac:dyDescent="0.25">
      <c r="A53" s="310">
        <v>1776</v>
      </c>
      <c r="B53" s="299" t="s">
        <v>2978</v>
      </c>
      <c r="C53" s="239" t="s">
        <v>76</v>
      </c>
      <c r="D53" s="311" t="s">
        <v>2927</v>
      </c>
      <c r="E53" s="143"/>
      <c r="F53" s="90">
        <f t="shared" si="0"/>
        <v>1.0209999999999999</v>
      </c>
      <c r="G53" s="318">
        <f t="shared" si="6"/>
        <v>1.0269999999999999</v>
      </c>
      <c r="H53" s="143"/>
      <c r="I53" s="300"/>
      <c r="J53" s="300"/>
      <c r="K53" s="300"/>
      <c r="L53" s="300"/>
      <c r="M53" s="300"/>
      <c r="N53" s="318"/>
      <c r="O53" s="95"/>
      <c r="P53" s="143">
        <f>+$P$3</f>
        <v>1.032</v>
      </c>
      <c r="Q53" s="318"/>
      <c r="R53" s="96">
        <f t="shared" si="1"/>
        <v>1.0821211439999998</v>
      </c>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row>
    <row r="54" spans="1:247" x14ac:dyDescent="0.25">
      <c r="A54" s="310">
        <v>1777</v>
      </c>
      <c r="B54" s="299" t="s">
        <v>2979</v>
      </c>
      <c r="C54" s="239" t="s">
        <v>732</v>
      </c>
      <c r="D54" s="311" t="s">
        <v>2927</v>
      </c>
      <c r="E54" s="143"/>
      <c r="F54" s="90">
        <f t="shared" si="0"/>
        <v>1.0209999999999999</v>
      </c>
      <c r="G54" s="318">
        <f t="shared" si="6"/>
        <v>1.0269999999999999</v>
      </c>
      <c r="H54" s="143"/>
      <c r="I54" s="300"/>
      <c r="J54" s="300"/>
      <c r="K54" s="300"/>
      <c r="L54" s="300"/>
      <c r="M54" s="300"/>
      <c r="N54" s="318"/>
      <c r="O54" s="95"/>
      <c r="P54" s="143"/>
      <c r="Q54" s="318"/>
      <c r="R54" s="96">
        <f t="shared" si="1"/>
        <v>1.0485669999999998</v>
      </c>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row>
    <row r="55" spans="1:247" x14ac:dyDescent="0.25">
      <c r="A55" s="310">
        <v>1781</v>
      </c>
      <c r="B55" s="299" t="s">
        <v>2980</v>
      </c>
      <c r="C55" s="239" t="s">
        <v>732</v>
      </c>
      <c r="D55" s="311" t="s">
        <v>2927</v>
      </c>
      <c r="E55" s="143"/>
      <c r="F55" s="90">
        <f t="shared" si="0"/>
        <v>1.0209999999999999</v>
      </c>
      <c r="G55" s="318">
        <f t="shared" si="6"/>
        <v>1.0269999999999999</v>
      </c>
      <c r="H55" s="143"/>
      <c r="I55" s="300"/>
      <c r="J55" s="300"/>
      <c r="K55" s="300"/>
      <c r="L55" s="300"/>
      <c r="M55" s="300"/>
      <c r="N55" s="318"/>
      <c r="O55" s="95"/>
      <c r="P55" s="143"/>
      <c r="Q55" s="318"/>
      <c r="R55" s="96">
        <f t="shared" si="1"/>
        <v>1.0485669999999998</v>
      </c>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row>
    <row r="56" spans="1:247" x14ac:dyDescent="0.25">
      <c r="A56" s="310">
        <v>1782</v>
      </c>
      <c r="B56" s="299" t="s">
        <v>2981</v>
      </c>
      <c r="C56" s="239" t="s">
        <v>732</v>
      </c>
      <c r="D56" s="311" t="s">
        <v>2927</v>
      </c>
      <c r="E56" s="143"/>
      <c r="F56" s="90">
        <f t="shared" si="0"/>
        <v>1.0209999999999999</v>
      </c>
      <c r="G56" s="318">
        <f t="shared" si="6"/>
        <v>1.0269999999999999</v>
      </c>
      <c r="H56" s="143"/>
      <c r="I56" s="300"/>
      <c r="J56" s="300"/>
      <c r="K56" s="300"/>
      <c r="L56" s="300"/>
      <c r="M56" s="300"/>
      <c r="N56" s="318"/>
      <c r="O56" s="95"/>
      <c r="P56" s="143"/>
      <c r="Q56" s="318"/>
      <c r="R56" s="96">
        <f t="shared" si="1"/>
        <v>1.0485669999999998</v>
      </c>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row>
    <row r="57" spans="1:247" x14ac:dyDescent="0.25">
      <c r="A57" s="310">
        <v>1783</v>
      </c>
      <c r="B57" s="299" t="s">
        <v>2982</v>
      </c>
      <c r="C57" s="239" t="s">
        <v>732</v>
      </c>
      <c r="D57" s="311" t="s">
        <v>2927</v>
      </c>
      <c r="E57" s="143"/>
      <c r="F57" s="90">
        <f t="shared" si="0"/>
        <v>1.0209999999999999</v>
      </c>
      <c r="G57" s="318">
        <f t="shared" si="6"/>
        <v>1.0269999999999999</v>
      </c>
      <c r="H57" s="143"/>
      <c r="I57" s="300"/>
      <c r="J57" s="300"/>
      <c r="K57" s="300"/>
      <c r="L57" s="300"/>
      <c r="M57" s="300"/>
      <c r="N57" s="318"/>
      <c r="O57" s="95"/>
      <c r="P57" s="143"/>
      <c r="Q57" s="318"/>
      <c r="R57" s="96">
        <f t="shared" si="1"/>
        <v>1.0485669999999998</v>
      </c>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row>
    <row r="58" spans="1:247" x14ac:dyDescent="0.25">
      <c r="A58" s="310">
        <v>1790</v>
      </c>
      <c r="B58" s="299" t="s">
        <v>2983</v>
      </c>
      <c r="C58" s="239" t="s">
        <v>76</v>
      </c>
      <c r="D58" s="311" t="s">
        <v>2927</v>
      </c>
      <c r="E58" s="143"/>
      <c r="F58" s="90">
        <f t="shared" si="0"/>
        <v>1.0209999999999999</v>
      </c>
      <c r="G58" s="318">
        <f t="shared" si="6"/>
        <v>1.0269999999999999</v>
      </c>
      <c r="H58" s="143"/>
      <c r="I58" s="300"/>
      <c r="J58" s="300"/>
      <c r="K58" s="300"/>
      <c r="L58" s="300"/>
      <c r="M58" s="300"/>
      <c r="N58" s="318"/>
      <c r="O58" s="95"/>
      <c r="P58" s="143"/>
      <c r="Q58" s="318"/>
      <c r="R58" s="96">
        <f t="shared" si="1"/>
        <v>1.0485669999999998</v>
      </c>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row>
    <row r="59" spans="1:247" x14ac:dyDescent="0.25">
      <c r="A59" s="310">
        <v>1791</v>
      </c>
      <c r="B59" s="299" t="s">
        <v>2984</v>
      </c>
      <c r="C59" s="239" t="s">
        <v>76</v>
      </c>
      <c r="D59" s="311" t="s">
        <v>2927</v>
      </c>
      <c r="E59" s="143"/>
      <c r="F59" s="90">
        <f t="shared" si="0"/>
        <v>1.0209999999999999</v>
      </c>
      <c r="G59" s="318">
        <f t="shared" si="6"/>
        <v>1.0269999999999999</v>
      </c>
      <c r="H59" s="143"/>
      <c r="I59" s="300"/>
      <c r="J59" s="300"/>
      <c r="K59" s="300"/>
      <c r="L59" s="300"/>
      <c r="M59" s="300"/>
      <c r="N59" s="318"/>
      <c r="O59" s="95"/>
      <c r="P59" s="143"/>
      <c r="Q59" s="318"/>
      <c r="R59" s="96">
        <f t="shared" si="1"/>
        <v>1.0485669999999998</v>
      </c>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row>
    <row r="60" spans="1:247" x14ac:dyDescent="0.25">
      <c r="A60" s="310">
        <v>1792</v>
      </c>
      <c r="B60" s="299" t="s">
        <v>2985</v>
      </c>
      <c r="C60" s="239" t="s">
        <v>76</v>
      </c>
      <c r="D60" s="311" t="s">
        <v>2927</v>
      </c>
      <c r="E60" s="143"/>
      <c r="F60" s="90">
        <f t="shared" si="0"/>
        <v>1.0209999999999999</v>
      </c>
      <c r="G60" s="318">
        <f t="shared" si="6"/>
        <v>1.0269999999999999</v>
      </c>
      <c r="H60" s="143"/>
      <c r="I60" s="300"/>
      <c r="J60" s="300"/>
      <c r="K60" s="300"/>
      <c r="L60" s="300"/>
      <c r="M60" s="300"/>
      <c r="N60" s="318"/>
      <c r="O60" s="95"/>
      <c r="P60" s="143">
        <f>+$P$3</f>
        <v>1.032</v>
      </c>
      <c r="Q60" s="318"/>
      <c r="R60" s="96">
        <f t="shared" si="1"/>
        <v>1.0821211439999998</v>
      </c>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row>
    <row r="61" spans="1:247" x14ac:dyDescent="0.25">
      <c r="A61" s="310">
        <v>1793</v>
      </c>
      <c r="B61" s="299" t="s">
        <v>2986</v>
      </c>
      <c r="C61" s="239" t="s">
        <v>76</v>
      </c>
      <c r="D61" s="311" t="s">
        <v>2927</v>
      </c>
      <c r="E61" s="143"/>
      <c r="F61" s="90">
        <f t="shared" si="0"/>
        <v>1.0209999999999999</v>
      </c>
      <c r="G61" s="318">
        <f t="shared" si="6"/>
        <v>1.0269999999999999</v>
      </c>
      <c r="H61" s="143"/>
      <c r="I61" s="300"/>
      <c r="J61" s="300"/>
      <c r="K61" s="300"/>
      <c r="L61" s="300"/>
      <c r="M61" s="300"/>
      <c r="N61" s="318"/>
      <c r="O61" s="95"/>
      <c r="P61" s="143"/>
      <c r="Q61" s="318"/>
      <c r="R61" s="96">
        <f t="shared" si="1"/>
        <v>1.0485669999999998</v>
      </c>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row>
    <row r="62" spans="1:247" x14ac:dyDescent="0.25">
      <c r="A62" s="310">
        <v>1794</v>
      </c>
      <c r="B62" s="299" t="s">
        <v>2987</v>
      </c>
      <c r="C62" s="239" t="s">
        <v>732</v>
      </c>
      <c r="D62" s="311" t="s">
        <v>2927</v>
      </c>
      <c r="E62" s="143"/>
      <c r="F62" s="90">
        <f t="shared" si="0"/>
        <v>1.0209999999999999</v>
      </c>
      <c r="G62" s="318">
        <f t="shared" si="6"/>
        <v>1.0269999999999999</v>
      </c>
      <c r="H62" s="143"/>
      <c r="I62" s="300"/>
      <c r="J62" s="300"/>
      <c r="K62" s="300"/>
      <c r="L62" s="300"/>
      <c r="M62" s="300"/>
      <c r="N62" s="318"/>
      <c r="O62" s="95"/>
      <c r="P62" s="143"/>
      <c r="Q62" s="318"/>
      <c r="R62" s="96">
        <f t="shared" si="1"/>
        <v>1.0485669999999998</v>
      </c>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row>
    <row r="63" spans="1:247" x14ac:dyDescent="0.25">
      <c r="A63" s="310">
        <v>1795</v>
      </c>
      <c r="B63" s="299" t="s">
        <v>2988</v>
      </c>
      <c r="C63" s="239" t="s">
        <v>205</v>
      </c>
      <c r="D63" s="311" t="s">
        <v>2927</v>
      </c>
      <c r="E63" s="143"/>
      <c r="F63" s="90">
        <f t="shared" si="0"/>
        <v>1.0209999999999999</v>
      </c>
      <c r="G63" s="318">
        <f t="shared" si="6"/>
        <v>1.0269999999999999</v>
      </c>
      <c r="H63" s="143"/>
      <c r="I63" s="300"/>
      <c r="J63" s="300"/>
      <c r="K63" s="300"/>
      <c r="L63" s="300"/>
      <c r="M63" s="300"/>
      <c r="N63" s="318"/>
      <c r="O63" s="95"/>
      <c r="P63" s="143">
        <f>+$P$3</f>
        <v>1.032</v>
      </c>
      <c r="Q63" s="318"/>
      <c r="R63" s="96">
        <f t="shared" si="1"/>
        <v>1.0821211439999998</v>
      </c>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row>
    <row r="64" spans="1:247" x14ac:dyDescent="0.25">
      <c r="A64" s="310">
        <v>1796</v>
      </c>
      <c r="B64" s="299" t="s">
        <v>2989</v>
      </c>
      <c r="C64" s="239" t="s">
        <v>205</v>
      </c>
      <c r="D64" s="311" t="s">
        <v>2927</v>
      </c>
      <c r="E64" s="143"/>
      <c r="F64" s="90">
        <v>1.0209999999999999</v>
      </c>
      <c r="G64" s="318">
        <v>1.0269999999999999</v>
      </c>
      <c r="H64" s="143"/>
      <c r="I64" s="300"/>
      <c r="J64" s="300"/>
      <c r="K64" s="300"/>
      <c r="L64" s="300"/>
      <c r="M64" s="300"/>
      <c r="N64" s="318"/>
      <c r="O64" s="95"/>
      <c r="P64" s="143">
        <f>+$P$3</f>
        <v>1.032</v>
      </c>
      <c r="Q64" s="318"/>
      <c r="R64" s="96">
        <f t="shared" si="1"/>
        <v>1.0821211439999998</v>
      </c>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row>
    <row r="65" spans="1:247" x14ac:dyDescent="0.25">
      <c r="A65" s="310">
        <v>1797</v>
      </c>
      <c r="B65" s="299" t="s">
        <v>2990</v>
      </c>
      <c r="C65" s="239" t="s">
        <v>732</v>
      </c>
      <c r="D65" s="311" t="s">
        <v>2927</v>
      </c>
      <c r="E65" s="143"/>
      <c r="F65" s="90">
        <v>1.0209999999999999</v>
      </c>
      <c r="G65" s="318">
        <v>1.0269999999999999</v>
      </c>
      <c r="H65" s="143"/>
      <c r="I65" s="300"/>
      <c r="J65" s="300"/>
      <c r="K65" s="300"/>
      <c r="L65" s="300"/>
      <c r="M65" s="300"/>
      <c r="N65" s="318"/>
      <c r="O65" s="95"/>
      <c r="P65" s="143"/>
      <c r="Q65" s="318"/>
      <c r="R65" s="96">
        <f t="shared" si="1"/>
        <v>1.0485669999999998</v>
      </c>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row>
    <row r="66" spans="1:247" x14ac:dyDescent="0.25">
      <c r="A66" s="310">
        <v>1798</v>
      </c>
      <c r="B66" s="299" t="s">
        <v>2991</v>
      </c>
      <c r="C66" s="239" t="s">
        <v>76</v>
      </c>
      <c r="D66" s="311" t="s">
        <v>2927</v>
      </c>
      <c r="E66" s="143"/>
      <c r="F66" s="90">
        <v>1.0209999999999999</v>
      </c>
      <c r="G66" s="318">
        <v>1.0269999999999999</v>
      </c>
      <c r="H66" s="143"/>
      <c r="I66" s="300"/>
      <c r="J66" s="300"/>
      <c r="K66" s="300"/>
      <c r="L66" s="300"/>
      <c r="M66" s="300"/>
      <c r="N66" s="318"/>
      <c r="O66" s="95"/>
      <c r="P66" s="143"/>
      <c r="Q66" s="318"/>
      <c r="R66" s="96">
        <f t="shared" si="1"/>
        <v>1.0485669999999998</v>
      </c>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row>
    <row r="67" spans="1:247" x14ac:dyDescent="0.25">
      <c r="A67" s="310">
        <v>1799</v>
      </c>
      <c r="B67" s="299" t="s">
        <v>2992</v>
      </c>
      <c r="C67" s="239" t="s">
        <v>76</v>
      </c>
      <c r="D67" s="311" t="s">
        <v>2927</v>
      </c>
      <c r="E67" s="143"/>
      <c r="F67" s="90">
        <v>1.0209999999999999</v>
      </c>
      <c r="G67" s="318">
        <v>1.0269999999999999</v>
      </c>
      <c r="H67" s="143"/>
      <c r="I67" s="300"/>
      <c r="J67" s="300"/>
      <c r="K67" s="300"/>
      <c r="L67" s="300"/>
      <c r="M67" s="300"/>
      <c r="N67" s="318"/>
      <c r="O67" s="95"/>
      <c r="P67" s="143"/>
      <c r="Q67" s="318"/>
      <c r="R67" s="96">
        <f t="shared" si="1"/>
        <v>1.0485669999999998</v>
      </c>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row>
    <row r="68" spans="1:247" x14ac:dyDescent="0.25">
      <c r="A68" s="310">
        <v>2112</v>
      </c>
      <c r="B68" s="299" t="s">
        <v>2993</v>
      </c>
      <c r="C68" s="239" t="s">
        <v>205</v>
      </c>
      <c r="D68" s="311" t="s">
        <v>2935</v>
      </c>
      <c r="E68" s="143"/>
      <c r="F68" s="90">
        <f t="shared" si="0"/>
        <v>1.0209999999999999</v>
      </c>
      <c r="G68" s="318">
        <f t="shared" ref="G68:G92" si="7">+$G$3</f>
        <v>1.0269999999999999</v>
      </c>
      <c r="H68" s="143">
        <f>+$H$3</f>
        <v>1.0029999999999999</v>
      </c>
      <c r="I68" s="300">
        <f>+$I$3</f>
        <v>1.0289999999999999</v>
      </c>
      <c r="J68" s="300">
        <f>+$J$3</f>
        <v>1.0049999999999999</v>
      </c>
      <c r="K68" s="300"/>
      <c r="L68" s="300"/>
      <c r="M68" s="300">
        <f>+$M$3</f>
        <v>1.0029999999999999</v>
      </c>
      <c r="N68" s="318">
        <f t="shared" ref="N68:N88" si="8">+$N$3</f>
        <v>1.0029999999999999</v>
      </c>
      <c r="O68" s="95">
        <f>+$O$3</f>
        <v>1.0209999999999999</v>
      </c>
      <c r="P68" s="143">
        <f t="shared" ref="P68:P82" si="9">+$P$3</f>
        <v>1.032</v>
      </c>
      <c r="Q68" s="318">
        <f t="shared" ref="Q68:Q82" si="10">+$Q$3</f>
        <v>1.0349999999999999</v>
      </c>
      <c r="R68" s="96">
        <f t="shared" si="1"/>
        <v>1.1932356231980656</v>
      </c>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row>
    <row r="69" spans="1:247" x14ac:dyDescent="0.25">
      <c r="A69" s="310">
        <v>2121</v>
      </c>
      <c r="B69" s="299" t="s">
        <v>2994</v>
      </c>
      <c r="C69" s="239" t="s">
        <v>205</v>
      </c>
      <c r="D69" s="311" t="s">
        <v>2935</v>
      </c>
      <c r="E69" s="143"/>
      <c r="F69" s="90">
        <f t="shared" si="0"/>
        <v>1.0209999999999999</v>
      </c>
      <c r="G69" s="318">
        <f t="shared" si="7"/>
        <v>1.0269999999999999</v>
      </c>
      <c r="H69" s="143">
        <f>+$H$3</f>
        <v>1.0029999999999999</v>
      </c>
      <c r="I69" s="300">
        <f>+$I$3</f>
        <v>1.0289999999999999</v>
      </c>
      <c r="J69" s="300">
        <f>+$J$3</f>
        <v>1.0049999999999999</v>
      </c>
      <c r="K69" s="300"/>
      <c r="L69" s="300"/>
      <c r="M69" s="300">
        <f>+$M$3</f>
        <v>1.0029999999999999</v>
      </c>
      <c r="N69" s="318">
        <f t="shared" si="8"/>
        <v>1.0029999999999999</v>
      </c>
      <c r="O69" s="95">
        <f>+$O$3</f>
        <v>1.0209999999999999</v>
      </c>
      <c r="P69" s="143">
        <f t="shared" si="9"/>
        <v>1.032</v>
      </c>
      <c r="Q69" s="318">
        <f t="shared" si="10"/>
        <v>1.0349999999999999</v>
      </c>
      <c r="R69" s="96">
        <f t="shared" si="1"/>
        <v>1.1932356231980656</v>
      </c>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row>
    <row r="70" spans="1:247" x14ac:dyDescent="0.25">
      <c r="A70" s="310">
        <v>2123</v>
      </c>
      <c r="B70" s="299" t="s">
        <v>2995</v>
      </c>
      <c r="C70" s="239" t="s">
        <v>205</v>
      </c>
      <c r="D70" s="311" t="s">
        <v>2935</v>
      </c>
      <c r="E70" s="143"/>
      <c r="F70" s="90">
        <f t="shared" si="0"/>
        <v>1.0209999999999999</v>
      </c>
      <c r="G70" s="318">
        <f t="shared" si="7"/>
        <v>1.0269999999999999</v>
      </c>
      <c r="H70" s="143">
        <f>+$H$3</f>
        <v>1.0029999999999999</v>
      </c>
      <c r="I70" s="300">
        <f>+$I$3</f>
        <v>1.0289999999999999</v>
      </c>
      <c r="J70" s="300">
        <f>+$J$3</f>
        <v>1.0049999999999999</v>
      </c>
      <c r="K70" s="300"/>
      <c r="L70" s="300"/>
      <c r="M70" s="300">
        <f>+$M$3</f>
        <v>1.0029999999999999</v>
      </c>
      <c r="N70" s="318">
        <f t="shared" si="8"/>
        <v>1.0029999999999999</v>
      </c>
      <c r="O70" s="95">
        <f>+$O$3</f>
        <v>1.0209999999999999</v>
      </c>
      <c r="P70" s="143">
        <f t="shared" si="9"/>
        <v>1.032</v>
      </c>
      <c r="Q70" s="318">
        <f t="shared" si="10"/>
        <v>1.0349999999999999</v>
      </c>
      <c r="R70" s="96">
        <f>PRODUCT(E70:Q70)</f>
        <v>1.1932356231980656</v>
      </c>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row>
    <row r="71" spans="1:247" x14ac:dyDescent="0.25">
      <c r="A71" s="310">
        <v>2124</v>
      </c>
      <c r="B71" s="299" t="s">
        <v>2996</v>
      </c>
      <c r="C71" s="239" t="s">
        <v>76</v>
      </c>
      <c r="D71" s="311" t="s">
        <v>2927</v>
      </c>
      <c r="E71" s="143"/>
      <c r="F71" s="90">
        <f t="shared" si="0"/>
        <v>1.0209999999999999</v>
      </c>
      <c r="G71" s="318">
        <f t="shared" si="7"/>
        <v>1.0269999999999999</v>
      </c>
      <c r="H71" s="143"/>
      <c r="I71" s="300"/>
      <c r="J71" s="300"/>
      <c r="K71" s="300"/>
      <c r="L71" s="300"/>
      <c r="M71" s="300"/>
      <c r="N71" s="318">
        <f t="shared" si="8"/>
        <v>1.0029999999999999</v>
      </c>
      <c r="O71" s="95"/>
      <c r="P71" s="143">
        <f t="shared" si="9"/>
        <v>1.032</v>
      </c>
      <c r="Q71" s="318">
        <f t="shared" si="10"/>
        <v>1.0349999999999999</v>
      </c>
      <c r="R71" s="96">
        <f t="shared" si="1"/>
        <v>1.1233553701921195</v>
      </c>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row>
    <row r="72" spans="1:247" x14ac:dyDescent="0.25">
      <c r="A72" s="310">
        <v>2125</v>
      </c>
      <c r="B72" s="299" t="s">
        <v>2997</v>
      </c>
      <c r="C72" s="239" t="s">
        <v>205</v>
      </c>
      <c r="D72" s="311" t="s">
        <v>2935</v>
      </c>
      <c r="E72" s="143"/>
      <c r="F72" s="90">
        <f t="shared" si="0"/>
        <v>1.0209999999999999</v>
      </c>
      <c r="G72" s="318">
        <f t="shared" si="7"/>
        <v>1.0269999999999999</v>
      </c>
      <c r="H72" s="143">
        <f>+$H$3</f>
        <v>1.0029999999999999</v>
      </c>
      <c r="I72" s="300">
        <f>+$I$3</f>
        <v>1.0289999999999999</v>
      </c>
      <c r="J72" s="300">
        <f t="shared" ref="J72:J82" si="11">+$J$3</f>
        <v>1.0049999999999999</v>
      </c>
      <c r="K72" s="300"/>
      <c r="L72" s="300"/>
      <c r="M72" s="300">
        <f>+$M$3</f>
        <v>1.0029999999999999</v>
      </c>
      <c r="N72" s="318">
        <f t="shared" si="8"/>
        <v>1.0029999999999999</v>
      </c>
      <c r="O72" s="95">
        <f>+$O$3</f>
        <v>1.0209999999999999</v>
      </c>
      <c r="P72" s="143">
        <f t="shared" si="9"/>
        <v>1.032</v>
      </c>
      <c r="Q72" s="318">
        <f t="shared" si="10"/>
        <v>1.0349999999999999</v>
      </c>
      <c r="R72" s="96">
        <f t="shared" si="1"/>
        <v>1.1932356231980656</v>
      </c>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row>
    <row r="73" spans="1:247" x14ac:dyDescent="0.25">
      <c r="A73" s="310">
        <v>2126</v>
      </c>
      <c r="B73" s="299" t="s">
        <v>2998</v>
      </c>
      <c r="C73" s="239" t="s">
        <v>205</v>
      </c>
      <c r="D73" s="311" t="s">
        <v>2935</v>
      </c>
      <c r="E73" s="143"/>
      <c r="F73" s="90">
        <f t="shared" si="0"/>
        <v>1.0209999999999999</v>
      </c>
      <c r="G73" s="318">
        <f t="shared" si="7"/>
        <v>1.0269999999999999</v>
      </c>
      <c r="H73" s="143">
        <f>+$H$3</f>
        <v>1.0029999999999999</v>
      </c>
      <c r="I73" s="300">
        <f>+$I$3</f>
        <v>1.0289999999999999</v>
      </c>
      <c r="J73" s="300">
        <f t="shared" si="11"/>
        <v>1.0049999999999999</v>
      </c>
      <c r="K73" s="300"/>
      <c r="L73" s="300"/>
      <c r="M73" s="300">
        <f>+$M$3</f>
        <v>1.0029999999999999</v>
      </c>
      <c r="N73" s="318">
        <f t="shared" si="8"/>
        <v>1.0029999999999999</v>
      </c>
      <c r="O73" s="95">
        <f>+$O$3</f>
        <v>1.0209999999999999</v>
      </c>
      <c r="P73" s="143">
        <f t="shared" si="9"/>
        <v>1.032</v>
      </c>
      <c r="Q73" s="318">
        <f t="shared" si="10"/>
        <v>1.0349999999999999</v>
      </c>
      <c r="R73" s="96">
        <f>PRODUCT(E73:Q73)</f>
        <v>1.1932356231980656</v>
      </c>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row>
    <row r="74" spans="1:247" x14ac:dyDescent="0.25">
      <c r="A74" s="310">
        <v>2131</v>
      </c>
      <c r="B74" s="299" t="s">
        <v>2999</v>
      </c>
      <c r="C74" s="239" t="s">
        <v>205</v>
      </c>
      <c r="D74" s="311" t="s">
        <v>2927</v>
      </c>
      <c r="E74" s="143"/>
      <c r="F74" s="90">
        <f t="shared" si="0"/>
        <v>1.0209999999999999</v>
      </c>
      <c r="G74" s="318">
        <f t="shared" si="7"/>
        <v>1.0269999999999999</v>
      </c>
      <c r="H74" s="143">
        <f>+$H$3</f>
        <v>1.0029999999999999</v>
      </c>
      <c r="I74" s="300"/>
      <c r="J74" s="300"/>
      <c r="K74" s="300"/>
      <c r="L74" s="300"/>
      <c r="M74" s="300"/>
      <c r="N74" s="318">
        <f t="shared" si="8"/>
        <v>1.0029999999999999</v>
      </c>
      <c r="O74" s="95">
        <f>+$O$3</f>
        <v>1.0209999999999999</v>
      </c>
      <c r="P74" s="143">
        <f t="shared" si="9"/>
        <v>1.032</v>
      </c>
      <c r="Q74" s="318">
        <f t="shared" si="10"/>
        <v>1.0349999999999999</v>
      </c>
      <c r="R74" s="96">
        <f>PRODUCT(E74:Q74)</f>
        <v>1.1503866704650523</v>
      </c>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row>
    <row r="75" spans="1:247" x14ac:dyDescent="0.25">
      <c r="A75" s="310">
        <v>2134</v>
      </c>
      <c r="B75" s="299" t="s">
        <v>3000</v>
      </c>
      <c r="C75" s="239" t="s">
        <v>205</v>
      </c>
      <c r="D75" s="311" t="s">
        <v>2935</v>
      </c>
      <c r="E75" s="143"/>
      <c r="F75" s="90">
        <f t="shared" si="0"/>
        <v>1.0209999999999999</v>
      </c>
      <c r="G75" s="318">
        <f t="shared" si="7"/>
        <v>1.0269999999999999</v>
      </c>
      <c r="H75" s="143"/>
      <c r="I75" s="300"/>
      <c r="J75" s="300">
        <f t="shared" si="11"/>
        <v>1.0049999999999999</v>
      </c>
      <c r="K75" s="300"/>
      <c r="L75" s="300"/>
      <c r="M75" s="300"/>
      <c r="N75" s="318">
        <f t="shared" si="8"/>
        <v>1.0029999999999999</v>
      </c>
      <c r="O75" s="95"/>
      <c r="P75" s="143">
        <f t="shared" si="9"/>
        <v>1.032</v>
      </c>
      <c r="Q75" s="318">
        <f t="shared" si="10"/>
        <v>1.0349999999999999</v>
      </c>
      <c r="R75" s="96">
        <f t="shared" si="1"/>
        <v>1.12897214704308</v>
      </c>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row>
    <row r="76" spans="1:247" x14ac:dyDescent="0.25">
      <c r="A76" s="310">
        <v>2152</v>
      </c>
      <c r="B76" s="299" t="s">
        <v>3001</v>
      </c>
      <c r="C76" s="239" t="s">
        <v>205</v>
      </c>
      <c r="D76" s="311" t="s">
        <v>2935</v>
      </c>
      <c r="E76" s="143"/>
      <c r="F76" s="90">
        <f t="shared" si="0"/>
        <v>1.0209999999999999</v>
      </c>
      <c r="G76" s="318">
        <f t="shared" si="7"/>
        <v>1.0269999999999999</v>
      </c>
      <c r="H76" s="143">
        <f>+$H$3</f>
        <v>1.0029999999999999</v>
      </c>
      <c r="I76" s="300">
        <f>+$I$3</f>
        <v>1.0289999999999999</v>
      </c>
      <c r="J76" s="300">
        <f t="shared" si="11"/>
        <v>1.0049999999999999</v>
      </c>
      <c r="K76" s="300"/>
      <c r="L76" s="300"/>
      <c r="M76" s="300">
        <f t="shared" ref="M76:M82" si="12">+$M$3</f>
        <v>1.0029999999999999</v>
      </c>
      <c r="N76" s="318">
        <f t="shared" si="8"/>
        <v>1.0029999999999999</v>
      </c>
      <c r="O76" s="95">
        <f t="shared" ref="O76:O82" si="13">+$O$3</f>
        <v>1.0209999999999999</v>
      </c>
      <c r="P76" s="143">
        <v>1.032</v>
      </c>
      <c r="Q76" s="318">
        <f t="shared" si="10"/>
        <v>1.0349999999999999</v>
      </c>
      <c r="R76" s="96">
        <f t="shared" si="1"/>
        <v>1.1932356231980656</v>
      </c>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row>
    <row r="77" spans="1:247" x14ac:dyDescent="0.25">
      <c r="A77" s="310">
        <v>2154</v>
      </c>
      <c r="B77" s="299" t="s">
        <v>3002</v>
      </c>
      <c r="C77" s="239" t="s">
        <v>205</v>
      </c>
      <c r="D77" s="311" t="s">
        <v>2927</v>
      </c>
      <c r="E77" s="143"/>
      <c r="F77" s="90">
        <f t="shared" si="0"/>
        <v>1.0209999999999999</v>
      </c>
      <c r="G77" s="318">
        <f t="shared" si="7"/>
        <v>1.0269999999999999</v>
      </c>
      <c r="H77" s="143"/>
      <c r="I77" s="300"/>
      <c r="J77" s="300">
        <f t="shared" si="11"/>
        <v>1.0049999999999999</v>
      </c>
      <c r="K77" s="300"/>
      <c r="L77" s="300"/>
      <c r="M77" s="300">
        <f t="shared" si="12"/>
        <v>1.0029999999999999</v>
      </c>
      <c r="N77" s="318">
        <f t="shared" si="8"/>
        <v>1.0029999999999999</v>
      </c>
      <c r="O77" s="95">
        <f t="shared" si="13"/>
        <v>1.0209999999999999</v>
      </c>
      <c r="P77" s="199">
        <v>1.032</v>
      </c>
      <c r="Q77" s="318">
        <f t="shared" si="10"/>
        <v>1.0349999999999999</v>
      </c>
      <c r="R77" s="96">
        <f t="shared" si="1"/>
        <v>1.1561386038173773</v>
      </c>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row>
    <row r="78" spans="1:247" x14ac:dyDescent="0.25">
      <c r="A78" s="310">
        <v>2161</v>
      </c>
      <c r="B78" s="299" t="s">
        <v>3003</v>
      </c>
      <c r="C78" s="239" t="s">
        <v>205</v>
      </c>
      <c r="D78" s="311" t="s">
        <v>2927</v>
      </c>
      <c r="E78" s="143"/>
      <c r="F78" s="90">
        <f t="shared" si="0"/>
        <v>1.0209999999999999</v>
      </c>
      <c r="G78" s="318">
        <f t="shared" si="7"/>
        <v>1.0269999999999999</v>
      </c>
      <c r="H78" s="143"/>
      <c r="I78" s="300"/>
      <c r="J78" s="300">
        <f t="shared" si="11"/>
        <v>1.0049999999999999</v>
      </c>
      <c r="K78" s="300"/>
      <c r="L78" s="300"/>
      <c r="M78" s="300">
        <f t="shared" si="12"/>
        <v>1.0029999999999999</v>
      </c>
      <c r="N78" s="318">
        <f t="shared" si="8"/>
        <v>1.0029999999999999</v>
      </c>
      <c r="O78" s="95">
        <f t="shared" si="13"/>
        <v>1.0209999999999999</v>
      </c>
      <c r="P78" s="143">
        <f t="shared" si="9"/>
        <v>1.032</v>
      </c>
      <c r="Q78" s="318">
        <f t="shared" si="10"/>
        <v>1.0349999999999999</v>
      </c>
      <c r="R78" s="96">
        <f>PRODUCT(E78:Q78)</f>
        <v>1.1561386038173773</v>
      </c>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row>
    <row r="79" spans="1:247" x14ac:dyDescent="0.25">
      <c r="A79" s="310">
        <v>2162</v>
      </c>
      <c r="B79" s="299" t="s">
        <v>3004</v>
      </c>
      <c r="C79" s="239" t="s">
        <v>205</v>
      </c>
      <c r="D79" s="311" t="s">
        <v>2927</v>
      </c>
      <c r="E79" s="143"/>
      <c r="F79" s="90">
        <f t="shared" si="0"/>
        <v>1.0209999999999999</v>
      </c>
      <c r="G79" s="318">
        <f t="shared" si="7"/>
        <v>1.0269999999999999</v>
      </c>
      <c r="H79" s="143"/>
      <c r="I79" s="300"/>
      <c r="J79" s="300">
        <f t="shared" si="11"/>
        <v>1.0049999999999999</v>
      </c>
      <c r="K79" s="300"/>
      <c r="L79" s="300"/>
      <c r="M79" s="300">
        <f t="shared" si="12"/>
        <v>1.0029999999999999</v>
      </c>
      <c r="N79" s="318">
        <f t="shared" si="8"/>
        <v>1.0029999999999999</v>
      </c>
      <c r="O79" s="95">
        <f t="shared" si="13"/>
        <v>1.0209999999999999</v>
      </c>
      <c r="P79" s="143">
        <f t="shared" si="9"/>
        <v>1.032</v>
      </c>
      <c r="Q79" s="318">
        <f t="shared" si="10"/>
        <v>1.0349999999999999</v>
      </c>
      <c r="R79" s="96">
        <f>PRODUCT(E79:Q79)</f>
        <v>1.1561386038173773</v>
      </c>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row>
    <row r="80" spans="1:247" x14ac:dyDescent="0.25">
      <c r="A80" s="310">
        <v>2163</v>
      </c>
      <c r="B80" s="299" t="s">
        <v>3005</v>
      </c>
      <c r="C80" s="239" t="s">
        <v>205</v>
      </c>
      <c r="D80" s="311" t="s">
        <v>2927</v>
      </c>
      <c r="E80" s="143"/>
      <c r="F80" s="90">
        <f t="shared" si="0"/>
        <v>1.0209999999999999</v>
      </c>
      <c r="G80" s="318">
        <f t="shared" si="7"/>
        <v>1.0269999999999999</v>
      </c>
      <c r="H80" s="143"/>
      <c r="I80" s="300"/>
      <c r="J80" s="300">
        <f t="shared" si="11"/>
        <v>1.0049999999999999</v>
      </c>
      <c r="K80" s="300"/>
      <c r="L80" s="300"/>
      <c r="M80" s="300">
        <f t="shared" si="12"/>
        <v>1.0029999999999999</v>
      </c>
      <c r="N80" s="318">
        <f t="shared" si="8"/>
        <v>1.0029999999999999</v>
      </c>
      <c r="O80" s="95">
        <f t="shared" si="13"/>
        <v>1.0209999999999999</v>
      </c>
      <c r="P80" s="143">
        <f t="shared" si="9"/>
        <v>1.032</v>
      </c>
      <c r="Q80" s="318">
        <f t="shared" si="10"/>
        <v>1.0349999999999999</v>
      </c>
      <c r="R80" s="96">
        <f>PRODUCT(E80:Q80)</f>
        <v>1.1561386038173773</v>
      </c>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row>
    <row r="81" spans="1:247" x14ac:dyDescent="0.25">
      <c r="A81" s="310">
        <v>2173</v>
      </c>
      <c r="B81" s="299" t="s">
        <v>3006</v>
      </c>
      <c r="C81" s="239" t="s">
        <v>76</v>
      </c>
      <c r="D81" s="311" t="s">
        <v>2927</v>
      </c>
      <c r="E81" s="143"/>
      <c r="F81" s="90">
        <f t="shared" si="0"/>
        <v>1.0209999999999999</v>
      </c>
      <c r="G81" s="318">
        <f t="shared" si="7"/>
        <v>1.0269999999999999</v>
      </c>
      <c r="H81" s="143"/>
      <c r="I81" s="300"/>
      <c r="J81" s="300"/>
      <c r="K81" s="300"/>
      <c r="L81" s="300"/>
      <c r="M81" s="300"/>
      <c r="N81" s="318"/>
      <c r="O81" s="95"/>
      <c r="P81" s="143"/>
      <c r="Q81" s="318"/>
      <c r="R81" s="96">
        <f>PRODUCT(E81:Q81)</f>
        <v>1.0485669999999998</v>
      </c>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row>
    <row r="82" spans="1:247" x14ac:dyDescent="0.25">
      <c r="A82" s="310">
        <v>2191</v>
      </c>
      <c r="B82" s="299" t="s">
        <v>3007</v>
      </c>
      <c r="C82" s="239" t="s">
        <v>205</v>
      </c>
      <c r="D82" s="311" t="s">
        <v>2935</v>
      </c>
      <c r="E82" s="143">
        <f>+$E$3</f>
        <v>1.0740000000000001</v>
      </c>
      <c r="F82" s="90">
        <f t="shared" si="0"/>
        <v>1.0209999999999999</v>
      </c>
      <c r="G82" s="318">
        <f t="shared" si="7"/>
        <v>1.0269999999999999</v>
      </c>
      <c r="H82" s="143"/>
      <c r="I82" s="300"/>
      <c r="J82" s="300">
        <f t="shared" si="11"/>
        <v>1.0049999999999999</v>
      </c>
      <c r="K82" s="300"/>
      <c r="L82" s="300"/>
      <c r="M82" s="300">
        <f t="shared" si="12"/>
        <v>1.0029999999999999</v>
      </c>
      <c r="N82" s="318">
        <f t="shared" si="8"/>
        <v>1.0029999999999999</v>
      </c>
      <c r="O82" s="95">
        <f t="shared" si="13"/>
        <v>1.0209999999999999</v>
      </c>
      <c r="P82" s="143">
        <f t="shared" si="9"/>
        <v>1.032</v>
      </c>
      <c r="Q82" s="318">
        <f t="shared" si="10"/>
        <v>1.0349999999999999</v>
      </c>
      <c r="R82" s="96">
        <f t="shared" si="1"/>
        <v>1.2416928604998634</v>
      </c>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row>
    <row r="83" spans="1:247" x14ac:dyDescent="0.25">
      <c r="A83" s="310">
        <v>2192</v>
      </c>
      <c r="B83" s="299" t="s">
        <v>3008</v>
      </c>
      <c r="C83" s="239" t="s">
        <v>76</v>
      </c>
      <c r="D83" s="311" t="s">
        <v>2927</v>
      </c>
      <c r="E83" s="143"/>
      <c r="F83" s="90">
        <f t="shared" si="0"/>
        <v>1.0209999999999999</v>
      </c>
      <c r="G83" s="318">
        <f t="shared" si="7"/>
        <v>1.0269999999999999</v>
      </c>
      <c r="H83" s="143"/>
      <c r="I83" s="300"/>
      <c r="J83" s="300"/>
      <c r="K83" s="300"/>
      <c r="L83" s="300"/>
      <c r="M83" s="300"/>
      <c r="N83" s="318">
        <f t="shared" si="8"/>
        <v>1.0029999999999999</v>
      </c>
      <c r="O83" s="95"/>
      <c r="P83" s="143"/>
      <c r="Q83" s="318"/>
      <c r="R83" s="96">
        <f t="shared" si="1"/>
        <v>1.0517127009999996</v>
      </c>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row>
    <row r="84" spans="1:247" x14ac:dyDescent="0.25">
      <c r="A84" s="310">
        <v>2211</v>
      </c>
      <c r="B84" s="299" t="s">
        <v>3009</v>
      </c>
      <c r="C84" s="239" t="s">
        <v>205</v>
      </c>
      <c r="D84" s="311" t="s">
        <v>2935</v>
      </c>
      <c r="E84" s="143"/>
      <c r="F84" s="90">
        <f t="shared" si="0"/>
        <v>1.0209999999999999</v>
      </c>
      <c r="G84" s="318">
        <f t="shared" si="7"/>
        <v>1.0269999999999999</v>
      </c>
      <c r="H84" s="143">
        <f>+$H$3</f>
        <v>1.0029999999999999</v>
      </c>
      <c r="I84" s="300">
        <f>+$I$3</f>
        <v>1.0289999999999999</v>
      </c>
      <c r="J84" s="300">
        <f>+$J$3</f>
        <v>1.0049999999999999</v>
      </c>
      <c r="K84" s="300"/>
      <c r="L84" s="300"/>
      <c r="M84" s="300">
        <f>+$M$3</f>
        <v>1.0029999999999999</v>
      </c>
      <c r="N84" s="318">
        <f t="shared" si="8"/>
        <v>1.0029999999999999</v>
      </c>
      <c r="O84" s="95">
        <f>+$O$3</f>
        <v>1.0209999999999999</v>
      </c>
      <c r="P84" s="143">
        <f t="shared" ref="P84:P107" si="14">+$P$3</f>
        <v>1.032</v>
      </c>
      <c r="Q84" s="318">
        <f t="shared" ref="Q84:Q107" si="15">+$Q$3</f>
        <v>1.0349999999999999</v>
      </c>
      <c r="R84" s="96">
        <f t="shared" si="1"/>
        <v>1.1932356231980656</v>
      </c>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row>
    <row r="85" spans="1:247" x14ac:dyDescent="0.25">
      <c r="A85" s="310">
        <v>2213</v>
      </c>
      <c r="B85" s="299" t="s">
        <v>3010</v>
      </c>
      <c r="C85" s="239" t="s">
        <v>205</v>
      </c>
      <c r="D85" s="311" t="s">
        <v>2927</v>
      </c>
      <c r="E85" s="143"/>
      <c r="F85" s="90">
        <f t="shared" si="0"/>
        <v>1.0209999999999999</v>
      </c>
      <c r="G85" s="318">
        <f t="shared" si="7"/>
        <v>1.0269999999999999</v>
      </c>
      <c r="H85" s="143">
        <f>+$H$3</f>
        <v>1.0029999999999999</v>
      </c>
      <c r="I85" s="300">
        <f>+$I$3</f>
        <v>1.0289999999999999</v>
      </c>
      <c r="J85" s="300"/>
      <c r="K85" s="300"/>
      <c r="L85" s="300"/>
      <c r="M85" s="300"/>
      <c r="N85" s="318">
        <f t="shared" si="8"/>
        <v>1.0029999999999999</v>
      </c>
      <c r="O85" s="95">
        <f>+$O$3</f>
        <v>1.0209999999999999</v>
      </c>
      <c r="P85" s="143">
        <f t="shared" si="14"/>
        <v>1.032</v>
      </c>
      <c r="Q85" s="318">
        <f t="shared" si="15"/>
        <v>1.0349999999999999</v>
      </c>
      <c r="R85" s="96">
        <f t="shared" si="1"/>
        <v>1.1837478839085387</v>
      </c>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row>
    <row r="86" spans="1:247" x14ac:dyDescent="0.25">
      <c r="A86" s="310">
        <v>2221</v>
      </c>
      <c r="B86" s="299" t="s">
        <v>3011</v>
      </c>
      <c r="C86" s="239" t="s">
        <v>205</v>
      </c>
      <c r="D86" s="311" t="s">
        <v>2935</v>
      </c>
      <c r="E86" s="143"/>
      <c r="F86" s="90">
        <f t="shared" si="0"/>
        <v>1.0209999999999999</v>
      </c>
      <c r="G86" s="318">
        <f t="shared" si="7"/>
        <v>1.0269999999999999</v>
      </c>
      <c r="H86" s="143">
        <f>+$H$3</f>
        <v>1.0029999999999999</v>
      </c>
      <c r="I86" s="300">
        <f>+$I$3</f>
        <v>1.0289999999999999</v>
      </c>
      <c r="J86" s="300">
        <f>+$J$3</f>
        <v>1.0049999999999999</v>
      </c>
      <c r="K86" s="300"/>
      <c r="L86" s="300"/>
      <c r="M86" s="300">
        <f>+$M$3</f>
        <v>1.0029999999999999</v>
      </c>
      <c r="N86" s="318">
        <f t="shared" si="8"/>
        <v>1.0029999999999999</v>
      </c>
      <c r="O86" s="95">
        <f>+$O$3</f>
        <v>1.0209999999999999</v>
      </c>
      <c r="P86" s="143">
        <f t="shared" si="14"/>
        <v>1.032</v>
      </c>
      <c r="Q86" s="318">
        <f t="shared" si="15"/>
        <v>1.0349999999999999</v>
      </c>
      <c r="R86" s="96">
        <f t="shared" si="1"/>
        <v>1.1932356231980656</v>
      </c>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row>
    <row r="87" spans="1:247" x14ac:dyDescent="0.25">
      <c r="A87" s="310">
        <v>2231</v>
      </c>
      <c r="B87" s="299" t="s">
        <v>3012</v>
      </c>
      <c r="C87" s="239" t="s">
        <v>205</v>
      </c>
      <c r="D87" s="311" t="s">
        <v>2935</v>
      </c>
      <c r="E87" s="143"/>
      <c r="F87" s="90">
        <f t="shared" si="0"/>
        <v>1.0209999999999999</v>
      </c>
      <c r="G87" s="318">
        <f t="shared" si="7"/>
        <v>1.0269999999999999</v>
      </c>
      <c r="H87" s="143">
        <f>+$H$3</f>
        <v>1.0029999999999999</v>
      </c>
      <c r="I87" s="300">
        <f>+$I$3</f>
        <v>1.0289999999999999</v>
      </c>
      <c r="J87" s="300">
        <f>+$J$3</f>
        <v>1.0049999999999999</v>
      </c>
      <c r="K87" s="300"/>
      <c r="L87" s="300"/>
      <c r="M87" s="300">
        <f>+$M$3</f>
        <v>1.0029999999999999</v>
      </c>
      <c r="N87" s="318">
        <f t="shared" si="8"/>
        <v>1.0029999999999999</v>
      </c>
      <c r="O87" s="95">
        <f>+$O$3</f>
        <v>1.0209999999999999</v>
      </c>
      <c r="P87" s="143">
        <f t="shared" si="14"/>
        <v>1.032</v>
      </c>
      <c r="Q87" s="318">
        <f t="shared" si="15"/>
        <v>1.0349999999999999</v>
      </c>
      <c r="R87" s="96">
        <f t="shared" si="1"/>
        <v>1.1932356231980656</v>
      </c>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row>
    <row r="88" spans="1:247" x14ac:dyDescent="0.25">
      <c r="A88" s="310">
        <v>2241</v>
      </c>
      <c r="B88" s="299" t="s">
        <v>3013</v>
      </c>
      <c r="C88" s="239" t="s">
        <v>205</v>
      </c>
      <c r="D88" s="311" t="s">
        <v>2935</v>
      </c>
      <c r="E88" s="143"/>
      <c r="F88" s="90">
        <f t="shared" si="0"/>
        <v>1.0209999999999999</v>
      </c>
      <c r="G88" s="318">
        <f t="shared" si="7"/>
        <v>1.0269999999999999</v>
      </c>
      <c r="H88" s="143">
        <f>+$H$3</f>
        <v>1.0029999999999999</v>
      </c>
      <c r="I88" s="300">
        <f>+$I$3</f>
        <v>1.0289999999999999</v>
      </c>
      <c r="J88" s="300">
        <f>+$J$3</f>
        <v>1.0049999999999999</v>
      </c>
      <c r="K88" s="300"/>
      <c r="L88" s="300"/>
      <c r="M88" s="300">
        <f>+$M$3</f>
        <v>1.0029999999999999</v>
      </c>
      <c r="N88" s="318">
        <f t="shared" si="8"/>
        <v>1.0029999999999999</v>
      </c>
      <c r="O88" s="95">
        <f>+$O$3</f>
        <v>1.0209999999999999</v>
      </c>
      <c r="P88" s="143">
        <f t="shared" si="14"/>
        <v>1.032</v>
      </c>
      <c r="Q88" s="318">
        <f t="shared" si="15"/>
        <v>1.0349999999999999</v>
      </c>
      <c r="R88" s="96">
        <f t="shared" si="1"/>
        <v>1.1932356231980656</v>
      </c>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row>
    <row r="89" spans="1:247" x14ac:dyDescent="0.25">
      <c r="A89" s="310">
        <v>2242</v>
      </c>
      <c r="B89" s="299" t="s">
        <v>3014</v>
      </c>
      <c r="C89" s="239" t="s">
        <v>205</v>
      </c>
      <c r="D89" s="311" t="s">
        <v>2927</v>
      </c>
      <c r="E89" s="143"/>
      <c r="F89" s="90">
        <f t="shared" si="0"/>
        <v>1.0209999999999999</v>
      </c>
      <c r="G89" s="318">
        <f t="shared" si="7"/>
        <v>1.0269999999999999</v>
      </c>
      <c r="H89" s="143"/>
      <c r="I89" s="300"/>
      <c r="J89" s="300"/>
      <c r="K89" s="300"/>
      <c r="L89" s="300"/>
      <c r="M89" s="300"/>
      <c r="N89" s="318"/>
      <c r="O89" s="95"/>
      <c r="P89" s="143">
        <f t="shared" si="14"/>
        <v>1.032</v>
      </c>
      <c r="Q89" s="318">
        <f t="shared" si="15"/>
        <v>1.0349999999999999</v>
      </c>
      <c r="R89" s="96">
        <f t="shared" si="1"/>
        <v>1.1199953840399997</v>
      </c>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row>
    <row r="90" spans="1:247" x14ac:dyDescent="0.25">
      <c r="A90" s="310">
        <v>2251</v>
      </c>
      <c r="B90" s="299" t="s">
        <v>3015</v>
      </c>
      <c r="C90" s="239" t="s">
        <v>205</v>
      </c>
      <c r="D90" s="311" t="s">
        <v>2935</v>
      </c>
      <c r="E90" s="143"/>
      <c r="F90" s="90">
        <f t="shared" si="0"/>
        <v>1.0209999999999999</v>
      </c>
      <c r="G90" s="318">
        <f t="shared" si="7"/>
        <v>1.0269999999999999</v>
      </c>
      <c r="H90" s="143">
        <f>+$H$3</f>
        <v>1.0029999999999999</v>
      </c>
      <c r="I90" s="300">
        <f>+$I$3</f>
        <v>1.0289999999999999</v>
      </c>
      <c r="J90" s="300">
        <f>+$J$3</f>
        <v>1.0049999999999999</v>
      </c>
      <c r="K90" s="300"/>
      <c r="L90" s="300"/>
      <c r="M90" s="300">
        <f>+$M$3</f>
        <v>1.0029999999999999</v>
      </c>
      <c r="N90" s="318">
        <f>+$N$3</f>
        <v>1.0029999999999999</v>
      </c>
      <c r="O90" s="95">
        <f>+$O$3</f>
        <v>1.0209999999999999</v>
      </c>
      <c r="P90" s="143">
        <f t="shared" si="14"/>
        <v>1.032</v>
      </c>
      <c r="Q90" s="318">
        <f t="shared" si="15"/>
        <v>1.0349999999999999</v>
      </c>
      <c r="R90" s="96">
        <f t="shared" si="1"/>
        <v>1.1932356231980656</v>
      </c>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row>
    <row r="91" spans="1:247" x14ac:dyDescent="0.25">
      <c r="A91" s="310">
        <v>2252</v>
      </c>
      <c r="B91" s="299" t="s">
        <v>3016</v>
      </c>
      <c r="C91" s="239" t="s">
        <v>205</v>
      </c>
      <c r="D91" s="311" t="s">
        <v>2927</v>
      </c>
      <c r="E91" s="143"/>
      <c r="F91" s="90">
        <v>1.0209999999999999</v>
      </c>
      <c r="G91" s="318">
        <v>1.0269999999999999</v>
      </c>
      <c r="H91" s="143">
        <v>1.0029999999999999</v>
      </c>
      <c r="I91" s="300">
        <v>1.0289999999999999</v>
      </c>
      <c r="J91" s="300">
        <v>1.0049999999999999</v>
      </c>
      <c r="K91" s="300"/>
      <c r="L91" s="300"/>
      <c r="M91" s="300">
        <v>1.0029999999999999</v>
      </c>
      <c r="N91" s="318">
        <v>1.0029999999999999</v>
      </c>
      <c r="O91" s="95">
        <v>1.0209999999999999</v>
      </c>
      <c r="P91" s="143">
        <v>1.032</v>
      </c>
      <c r="Q91" s="318">
        <v>1.0349999999999999</v>
      </c>
      <c r="R91" s="96">
        <v>1.1932356231980656</v>
      </c>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row>
    <row r="92" spans="1:247" x14ac:dyDescent="0.25">
      <c r="A92" s="310">
        <v>2261</v>
      </c>
      <c r="B92" s="299" t="s">
        <v>3017</v>
      </c>
      <c r="C92" s="239" t="s">
        <v>205</v>
      </c>
      <c r="D92" s="311" t="s">
        <v>2935</v>
      </c>
      <c r="E92" s="143"/>
      <c r="F92" s="90">
        <f t="shared" si="0"/>
        <v>1.0209999999999999</v>
      </c>
      <c r="G92" s="318">
        <f t="shared" si="7"/>
        <v>1.0269999999999999</v>
      </c>
      <c r="H92" s="143">
        <f>+$H$3</f>
        <v>1.0029999999999999</v>
      </c>
      <c r="I92" s="300">
        <f>+$I$3</f>
        <v>1.0289999999999999</v>
      </c>
      <c r="J92" s="300">
        <f>+$J$3</f>
        <v>1.0049999999999999</v>
      </c>
      <c r="K92" s="300"/>
      <c r="L92" s="300"/>
      <c r="M92" s="300">
        <f>+$M$3</f>
        <v>1.0029999999999999</v>
      </c>
      <c r="N92" s="318">
        <f>+$N$3</f>
        <v>1.0029999999999999</v>
      </c>
      <c r="O92" s="95">
        <f>+$O$3</f>
        <v>1.0209999999999999</v>
      </c>
      <c r="P92" s="143">
        <f t="shared" si="14"/>
        <v>1.032</v>
      </c>
      <c r="Q92" s="318">
        <f t="shared" si="15"/>
        <v>1.0349999999999999</v>
      </c>
      <c r="R92" s="96">
        <f t="shared" si="1"/>
        <v>1.1932356231980656</v>
      </c>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row>
    <row r="93" spans="1:247" x14ac:dyDescent="0.25">
      <c r="A93" s="310">
        <v>2262</v>
      </c>
      <c r="B93" s="299" t="s">
        <v>3018</v>
      </c>
      <c r="C93" s="239" t="s">
        <v>205</v>
      </c>
      <c r="D93" s="311" t="s">
        <v>2927</v>
      </c>
      <c r="E93" s="143"/>
      <c r="F93" s="90">
        <f t="shared" si="0"/>
        <v>1.0209999999999999</v>
      </c>
      <c r="G93" s="318"/>
      <c r="H93" s="143"/>
      <c r="I93" s="300"/>
      <c r="J93" s="300"/>
      <c r="K93" s="300"/>
      <c r="L93" s="300"/>
      <c r="M93" s="300"/>
      <c r="N93" s="318"/>
      <c r="O93" s="95"/>
      <c r="P93" s="143">
        <f t="shared" si="14"/>
        <v>1.032</v>
      </c>
      <c r="Q93" s="318">
        <f t="shared" si="15"/>
        <v>1.0349999999999999</v>
      </c>
      <c r="R93" s="96">
        <f t="shared" si="1"/>
        <v>1.0905505199999999</v>
      </c>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row>
    <row r="94" spans="1:247" x14ac:dyDescent="0.25">
      <c r="A94" s="310">
        <v>2271</v>
      </c>
      <c r="B94" s="299" t="s">
        <v>3019</v>
      </c>
      <c r="C94" s="239" t="s">
        <v>205</v>
      </c>
      <c r="D94" s="311" t="s">
        <v>2935</v>
      </c>
      <c r="E94" s="143"/>
      <c r="F94" s="90">
        <f t="shared" si="0"/>
        <v>1.0209999999999999</v>
      </c>
      <c r="G94" s="318">
        <f t="shared" ref="G94:G108" si="16">+$G$3</f>
        <v>1.0269999999999999</v>
      </c>
      <c r="H94" s="143">
        <f>+$H$3</f>
        <v>1.0029999999999999</v>
      </c>
      <c r="I94" s="300">
        <f>+$I$3</f>
        <v>1.0289999999999999</v>
      </c>
      <c r="J94" s="300">
        <f>+$J$3</f>
        <v>1.0049999999999999</v>
      </c>
      <c r="K94" s="300"/>
      <c r="L94" s="300"/>
      <c r="M94" s="300">
        <f>+$M$3</f>
        <v>1.0029999999999999</v>
      </c>
      <c r="N94" s="318">
        <f t="shared" ref="N94:N108" si="17">+$N$3</f>
        <v>1.0029999999999999</v>
      </c>
      <c r="O94" s="95">
        <f>+$O$3</f>
        <v>1.0209999999999999</v>
      </c>
      <c r="P94" s="143">
        <f t="shared" si="14"/>
        <v>1.032</v>
      </c>
      <c r="Q94" s="318">
        <f t="shared" si="15"/>
        <v>1.0349999999999999</v>
      </c>
      <c r="R94" s="96">
        <f t="shared" si="1"/>
        <v>1.1932356231980656</v>
      </c>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row>
    <row r="95" spans="1:247" x14ac:dyDescent="0.25">
      <c r="A95" s="310">
        <v>2281</v>
      </c>
      <c r="B95" s="299" t="s">
        <v>3020</v>
      </c>
      <c r="C95" s="239" t="s">
        <v>205</v>
      </c>
      <c r="D95" s="311" t="s">
        <v>2935</v>
      </c>
      <c r="E95" s="143"/>
      <c r="F95" s="90">
        <f t="shared" si="0"/>
        <v>1.0209999999999999</v>
      </c>
      <c r="G95" s="318">
        <f t="shared" si="16"/>
        <v>1.0269999999999999</v>
      </c>
      <c r="H95" s="143">
        <f>+$H$3</f>
        <v>1.0029999999999999</v>
      </c>
      <c r="I95" s="300">
        <f>+$I$3</f>
        <v>1.0289999999999999</v>
      </c>
      <c r="J95" s="300">
        <f>+$J$3</f>
        <v>1.0049999999999999</v>
      </c>
      <c r="K95" s="300"/>
      <c r="L95" s="300"/>
      <c r="M95" s="300">
        <f>+$M$3</f>
        <v>1.0029999999999999</v>
      </c>
      <c r="N95" s="318">
        <f t="shared" si="17"/>
        <v>1.0029999999999999</v>
      </c>
      <c r="O95" s="95">
        <f>+$O$3</f>
        <v>1.0209999999999999</v>
      </c>
      <c r="P95" s="143">
        <f t="shared" si="14"/>
        <v>1.032</v>
      </c>
      <c r="Q95" s="318">
        <f t="shared" si="15"/>
        <v>1.0349999999999999</v>
      </c>
      <c r="R95" s="96">
        <f>PRODUCT(E95:Q95)</f>
        <v>1.1932356231980656</v>
      </c>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row>
    <row r="96" spans="1:247" x14ac:dyDescent="0.25">
      <c r="A96" s="310">
        <v>2291</v>
      </c>
      <c r="B96" s="299" t="s">
        <v>3021</v>
      </c>
      <c r="C96" s="239" t="s">
        <v>76</v>
      </c>
      <c r="D96" s="311" t="s">
        <v>2927</v>
      </c>
      <c r="E96" s="143"/>
      <c r="F96" s="90">
        <f t="shared" si="0"/>
        <v>1.0209999999999999</v>
      </c>
      <c r="G96" s="318">
        <f t="shared" si="16"/>
        <v>1.0269999999999999</v>
      </c>
      <c r="H96" s="143"/>
      <c r="I96" s="300"/>
      <c r="J96" s="300"/>
      <c r="K96" s="300"/>
      <c r="L96" s="300"/>
      <c r="M96" s="300"/>
      <c r="N96" s="318">
        <f t="shared" si="17"/>
        <v>1.0029999999999999</v>
      </c>
      <c r="O96" s="95"/>
      <c r="P96" s="143">
        <f t="shared" si="14"/>
        <v>1.032</v>
      </c>
      <c r="Q96" s="318">
        <f t="shared" si="15"/>
        <v>1.0349999999999999</v>
      </c>
      <c r="R96" s="96">
        <f t="shared" si="1"/>
        <v>1.1233553701921195</v>
      </c>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row>
    <row r="97" spans="1:247" x14ac:dyDescent="0.25">
      <c r="A97" s="310">
        <v>3101</v>
      </c>
      <c r="B97" s="299" t="s">
        <v>3022</v>
      </c>
      <c r="C97" s="239" t="s">
        <v>205</v>
      </c>
      <c r="D97" s="311" t="s">
        <v>2935</v>
      </c>
      <c r="E97" s="143">
        <f t="shared" ref="E97:E108" si="18">+$E$3</f>
        <v>1.0740000000000001</v>
      </c>
      <c r="F97" s="90">
        <f t="shared" si="0"/>
        <v>1.0209999999999999</v>
      </c>
      <c r="G97" s="318">
        <f t="shared" si="16"/>
        <v>1.0269999999999999</v>
      </c>
      <c r="H97" s="143">
        <f t="shared" ref="H97:H108" si="19">+$H$3</f>
        <v>1.0029999999999999</v>
      </c>
      <c r="I97" s="300">
        <f t="shared" ref="I97:I108" si="20">+$I$3</f>
        <v>1.0289999999999999</v>
      </c>
      <c r="J97" s="300">
        <f t="shared" ref="J97:J108" si="21">+$J$3</f>
        <v>1.0049999999999999</v>
      </c>
      <c r="K97" s="300">
        <f t="shared" ref="K97:K108" si="22">+$K$3</f>
        <v>1.026</v>
      </c>
      <c r="L97" s="300">
        <f t="shared" ref="L97:L108" si="23">+$L$3</f>
        <v>1.0129999999999999</v>
      </c>
      <c r="M97" s="300">
        <f t="shared" ref="M97:M108" si="24">+$M$3</f>
        <v>1.0029999999999999</v>
      </c>
      <c r="N97" s="318">
        <f t="shared" si="17"/>
        <v>1.0029999999999999</v>
      </c>
      <c r="O97" s="95">
        <f t="shared" ref="O97:O108" si="25">+$O$3</f>
        <v>1.0209999999999999</v>
      </c>
      <c r="P97" s="143">
        <f t="shared" si="14"/>
        <v>1.032</v>
      </c>
      <c r="Q97" s="318">
        <f t="shared" si="15"/>
        <v>1.0349999999999999</v>
      </c>
      <c r="R97" s="96">
        <f t="shared" si="1"/>
        <v>1.3319480854780448</v>
      </c>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c r="GG97" s="83"/>
      <c r="GH97" s="83"/>
      <c r="GI97" s="83"/>
      <c r="GJ97" s="83"/>
      <c r="GK97" s="83"/>
      <c r="GL97" s="83"/>
      <c r="GM97" s="83"/>
      <c r="GN97" s="83"/>
      <c r="GO97" s="83"/>
      <c r="GP97" s="83"/>
      <c r="GQ97" s="83"/>
      <c r="GR97" s="83"/>
      <c r="GS97" s="83"/>
      <c r="GT97" s="83"/>
      <c r="GU97" s="83"/>
      <c r="GV97" s="83"/>
      <c r="GW97" s="83"/>
      <c r="GX97" s="83"/>
      <c r="GY97" s="83"/>
      <c r="GZ97" s="83"/>
      <c r="HA97" s="83"/>
      <c r="HB97" s="83"/>
      <c r="HC97" s="83"/>
      <c r="HD97" s="83"/>
      <c r="HE97" s="83"/>
      <c r="HF97" s="83"/>
      <c r="HG97" s="83"/>
      <c r="HH97" s="83"/>
      <c r="HI97" s="83"/>
      <c r="HJ97" s="83"/>
      <c r="HK97" s="83"/>
      <c r="HL97" s="83"/>
      <c r="HM97" s="83"/>
      <c r="HN97" s="83"/>
      <c r="HO97" s="83"/>
      <c r="HP97" s="83"/>
      <c r="HQ97" s="83"/>
      <c r="HR97" s="83"/>
      <c r="HS97" s="83"/>
      <c r="HT97" s="83"/>
      <c r="HU97" s="83"/>
      <c r="HV97" s="83"/>
      <c r="HW97" s="83"/>
      <c r="HX97" s="83"/>
      <c r="HY97" s="83"/>
      <c r="HZ97" s="83"/>
      <c r="IA97" s="83"/>
      <c r="IB97" s="83"/>
      <c r="IC97" s="83"/>
      <c r="ID97" s="83"/>
      <c r="IE97" s="83"/>
      <c r="IF97" s="83"/>
      <c r="IG97" s="83"/>
      <c r="IH97" s="83"/>
      <c r="II97" s="83"/>
      <c r="IJ97" s="83"/>
      <c r="IK97" s="83"/>
      <c r="IL97" s="83"/>
      <c r="IM97" s="83"/>
    </row>
    <row r="98" spans="1:247" x14ac:dyDescent="0.25">
      <c r="A98" s="310">
        <v>3102</v>
      </c>
      <c r="B98" s="299" t="s">
        <v>3023</v>
      </c>
      <c r="C98" s="239" t="s">
        <v>205</v>
      </c>
      <c r="D98" s="311" t="s">
        <v>2935</v>
      </c>
      <c r="E98" s="143">
        <f t="shared" si="18"/>
        <v>1.0740000000000001</v>
      </c>
      <c r="F98" s="90">
        <f t="shared" si="0"/>
        <v>1.0209999999999999</v>
      </c>
      <c r="G98" s="318">
        <f t="shared" si="16"/>
        <v>1.0269999999999999</v>
      </c>
      <c r="H98" s="143">
        <f t="shared" si="19"/>
        <v>1.0029999999999999</v>
      </c>
      <c r="I98" s="300">
        <f t="shared" si="20"/>
        <v>1.0289999999999999</v>
      </c>
      <c r="J98" s="300">
        <f t="shared" si="21"/>
        <v>1.0049999999999999</v>
      </c>
      <c r="K98" s="300">
        <f t="shared" si="22"/>
        <v>1.026</v>
      </c>
      <c r="L98" s="300">
        <f t="shared" si="23"/>
        <v>1.0129999999999999</v>
      </c>
      <c r="M98" s="300">
        <f t="shared" si="24"/>
        <v>1.0029999999999999</v>
      </c>
      <c r="N98" s="318">
        <f t="shared" si="17"/>
        <v>1.0029999999999999</v>
      </c>
      <c r="O98" s="95">
        <f t="shared" si="25"/>
        <v>1.0209999999999999</v>
      </c>
      <c r="P98" s="143">
        <f t="shared" si="14"/>
        <v>1.032</v>
      </c>
      <c r="Q98" s="318">
        <f t="shared" si="15"/>
        <v>1.0349999999999999</v>
      </c>
      <c r="R98" s="96">
        <f t="shared" si="1"/>
        <v>1.3319480854780448</v>
      </c>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row>
    <row r="99" spans="1:247" x14ac:dyDescent="0.25">
      <c r="A99" s="310">
        <v>3103</v>
      </c>
      <c r="B99" s="299" t="s">
        <v>3024</v>
      </c>
      <c r="C99" s="239" t="s">
        <v>205</v>
      </c>
      <c r="D99" s="311" t="s">
        <v>2935</v>
      </c>
      <c r="E99" s="143">
        <f t="shared" si="18"/>
        <v>1.0740000000000001</v>
      </c>
      <c r="F99" s="90">
        <f t="shared" si="0"/>
        <v>1.0209999999999999</v>
      </c>
      <c r="G99" s="318">
        <f t="shared" si="16"/>
        <v>1.0269999999999999</v>
      </c>
      <c r="H99" s="143">
        <f t="shared" si="19"/>
        <v>1.0029999999999999</v>
      </c>
      <c r="I99" s="300">
        <f t="shared" si="20"/>
        <v>1.0289999999999999</v>
      </c>
      <c r="J99" s="300">
        <f t="shared" si="21"/>
        <v>1.0049999999999999</v>
      </c>
      <c r="K99" s="300">
        <f t="shared" si="22"/>
        <v>1.026</v>
      </c>
      <c r="L99" s="300">
        <f t="shared" si="23"/>
        <v>1.0129999999999999</v>
      </c>
      <c r="M99" s="300">
        <f t="shared" si="24"/>
        <v>1.0029999999999999</v>
      </c>
      <c r="N99" s="318">
        <f t="shared" si="17"/>
        <v>1.0029999999999999</v>
      </c>
      <c r="O99" s="95">
        <f t="shared" si="25"/>
        <v>1.0209999999999999</v>
      </c>
      <c r="P99" s="143">
        <f t="shared" si="14"/>
        <v>1.032</v>
      </c>
      <c r="Q99" s="318">
        <f t="shared" si="15"/>
        <v>1.0349999999999999</v>
      </c>
      <c r="R99" s="96">
        <f t="shared" si="1"/>
        <v>1.3319480854780448</v>
      </c>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row>
    <row r="100" spans="1:247" x14ac:dyDescent="0.25">
      <c r="A100" s="310">
        <v>3104</v>
      </c>
      <c r="B100" s="299" t="s">
        <v>3025</v>
      </c>
      <c r="C100" s="239" t="s">
        <v>205</v>
      </c>
      <c r="D100" s="311" t="s">
        <v>2935</v>
      </c>
      <c r="E100" s="143">
        <f t="shared" si="18"/>
        <v>1.0740000000000001</v>
      </c>
      <c r="F100" s="90">
        <f t="shared" si="0"/>
        <v>1.0209999999999999</v>
      </c>
      <c r="G100" s="318">
        <f t="shared" si="16"/>
        <v>1.0269999999999999</v>
      </c>
      <c r="H100" s="143">
        <f t="shared" si="19"/>
        <v>1.0029999999999999</v>
      </c>
      <c r="I100" s="300">
        <f t="shared" si="20"/>
        <v>1.0289999999999999</v>
      </c>
      <c r="J100" s="300">
        <f t="shared" si="21"/>
        <v>1.0049999999999999</v>
      </c>
      <c r="K100" s="300">
        <f t="shared" si="22"/>
        <v>1.026</v>
      </c>
      <c r="L100" s="300">
        <f t="shared" si="23"/>
        <v>1.0129999999999999</v>
      </c>
      <c r="M100" s="300">
        <f t="shared" si="24"/>
        <v>1.0029999999999999</v>
      </c>
      <c r="N100" s="318">
        <f t="shared" si="17"/>
        <v>1.0029999999999999</v>
      </c>
      <c r="O100" s="95">
        <f t="shared" si="25"/>
        <v>1.0209999999999999</v>
      </c>
      <c r="P100" s="143">
        <f t="shared" si="14"/>
        <v>1.032</v>
      </c>
      <c r="Q100" s="318">
        <f t="shared" si="15"/>
        <v>1.0349999999999999</v>
      </c>
      <c r="R100" s="96">
        <f t="shared" si="1"/>
        <v>1.3319480854780448</v>
      </c>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row>
    <row r="101" spans="1:247" x14ac:dyDescent="0.25">
      <c r="A101" s="310">
        <v>3131</v>
      </c>
      <c r="B101" s="299" t="s">
        <v>3026</v>
      </c>
      <c r="C101" s="239" t="s">
        <v>205</v>
      </c>
      <c r="D101" s="311" t="s">
        <v>2935</v>
      </c>
      <c r="E101" s="143">
        <f t="shared" si="18"/>
        <v>1.0740000000000001</v>
      </c>
      <c r="F101" s="90">
        <f t="shared" si="0"/>
        <v>1.0209999999999999</v>
      </c>
      <c r="G101" s="318">
        <f t="shared" si="16"/>
        <v>1.0269999999999999</v>
      </c>
      <c r="H101" s="143">
        <f t="shared" si="19"/>
        <v>1.0029999999999999</v>
      </c>
      <c r="I101" s="300">
        <f t="shared" si="20"/>
        <v>1.0289999999999999</v>
      </c>
      <c r="J101" s="300">
        <f t="shared" si="21"/>
        <v>1.0049999999999999</v>
      </c>
      <c r="K101" s="300">
        <f t="shared" si="22"/>
        <v>1.026</v>
      </c>
      <c r="L101" s="300">
        <f t="shared" si="23"/>
        <v>1.0129999999999999</v>
      </c>
      <c r="M101" s="300">
        <f t="shared" si="24"/>
        <v>1.0029999999999999</v>
      </c>
      <c r="N101" s="318">
        <f t="shared" si="17"/>
        <v>1.0029999999999999</v>
      </c>
      <c r="O101" s="95">
        <f t="shared" si="25"/>
        <v>1.0209999999999999</v>
      </c>
      <c r="P101" s="143">
        <f t="shared" si="14"/>
        <v>1.032</v>
      </c>
      <c r="Q101" s="318">
        <f t="shared" si="15"/>
        <v>1.0349999999999999</v>
      </c>
      <c r="R101" s="96">
        <f t="shared" si="1"/>
        <v>1.3319480854780448</v>
      </c>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row>
    <row r="102" spans="1:247" x14ac:dyDescent="0.25">
      <c r="A102" s="310">
        <v>3141</v>
      </c>
      <c r="B102" s="299" t="s">
        <v>3027</v>
      </c>
      <c r="C102" s="239" t="s">
        <v>205</v>
      </c>
      <c r="D102" s="311" t="s">
        <v>2935</v>
      </c>
      <c r="E102" s="143">
        <f t="shared" si="18"/>
        <v>1.0740000000000001</v>
      </c>
      <c r="F102" s="90">
        <f t="shared" si="0"/>
        <v>1.0209999999999999</v>
      </c>
      <c r="G102" s="318">
        <f t="shared" si="16"/>
        <v>1.0269999999999999</v>
      </c>
      <c r="H102" s="143">
        <f t="shared" si="19"/>
        <v>1.0029999999999999</v>
      </c>
      <c r="I102" s="300">
        <f t="shared" si="20"/>
        <v>1.0289999999999999</v>
      </c>
      <c r="J102" s="300">
        <f t="shared" si="21"/>
        <v>1.0049999999999999</v>
      </c>
      <c r="K102" s="300">
        <f t="shared" si="22"/>
        <v>1.026</v>
      </c>
      <c r="L102" s="300">
        <f t="shared" si="23"/>
        <v>1.0129999999999999</v>
      </c>
      <c r="M102" s="300">
        <f t="shared" si="24"/>
        <v>1.0029999999999999</v>
      </c>
      <c r="N102" s="318">
        <f t="shared" si="17"/>
        <v>1.0029999999999999</v>
      </c>
      <c r="O102" s="95">
        <f t="shared" si="25"/>
        <v>1.0209999999999999</v>
      </c>
      <c r="P102" s="143">
        <f t="shared" si="14"/>
        <v>1.032</v>
      </c>
      <c r="Q102" s="318">
        <f t="shared" si="15"/>
        <v>1.0349999999999999</v>
      </c>
      <c r="R102" s="96">
        <f>PRODUCT(E102:Q102)</f>
        <v>1.3319480854780448</v>
      </c>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row>
    <row r="103" spans="1:247" x14ac:dyDescent="0.25">
      <c r="A103" s="310">
        <v>3151</v>
      </c>
      <c r="B103" s="299" t="s">
        <v>3028</v>
      </c>
      <c r="C103" s="239" t="s">
        <v>205</v>
      </c>
      <c r="D103" s="311" t="s">
        <v>2935</v>
      </c>
      <c r="E103" s="143">
        <f t="shared" si="18"/>
        <v>1.0740000000000001</v>
      </c>
      <c r="F103" s="90">
        <f t="shared" si="0"/>
        <v>1.0209999999999999</v>
      </c>
      <c r="G103" s="318">
        <f t="shared" si="16"/>
        <v>1.0269999999999999</v>
      </c>
      <c r="H103" s="143">
        <f t="shared" si="19"/>
        <v>1.0029999999999999</v>
      </c>
      <c r="I103" s="300">
        <f t="shared" si="20"/>
        <v>1.0289999999999999</v>
      </c>
      <c r="J103" s="300">
        <f t="shared" si="21"/>
        <v>1.0049999999999999</v>
      </c>
      <c r="K103" s="300">
        <f t="shared" si="22"/>
        <v>1.026</v>
      </c>
      <c r="L103" s="300">
        <f t="shared" si="23"/>
        <v>1.0129999999999999</v>
      </c>
      <c r="M103" s="300">
        <f t="shared" si="24"/>
        <v>1.0029999999999999</v>
      </c>
      <c r="N103" s="318">
        <f t="shared" si="17"/>
        <v>1.0029999999999999</v>
      </c>
      <c r="O103" s="95">
        <f t="shared" si="25"/>
        <v>1.0209999999999999</v>
      </c>
      <c r="P103" s="143">
        <f t="shared" si="14"/>
        <v>1.032</v>
      </c>
      <c r="Q103" s="318">
        <f t="shared" si="15"/>
        <v>1.0349999999999999</v>
      </c>
      <c r="R103" s="96">
        <f>PRODUCT(E103:Q103)</f>
        <v>1.3319480854780448</v>
      </c>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row>
    <row r="104" spans="1:247" x14ac:dyDescent="0.25">
      <c r="A104" s="310">
        <v>3161</v>
      </c>
      <c r="B104" s="299" t="s">
        <v>3029</v>
      </c>
      <c r="C104" s="239" t="s">
        <v>205</v>
      </c>
      <c r="D104" s="311" t="s">
        <v>2935</v>
      </c>
      <c r="E104" s="143">
        <f t="shared" si="18"/>
        <v>1.0740000000000001</v>
      </c>
      <c r="F104" s="90">
        <f t="shared" si="0"/>
        <v>1.0209999999999999</v>
      </c>
      <c r="G104" s="318">
        <f t="shared" si="16"/>
        <v>1.0269999999999999</v>
      </c>
      <c r="H104" s="143">
        <f t="shared" si="19"/>
        <v>1.0029999999999999</v>
      </c>
      <c r="I104" s="300">
        <f t="shared" si="20"/>
        <v>1.0289999999999999</v>
      </c>
      <c r="J104" s="300">
        <f t="shared" si="21"/>
        <v>1.0049999999999999</v>
      </c>
      <c r="K104" s="300">
        <f t="shared" si="22"/>
        <v>1.026</v>
      </c>
      <c r="L104" s="300">
        <f t="shared" si="23"/>
        <v>1.0129999999999999</v>
      </c>
      <c r="M104" s="300">
        <f t="shared" si="24"/>
        <v>1.0029999999999999</v>
      </c>
      <c r="N104" s="318">
        <f t="shared" si="17"/>
        <v>1.0029999999999999</v>
      </c>
      <c r="O104" s="95">
        <f t="shared" si="25"/>
        <v>1.0209999999999999</v>
      </c>
      <c r="P104" s="143">
        <f t="shared" si="14"/>
        <v>1.032</v>
      </c>
      <c r="Q104" s="318">
        <f t="shared" si="15"/>
        <v>1.0349999999999999</v>
      </c>
      <c r="R104" s="96">
        <f>PRODUCT(E104:Q104)</f>
        <v>1.3319480854780448</v>
      </c>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row>
    <row r="105" spans="1:247" x14ac:dyDescent="0.25">
      <c r="A105" s="310">
        <v>3171</v>
      </c>
      <c r="B105" s="299" t="s">
        <v>3030</v>
      </c>
      <c r="C105" s="239" t="s">
        <v>205</v>
      </c>
      <c r="D105" s="311" t="s">
        <v>2935</v>
      </c>
      <c r="E105" s="143">
        <f t="shared" si="18"/>
        <v>1.0740000000000001</v>
      </c>
      <c r="F105" s="90">
        <f t="shared" si="0"/>
        <v>1.0209999999999999</v>
      </c>
      <c r="G105" s="318">
        <f t="shared" si="16"/>
        <v>1.0269999999999999</v>
      </c>
      <c r="H105" s="143">
        <f t="shared" si="19"/>
        <v>1.0029999999999999</v>
      </c>
      <c r="I105" s="300">
        <f t="shared" si="20"/>
        <v>1.0289999999999999</v>
      </c>
      <c r="J105" s="300">
        <f t="shared" si="21"/>
        <v>1.0049999999999999</v>
      </c>
      <c r="K105" s="300">
        <f t="shared" si="22"/>
        <v>1.026</v>
      </c>
      <c r="L105" s="300">
        <f t="shared" si="23"/>
        <v>1.0129999999999999</v>
      </c>
      <c r="M105" s="300">
        <f t="shared" si="24"/>
        <v>1.0029999999999999</v>
      </c>
      <c r="N105" s="318">
        <f t="shared" si="17"/>
        <v>1.0029999999999999</v>
      </c>
      <c r="O105" s="95">
        <f t="shared" si="25"/>
        <v>1.0209999999999999</v>
      </c>
      <c r="P105" s="143">
        <f t="shared" si="14"/>
        <v>1.032</v>
      </c>
      <c r="Q105" s="318">
        <f t="shared" si="15"/>
        <v>1.0349999999999999</v>
      </c>
      <c r="R105" s="96">
        <f>PRODUCT(E105:Q105)</f>
        <v>1.3319480854780448</v>
      </c>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row>
    <row r="106" spans="1:247" x14ac:dyDescent="0.25">
      <c r="A106" s="310">
        <v>3181</v>
      </c>
      <c r="B106" s="299" t="s">
        <v>3031</v>
      </c>
      <c r="C106" s="239" t="s">
        <v>205</v>
      </c>
      <c r="D106" s="311" t="s">
        <v>2935</v>
      </c>
      <c r="E106" s="143">
        <f t="shared" si="18"/>
        <v>1.0740000000000001</v>
      </c>
      <c r="F106" s="90">
        <f t="shared" si="0"/>
        <v>1.0209999999999999</v>
      </c>
      <c r="G106" s="318"/>
      <c r="H106" s="143">
        <f t="shared" si="19"/>
        <v>1.0029999999999999</v>
      </c>
      <c r="I106" s="300">
        <f t="shared" si="20"/>
        <v>1.0289999999999999</v>
      </c>
      <c r="J106" s="300">
        <f t="shared" si="21"/>
        <v>1.0049999999999999</v>
      </c>
      <c r="K106" s="300">
        <f t="shared" si="22"/>
        <v>1.026</v>
      </c>
      <c r="L106" s="300">
        <f t="shared" si="23"/>
        <v>1.0129999999999999</v>
      </c>
      <c r="M106" s="300">
        <f t="shared" si="24"/>
        <v>1.0029999999999999</v>
      </c>
      <c r="N106" s="318">
        <f t="shared" si="17"/>
        <v>1.0029999999999999</v>
      </c>
      <c r="O106" s="95">
        <f t="shared" si="25"/>
        <v>1.0209999999999999</v>
      </c>
      <c r="P106" s="143">
        <f t="shared" si="14"/>
        <v>1.032</v>
      </c>
      <c r="Q106" s="318">
        <f t="shared" si="15"/>
        <v>1.0349999999999999</v>
      </c>
      <c r="R106" s="96">
        <f t="shared" si="1"/>
        <v>1.2969309498325658</v>
      </c>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row>
    <row r="107" spans="1:247" x14ac:dyDescent="0.25">
      <c r="A107" s="310">
        <v>3191</v>
      </c>
      <c r="B107" s="299" t="s">
        <v>3032</v>
      </c>
      <c r="C107" s="239" t="s">
        <v>205</v>
      </c>
      <c r="D107" s="311" t="s">
        <v>2935</v>
      </c>
      <c r="E107" s="143">
        <f t="shared" si="18"/>
        <v>1.0740000000000001</v>
      </c>
      <c r="F107" s="90">
        <f t="shared" si="0"/>
        <v>1.0209999999999999</v>
      </c>
      <c r="G107" s="318">
        <f t="shared" si="16"/>
        <v>1.0269999999999999</v>
      </c>
      <c r="H107" s="143">
        <f t="shared" si="19"/>
        <v>1.0029999999999999</v>
      </c>
      <c r="I107" s="300">
        <f t="shared" si="20"/>
        <v>1.0289999999999999</v>
      </c>
      <c r="J107" s="300">
        <f t="shared" si="21"/>
        <v>1.0049999999999999</v>
      </c>
      <c r="K107" s="300">
        <f t="shared" si="22"/>
        <v>1.026</v>
      </c>
      <c r="L107" s="300">
        <f t="shared" si="23"/>
        <v>1.0129999999999999</v>
      </c>
      <c r="M107" s="300">
        <f t="shared" si="24"/>
        <v>1.0029999999999999</v>
      </c>
      <c r="N107" s="318">
        <f t="shared" si="17"/>
        <v>1.0029999999999999</v>
      </c>
      <c r="O107" s="95">
        <f t="shared" si="25"/>
        <v>1.0209999999999999</v>
      </c>
      <c r="P107" s="143">
        <f t="shared" si="14"/>
        <v>1.032</v>
      </c>
      <c r="Q107" s="318">
        <f t="shared" si="15"/>
        <v>1.0349999999999999</v>
      </c>
      <c r="R107" s="96">
        <f>PRODUCT(E107:Q107)</f>
        <v>1.3319480854780448</v>
      </c>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row>
    <row r="108" spans="1:247" x14ac:dyDescent="0.25">
      <c r="A108" s="310">
        <v>3201</v>
      </c>
      <c r="B108" s="299" t="s">
        <v>3033</v>
      </c>
      <c r="C108" s="239" t="s">
        <v>205</v>
      </c>
      <c r="D108" s="311" t="s">
        <v>2935</v>
      </c>
      <c r="E108" s="143">
        <f t="shared" si="18"/>
        <v>1.0740000000000001</v>
      </c>
      <c r="F108" s="90">
        <f>+$F$3</f>
        <v>1.0209999999999999</v>
      </c>
      <c r="G108" s="318">
        <f t="shared" si="16"/>
        <v>1.0269999999999999</v>
      </c>
      <c r="H108" s="143">
        <f t="shared" si="19"/>
        <v>1.0029999999999999</v>
      </c>
      <c r="I108" s="300">
        <f t="shared" si="20"/>
        <v>1.0289999999999999</v>
      </c>
      <c r="J108" s="300">
        <f t="shared" si="21"/>
        <v>1.0049999999999999</v>
      </c>
      <c r="K108" s="300">
        <f t="shared" si="22"/>
        <v>1.026</v>
      </c>
      <c r="L108" s="300">
        <f t="shared" si="23"/>
        <v>1.0129999999999999</v>
      </c>
      <c r="M108" s="300">
        <f t="shared" si="24"/>
        <v>1.0029999999999999</v>
      </c>
      <c r="N108" s="318">
        <f t="shared" si="17"/>
        <v>1.0029999999999999</v>
      </c>
      <c r="O108" s="95">
        <f t="shared" si="25"/>
        <v>1.0209999999999999</v>
      </c>
      <c r="P108" s="143">
        <f>+$P$3</f>
        <v>1.032</v>
      </c>
      <c r="Q108" s="318">
        <f>+$Q$3</f>
        <v>1.0349999999999999</v>
      </c>
      <c r="R108" s="96">
        <f>PRODUCT(E108:Q108)</f>
        <v>1.3319480854780448</v>
      </c>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row>
    <row r="109" spans="1:247" x14ac:dyDescent="0.25">
      <c r="A109" s="310">
        <v>3903</v>
      </c>
      <c r="B109" s="299" t="s">
        <v>3034</v>
      </c>
      <c r="C109" s="239" t="s">
        <v>76</v>
      </c>
      <c r="D109" s="311" t="s">
        <v>2927</v>
      </c>
      <c r="E109" s="143">
        <f>+$E$3</f>
        <v>1.0740000000000001</v>
      </c>
      <c r="F109" s="90">
        <f>+$F$3</f>
        <v>1.0209999999999999</v>
      </c>
      <c r="G109" s="318">
        <f>+$G$3</f>
        <v>1.0269999999999999</v>
      </c>
      <c r="H109" s="143"/>
      <c r="I109" s="300"/>
      <c r="J109" s="300"/>
      <c r="K109" s="300"/>
      <c r="L109" s="300">
        <f>+$L$3</f>
        <v>1.0129999999999999</v>
      </c>
      <c r="M109" s="300"/>
      <c r="N109" s="318"/>
      <c r="O109" s="95"/>
      <c r="P109" s="143">
        <f>+$P$3</f>
        <v>1.032</v>
      </c>
      <c r="Q109" s="318">
        <f>+$Q$3</f>
        <v>1.0349999999999999</v>
      </c>
      <c r="R109" s="96">
        <f>PRODUCT(E109:Q109)</f>
        <v>1.2185124180109259</v>
      </c>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row>
    <row r="110" spans="1:247" x14ac:dyDescent="0.25">
      <c r="A110" s="310">
        <v>4114</v>
      </c>
      <c r="B110" s="299" t="s">
        <v>3035</v>
      </c>
      <c r="C110" s="239" t="s">
        <v>214</v>
      </c>
      <c r="D110" s="311" t="s">
        <v>2927</v>
      </c>
      <c r="E110" s="143"/>
      <c r="F110" s="90">
        <f t="shared" si="0"/>
        <v>1.0209999999999999</v>
      </c>
      <c r="G110" s="318"/>
      <c r="H110" s="143"/>
      <c r="I110" s="300"/>
      <c r="J110" s="300"/>
      <c r="K110" s="300"/>
      <c r="L110" s="300"/>
      <c r="M110" s="300"/>
      <c r="N110" s="318"/>
      <c r="O110" s="95"/>
      <c r="P110" s="143"/>
      <c r="Q110" s="318"/>
      <c r="R110" s="96">
        <f t="shared" si="1"/>
        <v>1.0209999999999999</v>
      </c>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row>
    <row r="111" spans="1:247" x14ac:dyDescent="0.25">
      <c r="A111" s="310">
        <v>4212</v>
      </c>
      <c r="B111" s="299" t="s">
        <v>3036</v>
      </c>
      <c r="C111" s="239" t="s">
        <v>205</v>
      </c>
      <c r="D111" s="311" t="s">
        <v>2935</v>
      </c>
      <c r="E111" s="143"/>
      <c r="F111" s="90">
        <f t="shared" si="0"/>
        <v>1.0209999999999999</v>
      </c>
      <c r="G111" s="318">
        <f>+$G$3</f>
        <v>1.0269999999999999</v>
      </c>
      <c r="H111" s="143">
        <f>+$H$3</f>
        <v>1.0029999999999999</v>
      </c>
      <c r="I111" s="300">
        <f>+$I$3</f>
        <v>1.0289999999999999</v>
      </c>
      <c r="J111" s="300">
        <f>+$J$3</f>
        <v>1.0049999999999999</v>
      </c>
      <c r="K111" s="300"/>
      <c r="L111" s="300"/>
      <c r="M111" s="300">
        <f>+$M$3</f>
        <v>1.0029999999999999</v>
      </c>
      <c r="N111" s="318">
        <f>+$N$3</f>
        <v>1.0029999999999999</v>
      </c>
      <c r="O111" s="95">
        <f>+$O$3</f>
        <v>1.0209999999999999</v>
      </c>
      <c r="P111" s="143">
        <f>+$P$3</f>
        <v>1.032</v>
      </c>
      <c r="Q111" s="318">
        <f>+$Q$3</f>
        <v>1.0349999999999999</v>
      </c>
      <c r="R111" s="96">
        <f t="shared" si="1"/>
        <v>1.1932356231980656</v>
      </c>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row>
    <row r="112" spans="1:247" x14ac:dyDescent="0.25">
      <c r="A112" s="310">
        <v>4231</v>
      </c>
      <c r="B112" s="299" t="s">
        <v>3037</v>
      </c>
      <c r="C112" s="239" t="s">
        <v>214</v>
      </c>
      <c r="D112" s="311" t="s">
        <v>2927</v>
      </c>
      <c r="E112" s="143"/>
      <c r="F112" s="90">
        <f t="shared" si="0"/>
        <v>1.0209999999999999</v>
      </c>
      <c r="G112" s="318"/>
      <c r="H112" s="143"/>
      <c r="I112" s="300"/>
      <c r="J112" s="300"/>
      <c r="K112" s="300"/>
      <c r="L112" s="300"/>
      <c r="M112" s="300"/>
      <c r="N112" s="318"/>
      <c r="O112" s="95"/>
      <c r="P112" s="143"/>
      <c r="Q112" s="318"/>
      <c r="R112" s="96">
        <f t="shared" si="1"/>
        <v>1.0209999999999999</v>
      </c>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row>
    <row r="113" spans="1:247" x14ac:dyDescent="0.25">
      <c r="A113" s="310">
        <v>4251</v>
      </c>
      <c r="B113" s="299" t="s">
        <v>3038</v>
      </c>
      <c r="C113" s="239" t="s">
        <v>9</v>
      </c>
      <c r="D113" s="311" t="s">
        <v>2927</v>
      </c>
      <c r="E113" s="143"/>
      <c r="F113" s="90">
        <f t="shared" si="0"/>
        <v>1.0209999999999999</v>
      </c>
      <c r="G113" s="318"/>
      <c r="H113" s="143"/>
      <c r="I113" s="300"/>
      <c r="J113" s="300"/>
      <c r="K113" s="300"/>
      <c r="L113" s="300"/>
      <c r="M113" s="300"/>
      <c r="N113" s="318"/>
      <c r="O113" s="95"/>
      <c r="P113" s="143">
        <f t="shared" ref="P113:P129" si="26">+$P$3</f>
        <v>1.032</v>
      </c>
      <c r="Q113" s="318">
        <f t="shared" ref="Q113:Q129" si="27">+$Q$3</f>
        <v>1.0349999999999999</v>
      </c>
      <c r="R113" s="96">
        <f t="shared" si="1"/>
        <v>1.0905505199999999</v>
      </c>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row>
    <row r="114" spans="1:247" x14ac:dyDescent="0.25">
      <c r="A114" s="310">
        <v>4311</v>
      </c>
      <c r="B114" s="299" t="s">
        <v>3039</v>
      </c>
      <c r="C114" s="239" t="s">
        <v>205</v>
      </c>
      <c r="D114" s="311" t="s">
        <v>2935</v>
      </c>
      <c r="E114" s="143"/>
      <c r="F114" s="90">
        <f t="shared" si="0"/>
        <v>1.0209999999999999</v>
      </c>
      <c r="G114" s="318">
        <f>+$G$3</f>
        <v>1.0269999999999999</v>
      </c>
      <c r="H114" s="143">
        <f>+$H$3</f>
        <v>1.0029999999999999</v>
      </c>
      <c r="I114" s="300">
        <f>+$I$3</f>
        <v>1.0289999999999999</v>
      </c>
      <c r="J114" s="300">
        <f>+$J$3</f>
        <v>1.0049999999999999</v>
      </c>
      <c r="K114" s="300"/>
      <c r="L114" s="300"/>
      <c r="M114" s="300">
        <f>+$M$3</f>
        <v>1.0029999999999999</v>
      </c>
      <c r="N114" s="318">
        <f>+$N$3</f>
        <v>1.0029999999999999</v>
      </c>
      <c r="O114" s="95"/>
      <c r="P114" s="143">
        <f t="shared" si="26"/>
        <v>1.032</v>
      </c>
      <c r="Q114" s="318">
        <f t="shared" si="27"/>
        <v>1.0349999999999999</v>
      </c>
      <c r="R114" s="96">
        <f t="shared" si="1"/>
        <v>1.168693068754227</v>
      </c>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row>
    <row r="115" spans="1:247" x14ac:dyDescent="0.25">
      <c r="A115" s="310">
        <v>4321</v>
      </c>
      <c r="B115" s="299" t="s">
        <v>3040</v>
      </c>
      <c r="C115" s="239" t="s">
        <v>205</v>
      </c>
      <c r="D115" s="311" t="s">
        <v>2935</v>
      </c>
      <c r="E115" s="143"/>
      <c r="F115" s="90">
        <f t="shared" si="0"/>
        <v>1.0209999999999999</v>
      </c>
      <c r="G115" s="318">
        <f>+$G$3</f>
        <v>1.0269999999999999</v>
      </c>
      <c r="H115" s="143"/>
      <c r="I115" s="300">
        <f>+$I$3</f>
        <v>1.0289999999999999</v>
      </c>
      <c r="J115" s="300">
        <f>+$J$3</f>
        <v>1.0049999999999999</v>
      </c>
      <c r="K115" s="300"/>
      <c r="L115" s="300"/>
      <c r="M115" s="300">
        <f>+$M$3</f>
        <v>1.0029999999999999</v>
      </c>
      <c r="N115" s="318">
        <f>+$N$3</f>
        <v>1.0029999999999999</v>
      </c>
      <c r="O115" s="95"/>
      <c r="P115" s="143">
        <f t="shared" si="26"/>
        <v>1.032</v>
      </c>
      <c r="Q115" s="318">
        <f t="shared" si="27"/>
        <v>1.0349999999999999</v>
      </c>
      <c r="R115" s="96">
        <f t="shared" si="1"/>
        <v>1.1651974763252515</v>
      </c>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row>
    <row r="116" spans="1:247" x14ac:dyDescent="0.25">
      <c r="A116" s="310">
        <v>4414</v>
      </c>
      <c r="B116" s="299" t="s">
        <v>3041</v>
      </c>
      <c r="C116" s="239" t="s">
        <v>205</v>
      </c>
      <c r="D116" s="311" t="s">
        <v>2935</v>
      </c>
      <c r="E116" s="143"/>
      <c r="F116" s="90">
        <f t="shared" si="0"/>
        <v>1.0209999999999999</v>
      </c>
      <c r="G116" s="318">
        <f>+$G$3</f>
        <v>1.0269999999999999</v>
      </c>
      <c r="H116" s="143">
        <f>+$H$3</f>
        <v>1.0029999999999999</v>
      </c>
      <c r="I116" s="300">
        <f>+$I$3</f>
        <v>1.0289999999999999</v>
      </c>
      <c r="J116" s="300">
        <f>+$J$3</f>
        <v>1.0049999999999999</v>
      </c>
      <c r="K116" s="300"/>
      <c r="L116" s="300"/>
      <c r="M116" s="300">
        <f>+$M$3</f>
        <v>1.0029999999999999</v>
      </c>
      <c r="N116" s="318">
        <f>+$N$3</f>
        <v>1.0029999999999999</v>
      </c>
      <c r="O116" s="95"/>
      <c r="P116" s="143">
        <f t="shared" si="26"/>
        <v>1.032</v>
      </c>
      <c r="Q116" s="318">
        <f t="shared" si="27"/>
        <v>1.0349999999999999</v>
      </c>
      <c r="R116" s="96">
        <f t="shared" si="1"/>
        <v>1.168693068754227</v>
      </c>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row>
    <row r="117" spans="1:247" x14ac:dyDescent="0.25">
      <c r="A117" s="310">
        <v>4424</v>
      </c>
      <c r="B117" s="299" t="s">
        <v>3042</v>
      </c>
      <c r="C117" s="239" t="s">
        <v>205</v>
      </c>
      <c r="D117" s="311" t="s">
        <v>2935</v>
      </c>
      <c r="E117" s="143"/>
      <c r="F117" s="90">
        <f t="shared" si="0"/>
        <v>1.0209999999999999</v>
      </c>
      <c r="G117" s="318">
        <f>+$G$3</f>
        <v>1.0269999999999999</v>
      </c>
      <c r="H117" s="143">
        <f>+$H$3</f>
        <v>1.0029999999999999</v>
      </c>
      <c r="I117" s="300">
        <f>+$I$3</f>
        <v>1.0289999999999999</v>
      </c>
      <c r="J117" s="300">
        <f>+$J$3</f>
        <v>1.0049999999999999</v>
      </c>
      <c r="K117" s="300"/>
      <c r="L117" s="300"/>
      <c r="M117" s="300">
        <f>+$M$3</f>
        <v>1.0029999999999999</v>
      </c>
      <c r="N117" s="318">
        <f>+$N$3</f>
        <v>1.0029999999999999</v>
      </c>
      <c r="O117" s="95"/>
      <c r="P117" s="143">
        <f t="shared" si="26"/>
        <v>1.032</v>
      </c>
      <c r="Q117" s="318">
        <f t="shared" si="27"/>
        <v>1.0349999999999999</v>
      </c>
      <c r="R117" s="96">
        <f t="shared" si="1"/>
        <v>1.168693068754227</v>
      </c>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row>
    <row r="118" spans="1:247" x14ac:dyDescent="0.25">
      <c r="A118" s="310">
        <v>4425</v>
      </c>
      <c r="B118" s="299" t="s">
        <v>3043</v>
      </c>
      <c r="C118" s="239" t="s">
        <v>205</v>
      </c>
      <c r="D118" s="311" t="s">
        <v>2935</v>
      </c>
      <c r="E118" s="143"/>
      <c r="F118" s="90">
        <f t="shared" si="0"/>
        <v>1.0209999999999999</v>
      </c>
      <c r="G118" s="318">
        <f>+$G$3</f>
        <v>1.0269999999999999</v>
      </c>
      <c r="H118" s="143"/>
      <c r="I118" s="300"/>
      <c r="J118" s="300">
        <f>+$J$3</f>
        <v>1.0049999999999999</v>
      </c>
      <c r="K118" s="300"/>
      <c r="L118" s="300"/>
      <c r="M118" s="300"/>
      <c r="N118" s="318"/>
      <c r="O118" s="95"/>
      <c r="P118" s="143">
        <f t="shared" si="26"/>
        <v>1.032</v>
      </c>
      <c r="Q118" s="318">
        <f t="shared" si="27"/>
        <v>1.0349999999999999</v>
      </c>
      <c r="R118" s="96">
        <f t="shared" si="1"/>
        <v>1.1255953609601996</v>
      </c>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row>
    <row r="119" spans="1:247" x14ac:dyDescent="0.25">
      <c r="A119" s="310">
        <v>4426</v>
      </c>
      <c r="B119" s="299" t="s">
        <v>3044</v>
      </c>
      <c r="C119" s="239" t="s">
        <v>205</v>
      </c>
      <c r="D119" s="311" t="s">
        <v>2935</v>
      </c>
      <c r="E119" s="143"/>
      <c r="F119" s="90">
        <f t="shared" si="0"/>
        <v>1.0209999999999999</v>
      </c>
      <c r="G119" s="318"/>
      <c r="H119" s="143"/>
      <c r="I119" s="300"/>
      <c r="J119" s="300"/>
      <c r="K119" s="300"/>
      <c r="L119" s="300"/>
      <c r="M119" s="300"/>
      <c r="N119" s="318"/>
      <c r="O119" s="95"/>
      <c r="P119" s="143">
        <f t="shared" si="26"/>
        <v>1.032</v>
      </c>
      <c r="Q119" s="318">
        <f t="shared" si="27"/>
        <v>1.0349999999999999</v>
      </c>
      <c r="R119" s="96">
        <f t="shared" si="1"/>
        <v>1.0905505199999999</v>
      </c>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row>
    <row r="120" spans="1:247" x14ac:dyDescent="0.25">
      <c r="A120" s="310">
        <v>4428</v>
      </c>
      <c r="B120" s="299" t="s">
        <v>3045</v>
      </c>
      <c r="C120" s="239" t="s">
        <v>205</v>
      </c>
      <c r="D120" s="311" t="s">
        <v>2935</v>
      </c>
      <c r="E120" s="143"/>
      <c r="F120" s="90">
        <f t="shared" si="0"/>
        <v>1.0209999999999999</v>
      </c>
      <c r="G120" s="318"/>
      <c r="H120" s="143"/>
      <c r="I120" s="300"/>
      <c r="J120" s="300">
        <f>+$J$3</f>
        <v>1.0049999999999999</v>
      </c>
      <c r="K120" s="300"/>
      <c r="L120" s="300"/>
      <c r="M120" s="300">
        <f>+$M$3</f>
        <v>1.0029999999999999</v>
      </c>
      <c r="N120" s="318">
        <f>+$N$3</f>
        <v>1.0029999999999999</v>
      </c>
      <c r="O120" s="95"/>
      <c r="P120" s="143">
        <f t="shared" si="26"/>
        <v>1.032</v>
      </c>
      <c r="Q120" s="318">
        <f t="shared" si="27"/>
        <v>1.0349999999999999</v>
      </c>
      <c r="R120" s="96">
        <f t="shared" si="1"/>
        <v>1.1025891562650529</v>
      </c>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row>
    <row r="121" spans="1:247" x14ac:dyDescent="0.25">
      <c r="A121" s="310">
        <v>4511</v>
      </c>
      <c r="B121" s="299" t="s">
        <v>3046</v>
      </c>
      <c r="C121" s="239" t="s">
        <v>9</v>
      </c>
      <c r="D121" s="311" t="s">
        <v>2927</v>
      </c>
      <c r="E121" s="143"/>
      <c r="F121" s="90">
        <f t="shared" si="0"/>
        <v>1.0209999999999999</v>
      </c>
      <c r="G121" s="318"/>
      <c r="H121" s="143"/>
      <c r="I121" s="300"/>
      <c r="J121" s="300"/>
      <c r="K121" s="300"/>
      <c r="L121" s="300"/>
      <c r="M121" s="300"/>
      <c r="N121" s="318"/>
      <c r="O121" s="95"/>
      <c r="P121" s="143">
        <f t="shared" si="26"/>
        <v>1.032</v>
      </c>
      <c r="Q121" s="318">
        <f t="shared" si="27"/>
        <v>1.0349999999999999</v>
      </c>
      <c r="R121" s="96">
        <f>PRODUCT(E121:Q121)</f>
        <v>1.0905505199999999</v>
      </c>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row>
    <row r="122" spans="1:247" x14ac:dyDescent="0.25">
      <c r="A122" s="310">
        <v>4521</v>
      </c>
      <c r="B122" s="299" t="s">
        <v>3047</v>
      </c>
      <c r="C122" s="239" t="s">
        <v>9</v>
      </c>
      <c r="D122" s="311" t="s">
        <v>2927</v>
      </c>
      <c r="E122" s="143"/>
      <c r="F122" s="90">
        <f t="shared" si="0"/>
        <v>1.0209999999999999</v>
      </c>
      <c r="G122" s="318"/>
      <c r="H122" s="143"/>
      <c r="I122" s="300"/>
      <c r="J122" s="300"/>
      <c r="K122" s="300"/>
      <c r="L122" s="300"/>
      <c r="M122" s="300"/>
      <c r="N122" s="318"/>
      <c r="O122" s="95"/>
      <c r="P122" s="143">
        <f t="shared" si="26"/>
        <v>1.032</v>
      </c>
      <c r="Q122" s="318">
        <f t="shared" si="27"/>
        <v>1.0349999999999999</v>
      </c>
      <c r="R122" s="96">
        <f>PRODUCT(E122:Q122)</f>
        <v>1.0905505199999999</v>
      </c>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row>
    <row r="123" spans="1:247" x14ac:dyDescent="0.25">
      <c r="A123" s="310">
        <v>5302</v>
      </c>
      <c r="B123" s="299" t="s">
        <v>3048</v>
      </c>
      <c r="C123" s="239" t="s">
        <v>205</v>
      </c>
      <c r="D123" s="311" t="s">
        <v>2935</v>
      </c>
      <c r="E123" s="143">
        <f>+$E$3</f>
        <v>1.0740000000000001</v>
      </c>
      <c r="F123" s="90">
        <f t="shared" si="0"/>
        <v>1.0209999999999999</v>
      </c>
      <c r="G123" s="318">
        <f t="shared" ref="G123:G129" si="28">+$G$3</f>
        <v>1.0269999999999999</v>
      </c>
      <c r="H123" s="143">
        <f>+$H$3</f>
        <v>1.0029999999999999</v>
      </c>
      <c r="I123" s="300">
        <f>+$I$3</f>
        <v>1.0289999999999999</v>
      </c>
      <c r="J123" s="300">
        <f>+$J$3</f>
        <v>1.0049999999999999</v>
      </c>
      <c r="K123" s="300">
        <f>+$K$3</f>
        <v>1.026</v>
      </c>
      <c r="L123" s="300">
        <f>+$L$3</f>
        <v>1.0129999999999999</v>
      </c>
      <c r="M123" s="300">
        <f>+$M$3</f>
        <v>1.0029999999999999</v>
      </c>
      <c r="N123" s="318">
        <f>+$N$3</f>
        <v>1.0029999999999999</v>
      </c>
      <c r="O123" s="95">
        <f>+$O$3</f>
        <v>1.0209999999999999</v>
      </c>
      <c r="P123" s="143">
        <f t="shared" si="26"/>
        <v>1.032</v>
      </c>
      <c r="Q123" s="318">
        <f t="shared" si="27"/>
        <v>1.0349999999999999</v>
      </c>
      <c r="R123" s="96">
        <f t="shared" si="1"/>
        <v>1.3319480854780448</v>
      </c>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row>
    <row r="124" spans="1:247" x14ac:dyDescent="0.25">
      <c r="A124" s="310">
        <v>5303</v>
      </c>
      <c r="B124" s="299" t="s">
        <v>3049</v>
      </c>
      <c r="C124" s="239" t="s">
        <v>205</v>
      </c>
      <c r="D124" s="311" t="s">
        <v>2935</v>
      </c>
      <c r="E124" s="143">
        <f>+$E$3</f>
        <v>1.0740000000000001</v>
      </c>
      <c r="F124" s="90">
        <f t="shared" si="0"/>
        <v>1.0209999999999999</v>
      </c>
      <c r="G124" s="318">
        <f t="shared" si="28"/>
        <v>1.0269999999999999</v>
      </c>
      <c r="H124" s="143">
        <f>+$H$3</f>
        <v>1.0029999999999999</v>
      </c>
      <c r="I124" s="300">
        <f>+$I$3</f>
        <v>1.0289999999999999</v>
      </c>
      <c r="J124" s="300">
        <f>+$J$3</f>
        <v>1.0049999999999999</v>
      </c>
      <c r="K124" s="300">
        <f>+$K$3</f>
        <v>1.026</v>
      </c>
      <c r="L124" s="300">
        <f>+$L$3</f>
        <v>1.0129999999999999</v>
      </c>
      <c r="M124" s="300">
        <f>+$M$3</f>
        <v>1.0029999999999999</v>
      </c>
      <c r="N124" s="318">
        <f>+$N$3</f>
        <v>1.0029999999999999</v>
      </c>
      <c r="O124" s="95">
        <f>+$O$3</f>
        <v>1.0209999999999999</v>
      </c>
      <c r="P124" s="143">
        <f t="shared" si="26"/>
        <v>1.032</v>
      </c>
      <c r="Q124" s="318">
        <f t="shared" si="27"/>
        <v>1.0349999999999999</v>
      </c>
      <c r="R124" s="96">
        <f t="shared" si="1"/>
        <v>1.3319480854780448</v>
      </c>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row>
    <row r="125" spans="1:247" x14ac:dyDescent="0.25">
      <c r="A125" s="310">
        <v>5304</v>
      </c>
      <c r="B125" s="299" t="s">
        <v>3050</v>
      </c>
      <c r="C125" s="239" t="s">
        <v>205</v>
      </c>
      <c r="D125" s="311" t="s">
        <v>2935</v>
      </c>
      <c r="E125" s="143">
        <f>+$E$3</f>
        <v>1.0740000000000001</v>
      </c>
      <c r="F125" s="90">
        <f t="shared" si="0"/>
        <v>1.0209999999999999</v>
      </c>
      <c r="G125" s="318">
        <f t="shared" si="28"/>
        <v>1.0269999999999999</v>
      </c>
      <c r="H125" s="143">
        <f>+$H$3</f>
        <v>1.0029999999999999</v>
      </c>
      <c r="I125" s="300">
        <f>+$I$3</f>
        <v>1.0289999999999999</v>
      </c>
      <c r="J125" s="300">
        <f>+$J$3</f>
        <v>1.0049999999999999</v>
      </c>
      <c r="K125" s="300">
        <f>+$K$3</f>
        <v>1.026</v>
      </c>
      <c r="L125" s="300">
        <f>+$L$3</f>
        <v>1.0129999999999999</v>
      </c>
      <c r="M125" s="300">
        <f>+$M$3</f>
        <v>1.0029999999999999</v>
      </c>
      <c r="N125" s="318">
        <f>+$N$3</f>
        <v>1.0029999999999999</v>
      </c>
      <c r="O125" s="95">
        <f>+$O$3</f>
        <v>1.0209999999999999</v>
      </c>
      <c r="P125" s="143">
        <f t="shared" si="26"/>
        <v>1.032</v>
      </c>
      <c r="Q125" s="318">
        <f t="shared" si="27"/>
        <v>1.0349999999999999</v>
      </c>
      <c r="R125" s="96">
        <f t="shared" si="1"/>
        <v>1.3319480854780448</v>
      </c>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row>
    <row r="126" spans="1:247" x14ac:dyDescent="0.25">
      <c r="A126" s="310">
        <v>5306</v>
      </c>
      <c r="B126" s="299" t="s">
        <v>3051</v>
      </c>
      <c r="C126" s="239" t="s">
        <v>205</v>
      </c>
      <c r="D126" s="311" t="s">
        <v>2935</v>
      </c>
      <c r="E126" s="143">
        <f>+$E$3</f>
        <v>1.0740000000000001</v>
      </c>
      <c r="F126" s="90">
        <f t="shared" si="0"/>
        <v>1.0209999999999999</v>
      </c>
      <c r="G126" s="318">
        <f t="shared" si="28"/>
        <v>1.0269999999999999</v>
      </c>
      <c r="H126" s="143">
        <f>+$H$3</f>
        <v>1.0029999999999999</v>
      </c>
      <c r="I126" s="300">
        <f>+$I$3</f>
        <v>1.0289999999999999</v>
      </c>
      <c r="J126" s="300">
        <f>+$J$3</f>
        <v>1.0049999999999999</v>
      </c>
      <c r="K126" s="300"/>
      <c r="L126" s="300">
        <f>+$L$3</f>
        <v>1.0129999999999999</v>
      </c>
      <c r="M126" s="300">
        <f>+$M$3</f>
        <v>1.0029999999999999</v>
      </c>
      <c r="N126" s="318">
        <f>+$N$3</f>
        <v>1.0029999999999999</v>
      </c>
      <c r="O126" s="95">
        <f>+$O$3</f>
        <v>1.0209999999999999</v>
      </c>
      <c r="P126" s="143">
        <f t="shared" si="26"/>
        <v>1.032</v>
      </c>
      <c r="Q126" s="318">
        <f t="shared" si="27"/>
        <v>1.0349999999999999</v>
      </c>
      <c r="R126" s="96">
        <f t="shared" si="1"/>
        <v>1.2981950150858137</v>
      </c>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row>
    <row r="127" spans="1:247" x14ac:dyDescent="0.25">
      <c r="A127" s="310">
        <v>5307</v>
      </c>
      <c r="B127" s="299" t="s">
        <v>3052</v>
      </c>
      <c r="C127" s="239" t="s">
        <v>205</v>
      </c>
      <c r="D127" s="311" t="s">
        <v>2935</v>
      </c>
      <c r="E127" s="143"/>
      <c r="F127" s="90">
        <f t="shared" si="0"/>
        <v>1.0209999999999999</v>
      </c>
      <c r="G127" s="318">
        <f t="shared" si="28"/>
        <v>1.0269999999999999</v>
      </c>
      <c r="H127" s="143"/>
      <c r="I127" s="300"/>
      <c r="J127" s="300"/>
      <c r="K127" s="300"/>
      <c r="L127" s="300"/>
      <c r="M127" s="300"/>
      <c r="N127" s="318"/>
      <c r="O127" s="95"/>
      <c r="P127" s="143">
        <f t="shared" si="26"/>
        <v>1.032</v>
      </c>
      <c r="Q127" s="318">
        <f t="shared" si="27"/>
        <v>1.0349999999999999</v>
      </c>
      <c r="R127" s="96">
        <f t="shared" si="1"/>
        <v>1.1199953840399997</v>
      </c>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row>
    <row r="128" spans="1:247" x14ac:dyDescent="0.25">
      <c r="A128" s="310">
        <v>6103</v>
      </c>
      <c r="B128" s="299" t="s">
        <v>3053</v>
      </c>
      <c r="C128" s="239" t="s">
        <v>205</v>
      </c>
      <c r="D128" s="311" t="s">
        <v>2935</v>
      </c>
      <c r="E128" s="143"/>
      <c r="F128" s="90">
        <f t="shared" si="0"/>
        <v>1.0209999999999999</v>
      </c>
      <c r="G128" s="318">
        <f t="shared" si="28"/>
        <v>1.0269999999999999</v>
      </c>
      <c r="H128" s="143">
        <f>+$H$3</f>
        <v>1.0029999999999999</v>
      </c>
      <c r="I128" s="300">
        <f>+$I$3</f>
        <v>1.0289999999999999</v>
      </c>
      <c r="J128" s="300">
        <f>+$J$3</f>
        <v>1.0049999999999999</v>
      </c>
      <c r="K128" s="300"/>
      <c r="L128" s="300"/>
      <c r="M128" s="300"/>
      <c r="N128" s="318"/>
      <c r="O128" s="95">
        <f>+$O$3</f>
        <v>1.0209999999999999</v>
      </c>
      <c r="P128" s="143">
        <f t="shared" si="26"/>
        <v>1.032</v>
      </c>
      <c r="Q128" s="318">
        <f t="shared" si="27"/>
        <v>1.0349999999999999</v>
      </c>
      <c r="R128" s="96">
        <f t="shared" si="1"/>
        <v>1.1861082984327833</v>
      </c>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row>
    <row r="129" spans="1:247" x14ac:dyDescent="0.25">
      <c r="A129" s="310">
        <v>6107</v>
      </c>
      <c r="B129" s="299" t="s">
        <v>3054</v>
      </c>
      <c r="C129" s="239" t="s">
        <v>205</v>
      </c>
      <c r="D129" s="311" t="s">
        <v>2935</v>
      </c>
      <c r="E129" s="143">
        <f>+$E$3</f>
        <v>1.0740000000000001</v>
      </c>
      <c r="F129" s="90">
        <f t="shared" si="0"/>
        <v>1.0209999999999999</v>
      </c>
      <c r="G129" s="318">
        <f t="shared" si="28"/>
        <v>1.0269999999999999</v>
      </c>
      <c r="H129" s="143">
        <f>+$H$3</f>
        <v>1.0029999999999999</v>
      </c>
      <c r="I129" s="300">
        <f>+$I$3</f>
        <v>1.0289999999999999</v>
      </c>
      <c r="J129" s="300">
        <f>+$J$3</f>
        <v>1.0049999999999999</v>
      </c>
      <c r="K129" s="300">
        <f>+$K$3</f>
        <v>1.026</v>
      </c>
      <c r="L129" s="300">
        <f>+$L$3</f>
        <v>1.0129999999999999</v>
      </c>
      <c r="M129" s="300">
        <f>+$M$3</f>
        <v>1.0029999999999999</v>
      </c>
      <c r="N129" s="318">
        <f>+$N$3</f>
        <v>1.0029999999999999</v>
      </c>
      <c r="O129" s="95">
        <f>+$O$3</f>
        <v>1.0209999999999999</v>
      </c>
      <c r="P129" s="143">
        <f t="shared" si="26"/>
        <v>1.032</v>
      </c>
      <c r="Q129" s="318">
        <f t="shared" si="27"/>
        <v>1.0349999999999999</v>
      </c>
      <c r="R129" s="96">
        <f>PRODUCT(E129:Q129)</f>
        <v>1.3319480854780448</v>
      </c>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row>
    <row r="130" spans="1:247" x14ac:dyDescent="0.25">
      <c r="A130" s="310">
        <v>6900</v>
      </c>
      <c r="B130" s="299" t="s">
        <v>3055</v>
      </c>
      <c r="C130" s="239" t="s">
        <v>76</v>
      </c>
      <c r="D130" s="311" t="s">
        <v>2927</v>
      </c>
      <c r="E130" s="143"/>
      <c r="F130" s="90">
        <f t="shared" si="0"/>
        <v>1.0209999999999999</v>
      </c>
      <c r="G130" s="318"/>
      <c r="H130" s="143"/>
      <c r="I130" s="300"/>
      <c r="J130" s="300"/>
      <c r="K130" s="300"/>
      <c r="L130" s="300"/>
      <c r="M130" s="300"/>
      <c r="N130" s="318"/>
      <c r="O130" s="95"/>
      <c r="P130" s="143"/>
      <c r="Q130" s="318"/>
      <c r="R130" s="96">
        <f t="shared" si="1"/>
        <v>1.0209999999999999</v>
      </c>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row>
    <row r="131" spans="1:247" x14ac:dyDescent="0.25">
      <c r="A131" s="310">
        <v>7120</v>
      </c>
      <c r="B131" s="299" t="s">
        <v>3056</v>
      </c>
      <c r="C131" s="239" t="s">
        <v>205</v>
      </c>
      <c r="D131" s="311" t="s">
        <v>2935</v>
      </c>
      <c r="E131" s="143"/>
      <c r="F131" s="90">
        <f t="shared" si="0"/>
        <v>1.0209999999999999</v>
      </c>
      <c r="G131" s="318"/>
      <c r="H131" s="143"/>
      <c r="I131" s="300"/>
      <c r="J131" s="300"/>
      <c r="K131" s="300"/>
      <c r="L131" s="300"/>
      <c r="M131" s="300"/>
      <c r="N131" s="318"/>
      <c r="O131" s="95"/>
      <c r="P131" s="143"/>
      <c r="Q131" s="318"/>
      <c r="R131" s="96">
        <f t="shared" si="1"/>
        <v>1.0209999999999999</v>
      </c>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row>
    <row r="132" spans="1:247" x14ac:dyDescent="0.25">
      <c r="A132" s="310">
        <v>7130</v>
      </c>
      <c r="B132" s="299" t="s">
        <v>3057</v>
      </c>
      <c r="C132" s="239" t="s">
        <v>9</v>
      </c>
      <c r="D132" s="311" t="s">
        <v>2930</v>
      </c>
      <c r="E132" s="143"/>
      <c r="F132" s="90">
        <f t="shared" si="0"/>
        <v>1.0209999999999999</v>
      </c>
      <c r="G132" s="318"/>
      <c r="H132" s="143"/>
      <c r="I132" s="300"/>
      <c r="J132" s="300"/>
      <c r="K132" s="300"/>
      <c r="L132" s="300"/>
      <c r="M132" s="300"/>
      <c r="N132" s="318"/>
      <c r="O132" s="95"/>
      <c r="P132" s="143"/>
      <c r="Q132" s="318"/>
      <c r="R132" s="96">
        <f t="shared" si="1"/>
        <v>1.0209999999999999</v>
      </c>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row>
    <row r="133" spans="1:247" x14ac:dyDescent="0.25">
      <c r="A133" s="310">
        <v>7141</v>
      </c>
      <c r="B133" s="299" t="s">
        <v>3058</v>
      </c>
      <c r="C133" s="239" t="s">
        <v>205</v>
      </c>
      <c r="D133" s="311" t="s">
        <v>2935</v>
      </c>
      <c r="E133" s="143"/>
      <c r="F133" s="90">
        <f t="shared" ref="F133:F203" si="29">+$F$3</f>
        <v>1.0209999999999999</v>
      </c>
      <c r="G133" s="318"/>
      <c r="H133" s="143"/>
      <c r="I133" s="300"/>
      <c r="J133" s="300"/>
      <c r="K133" s="300"/>
      <c r="L133" s="300"/>
      <c r="M133" s="300"/>
      <c r="N133" s="318"/>
      <c r="O133" s="95"/>
      <c r="P133" s="143">
        <f>+$P$3</f>
        <v>1.032</v>
      </c>
      <c r="Q133" s="318">
        <f>+$Q$3</f>
        <v>1.0349999999999999</v>
      </c>
      <c r="R133" s="96">
        <f t="shared" ref="R133:R203" si="30">PRODUCT(E133:Q133)</f>
        <v>1.0905505199999999</v>
      </c>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row>
    <row r="134" spans="1:247" x14ac:dyDescent="0.25">
      <c r="A134" s="310">
        <v>7142</v>
      </c>
      <c r="B134" s="299" t="s">
        <v>3059</v>
      </c>
      <c r="C134" s="239" t="s">
        <v>205</v>
      </c>
      <c r="D134" s="311" t="s">
        <v>2935</v>
      </c>
      <c r="E134" s="143"/>
      <c r="F134" s="90">
        <f t="shared" si="29"/>
        <v>1.0209999999999999</v>
      </c>
      <c r="G134" s="318"/>
      <c r="H134" s="143"/>
      <c r="I134" s="300"/>
      <c r="J134" s="300"/>
      <c r="K134" s="300"/>
      <c r="L134" s="300"/>
      <c r="M134" s="300"/>
      <c r="N134" s="318"/>
      <c r="O134" s="95"/>
      <c r="P134" s="143"/>
      <c r="Q134" s="318"/>
      <c r="R134" s="96">
        <f t="shared" si="30"/>
        <v>1.0209999999999999</v>
      </c>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row>
    <row r="135" spans="1:247" x14ac:dyDescent="0.25">
      <c r="A135" s="310">
        <v>7143</v>
      </c>
      <c r="B135" s="299" t="s">
        <v>3060</v>
      </c>
      <c r="C135" s="239" t="s">
        <v>205</v>
      </c>
      <c r="D135" s="311" t="s">
        <v>2935</v>
      </c>
      <c r="E135" s="143"/>
      <c r="F135" s="90">
        <f t="shared" si="29"/>
        <v>1.0209999999999999</v>
      </c>
      <c r="G135" s="318"/>
      <c r="H135" s="143"/>
      <c r="I135" s="300"/>
      <c r="J135" s="300"/>
      <c r="K135" s="300"/>
      <c r="L135" s="300"/>
      <c r="M135" s="300"/>
      <c r="N135" s="318"/>
      <c r="O135" s="95"/>
      <c r="P135" s="143"/>
      <c r="Q135" s="318"/>
      <c r="R135" s="96">
        <f t="shared" si="30"/>
        <v>1.0209999999999999</v>
      </c>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row>
    <row r="136" spans="1:247" x14ac:dyDescent="0.25">
      <c r="A136" s="310">
        <v>7145</v>
      </c>
      <c r="B136" s="299" t="s">
        <v>3061</v>
      </c>
      <c r="C136" s="239" t="s">
        <v>205</v>
      </c>
      <c r="D136" s="311" t="s">
        <v>2935</v>
      </c>
      <c r="E136" s="143"/>
      <c r="F136" s="90">
        <f t="shared" si="29"/>
        <v>1.0209999999999999</v>
      </c>
      <c r="G136" s="318"/>
      <c r="H136" s="143"/>
      <c r="I136" s="300"/>
      <c r="J136" s="300"/>
      <c r="K136" s="300"/>
      <c r="L136" s="300"/>
      <c r="M136" s="300"/>
      <c r="N136" s="318"/>
      <c r="O136" s="95"/>
      <c r="P136" s="143"/>
      <c r="Q136" s="318"/>
      <c r="R136" s="96">
        <f t="shared" si="30"/>
        <v>1.0209999999999999</v>
      </c>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row>
    <row r="137" spans="1:247" x14ac:dyDescent="0.25">
      <c r="A137" s="310">
        <v>7147</v>
      </c>
      <c r="B137" s="299" t="s">
        <v>3062</v>
      </c>
      <c r="C137" s="239" t="s">
        <v>205</v>
      </c>
      <c r="D137" s="311" t="s">
        <v>2927</v>
      </c>
      <c r="E137" s="143"/>
      <c r="F137" s="90">
        <f t="shared" si="29"/>
        <v>1.0209999999999999</v>
      </c>
      <c r="G137" s="318"/>
      <c r="H137" s="143"/>
      <c r="I137" s="300"/>
      <c r="J137" s="300"/>
      <c r="K137" s="300"/>
      <c r="L137" s="300"/>
      <c r="M137" s="300"/>
      <c r="N137" s="318"/>
      <c r="O137" s="95"/>
      <c r="P137" s="143">
        <f>+$P$3</f>
        <v>1.032</v>
      </c>
      <c r="Q137" s="318">
        <f>+$Q$3</f>
        <v>1.0349999999999999</v>
      </c>
      <c r="R137" s="96">
        <f t="shared" si="30"/>
        <v>1.0905505199999999</v>
      </c>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row>
    <row r="138" spans="1:247" x14ac:dyDescent="0.25">
      <c r="A138" s="310">
        <v>7215</v>
      </c>
      <c r="B138" s="299" t="s">
        <v>3063</v>
      </c>
      <c r="C138" s="239" t="s">
        <v>205</v>
      </c>
      <c r="D138" s="311" t="s">
        <v>2935</v>
      </c>
      <c r="E138" s="143">
        <f>+$E$3</f>
        <v>1.0740000000000001</v>
      </c>
      <c r="F138" s="90">
        <f t="shared" si="29"/>
        <v>1.0209999999999999</v>
      </c>
      <c r="G138" s="318">
        <f>+$G$3</f>
        <v>1.0269999999999999</v>
      </c>
      <c r="H138" s="143">
        <f>+$H$3</f>
        <v>1.0029999999999999</v>
      </c>
      <c r="I138" s="300">
        <f>+$I$3</f>
        <v>1.0289999999999999</v>
      </c>
      <c r="J138" s="300">
        <f>+$J$3</f>
        <v>1.0049999999999999</v>
      </c>
      <c r="K138" s="300">
        <f>+$K$3</f>
        <v>1.026</v>
      </c>
      <c r="L138" s="300">
        <f>+$L$3</f>
        <v>1.0129999999999999</v>
      </c>
      <c r="M138" s="300">
        <f>+$M$3</f>
        <v>1.0029999999999999</v>
      </c>
      <c r="N138" s="318">
        <f>+$N$3</f>
        <v>1.0029999999999999</v>
      </c>
      <c r="O138" s="95">
        <f>+$O$3</f>
        <v>1.0209999999999999</v>
      </c>
      <c r="P138" s="143">
        <f>+$P$3</f>
        <v>1.032</v>
      </c>
      <c r="Q138" s="318">
        <f>+$Q$3</f>
        <v>1.0349999999999999</v>
      </c>
      <c r="R138" s="96">
        <f t="shared" si="30"/>
        <v>1.3319480854780448</v>
      </c>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row>
    <row r="139" spans="1:247" x14ac:dyDescent="0.25">
      <c r="A139" s="310">
        <v>7231</v>
      </c>
      <c r="B139" s="299" t="s">
        <v>3064</v>
      </c>
      <c r="C139" s="239" t="s">
        <v>205</v>
      </c>
      <c r="D139" s="311" t="s">
        <v>2935</v>
      </c>
      <c r="E139" s="143">
        <f>+$E$3</f>
        <v>1.0740000000000001</v>
      </c>
      <c r="F139" s="90">
        <f t="shared" si="29"/>
        <v>1.0209999999999999</v>
      </c>
      <c r="G139" s="318">
        <f>+$G$3</f>
        <v>1.0269999999999999</v>
      </c>
      <c r="H139" s="143"/>
      <c r="I139" s="300"/>
      <c r="J139" s="300"/>
      <c r="K139" s="300"/>
      <c r="L139" s="300"/>
      <c r="M139" s="300">
        <f>+$M$3</f>
        <v>1.0029999999999999</v>
      </c>
      <c r="N139" s="318"/>
      <c r="O139" s="95"/>
      <c r="P139" s="143"/>
      <c r="Q139" s="318">
        <f>+$Q$3</f>
        <v>1.0349999999999999</v>
      </c>
      <c r="R139" s="96">
        <f t="shared" si="30"/>
        <v>1.1690733213045894</v>
      </c>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row>
    <row r="140" spans="1:247" x14ac:dyDescent="0.25">
      <c r="A140" s="310">
        <v>7232</v>
      </c>
      <c r="B140" s="299" t="s">
        <v>3065</v>
      </c>
      <c r="C140" s="239" t="s">
        <v>205</v>
      </c>
      <c r="D140" s="311" t="s">
        <v>2935</v>
      </c>
      <c r="E140" s="143"/>
      <c r="F140" s="90">
        <f t="shared" si="29"/>
        <v>1.0209999999999999</v>
      </c>
      <c r="G140" s="318"/>
      <c r="H140" s="143">
        <f>+$H$3</f>
        <v>1.0029999999999999</v>
      </c>
      <c r="I140" s="300"/>
      <c r="J140" s="300"/>
      <c r="K140" s="300"/>
      <c r="L140" s="300"/>
      <c r="M140" s="300"/>
      <c r="N140" s="318"/>
      <c r="O140" s="95"/>
      <c r="P140" s="143">
        <f>+$P$3</f>
        <v>1.032</v>
      </c>
      <c r="Q140" s="318">
        <f>+$Q$3</f>
        <v>1.0349999999999999</v>
      </c>
      <c r="R140" s="96">
        <f t="shared" si="30"/>
        <v>1.0938221715599996</v>
      </c>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row>
    <row r="141" spans="1:247" x14ac:dyDescent="0.25">
      <c r="A141" s="310">
        <v>7233</v>
      </c>
      <c r="B141" s="299" t="s">
        <v>3066</v>
      </c>
      <c r="C141" s="239" t="s">
        <v>205</v>
      </c>
      <c r="D141" s="311" t="s">
        <v>2935</v>
      </c>
      <c r="E141" s="143"/>
      <c r="F141" s="90">
        <f t="shared" si="29"/>
        <v>1.0209999999999999</v>
      </c>
      <c r="G141" s="318">
        <f>+$G$3</f>
        <v>1.0269999999999999</v>
      </c>
      <c r="H141" s="143">
        <f>+$H$3</f>
        <v>1.0029999999999999</v>
      </c>
      <c r="I141" s="300"/>
      <c r="J141" s="300">
        <f>+$J$3</f>
        <v>1.0049999999999999</v>
      </c>
      <c r="K141" s="300"/>
      <c r="L141" s="300"/>
      <c r="M141" s="300"/>
      <c r="N141" s="318"/>
      <c r="O141" s="95"/>
      <c r="P141" s="143"/>
      <c r="Q141" s="318"/>
      <c r="R141" s="96">
        <f t="shared" si="30"/>
        <v>1.0569712645049996</v>
      </c>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row>
    <row r="142" spans="1:247" x14ac:dyDescent="0.25">
      <c r="A142" s="310">
        <v>7234</v>
      </c>
      <c r="B142" s="299" t="s">
        <v>3067</v>
      </c>
      <c r="C142" s="239" t="s">
        <v>205</v>
      </c>
      <c r="D142" s="311" t="s">
        <v>2935</v>
      </c>
      <c r="E142" s="143"/>
      <c r="F142" s="90">
        <f t="shared" si="29"/>
        <v>1.0209999999999999</v>
      </c>
      <c r="G142" s="318">
        <f>+$G$3</f>
        <v>1.0269999999999999</v>
      </c>
      <c r="H142" s="143"/>
      <c r="I142" s="300"/>
      <c r="J142" s="300"/>
      <c r="K142" s="300">
        <f>+$K$3</f>
        <v>1.026</v>
      </c>
      <c r="L142" s="300">
        <f>+$L$3</f>
        <v>1.0129999999999999</v>
      </c>
      <c r="M142" s="300"/>
      <c r="N142" s="318">
        <f>+$N$3</f>
        <v>1.0029999999999999</v>
      </c>
      <c r="O142" s="95"/>
      <c r="P142" s="143">
        <f>+$P$3</f>
        <v>1.032</v>
      </c>
      <c r="Q142" s="318">
        <f>+$Q$3</f>
        <v>1.0349999999999999</v>
      </c>
      <c r="R142" s="96">
        <f t="shared" si="30"/>
        <v>1.1675459237447372</v>
      </c>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row>
    <row r="143" spans="1:247" x14ac:dyDescent="0.25">
      <c r="A143" s="310">
        <v>7235</v>
      </c>
      <c r="B143" s="299" t="s">
        <v>3068</v>
      </c>
      <c r="C143" s="239" t="s">
        <v>76</v>
      </c>
      <c r="D143" s="311" t="s">
        <v>2927</v>
      </c>
      <c r="E143" s="143"/>
      <c r="F143" s="90">
        <f t="shared" si="29"/>
        <v>1.0209999999999999</v>
      </c>
      <c r="G143" s="318"/>
      <c r="H143" s="143"/>
      <c r="I143" s="300"/>
      <c r="J143" s="300"/>
      <c r="K143" s="300"/>
      <c r="L143" s="300"/>
      <c r="M143" s="300"/>
      <c r="N143" s="318"/>
      <c r="O143" s="95"/>
      <c r="P143" s="143"/>
      <c r="Q143" s="318"/>
      <c r="R143" s="96">
        <f t="shared" si="30"/>
        <v>1.0209999999999999</v>
      </c>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row>
    <row r="144" spans="1:247" x14ac:dyDescent="0.25">
      <c r="A144" s="310">
        <v>7236</v>
      </c>
      <c r="B144" s="299" t="s">
        <v>3069</v>
      </c>
      <c r="C144" s="239" t="s">
        <v>205</v>
      </c>
      <c r="D144" s="311" t="s">
        <v>2927</v>
      </c>
      <c r="E144" s="143"/>
      <c r="F144" s="90">
        <f t="shared" si="29"/>
        <v>1.0209999999999999</v>
      </c>
      <c r="G144" s="318"/>
      <c r="H144" s="143"/>
      <c r="I144" s="300"/>
      <c r="J144" s="300"/>
      <c r="K144" s="300"/>
      <c r="L144" s="300"/>
      <c r="M144" s="300"/>
      <c r="N144" s="318"/>
      <c r="O144" s="95"/>
      <c r="P144" s="143">
        <f>+$P$3</f>
        <v>1.032</v>
      </c>
      <c r="Q144" s="318">
        <f>+$Q$3</f>
        <v>1.0349999999999999</v>
      </c>
      <c r="R144" s="96">
        <f>PRODUCT(E144:Q144)</f>
        <v>1.0905505199999999</v>
      </c>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row>
    <row r="145" spans="1:247" x14ac:dyDescent="0.25">
      <c r="A145" s="310">
        <v>7241</v>
      </c>
      <c r="B145" s="299" t="s">
        <v>3070</v>
      </c>
      <c r="C145" s="239" t="s">
        <v>205</v>
      </c>
      <c r="D145" s="311" t="s">
        <v>2935</v>
      </c>
      <c r="E145" s="143">
        <f t="shared" ref="E145:E150" si="31">+$E$3</f>
        <v>1.0740000000000001</v>
      </c>
      <c r="F145" s="90">
        <f t="shared" si="29"/>
        <v>1.0209999999999999</v>
      </c>
      <c r="G145" s="318">
        <f t="shared" ref="G145:G152" si="32">+$G$3</f>
        <v>1.0269999999999999</v>
      </c>
      <c r="H145" s="143">
        <f t="shared" ref="H145:H152" si="33">+$H$3</f>
        <v>1.0029999999999999</v>
      </c>
      <c r="I145" s="300">
        <f t="shared" ref="I145:I152" si="34">+$I$3</f>
        <v>1.0289999999999999</v>
      </c>
      <c r="J145" s="300">
        <f t="shared" ref="J145:J152" si="35">+$J$3</f>
        <v>1.0049999999999999</v>
      </c>
      <c r="K145" s="300">
        <f t="shared" ref="K145:K150" si="36">+$K$3</f>
        <v>1.026</v>
      </c>
      <c r="L145" s="300">
        <f t="shared" ref="L145:L152" si="37">+$L$3</f>
        <v>1.0129999999999999</v>
      </c>
      <c r="M145" s="300">
        <f t="shared" ref="M145:M152" si="38">+$M$3</f>
        <v>1.0029999999999999</v>
      </c>
      <c r="N145" s="318">
        <f t="shared" ref="N145:N152" si="39">+$N$3</f>
        <v>1.0029999999999999</v>
      </c>
      <c r="O145" s="95">
        <f t="shared" ref="O145:O150" si="40">+$O$3</f>
        <v>1.0209999999999999</v>
      </c>
      <c r="P145" s="143">
        <f t="shared" ref="P145:P152" si="41">+$P$3</f>
        <v>1.032</v>
      </c>
      <c r="Q145" s="318">
        <f t="shared" ref="Q145:Q152" si="42">+$Q$3</f>
        <v>1.0349999999999999</v>
      </c>
      <c r="R145" s="96">
        <f t="shared" si="30"/>
        <v>1.3319480854780448</v>
      </c>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row>
    <row r="146" spans="1:247" x14ac:dyDescent="0.25">
      <c r="A146" s="310">
        <v>7242</v>
      </c>
      <c r="B146" s="299" t="s">
        <v>3071</v>
      </c>
      <c r="C146" s="239" t="s">
        <v>205</v>
      </c>
      <c r="D146" s="311" t="s">
        <v>2935</v>
      </c>
      <c r="E146" s="143">
        <f t="shared" si="31"/>
        <v>1.0740000000000001</v>
      </c>
      <c r="F146" s="90">
        <f t="shared" si="29"/>
        <v>1.0209999999999999</v>
      </c>
      <c r="G146" s="318">
        <f t="shared" si="32"/>
        <v>1.0269999999999999</v>
      </c>
      <c r="H146" s="143">
        <f t="shared" si="33"/>
        <v>1.0029999999999999</v>
      </c>
      <c r="I146" s="300">
        <f t="shared" si="34"/>
        <v>1.0289999999999999</v>
      </c>
      <c r="J146" s="300">
        <f t="shared" si="35"/>
        <v>1.0049999999999999</v>
      </c>
      <c r="K146" s="300">
        <f t="shared" si="36"/>
        <v>1.026</v>
      </c>
      <c r="L146" s="300">
        <f t="shared" si="37"/>
        <v>1.0129999999999999</v>
      </c>
      <c r="M146" s="300">
        <f t="shared" si="38"/>
        <v>1.0029999999999999</v>
      </c>
      <c r="N146" s="318">
        <f t="shared" si="39"/>
        <v>1.0029999999999999</v>
      </c>
      <c r="O146" s="95">
        <f t="shared" si="40"/>
        <v>1.0209999999999999</v>
      </c>
      <c r="P146" s="143">
        <f t="shared" si="41"/>
        <v>1.032</v>
      </c>
      <c r="Q146" s="318">
        <f t="shared" si="42"/>
        <v>1.0349999999999999</v>
      </c>
      <c r="R146" s="96">
        <f t="shared" si="30"/>
        <v>1.3319480854780448</v>
      </c>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row>
    <row r="147" spans="1:247" x14ac:dyDescent="0.25">
      <c r="A147" s="310">
        <v>7250</v>
      </c>
      <c r="B147" s="299" t="s">
        <v>3072</v>
      </c>
      <c r="C147" s="239" t="s">
        <v>205</v>
      </c>
      <c r="D147" s="311" t="s">
        <v>2935</v>
      </c>
      <c r="E147" s="143">
        <f t="shared" si="31"/>
        <v>1.0740000000000001</v>
      </c>
      <c r="F147" s="90">
        <f t="shared" si="29"/>
        <v>1.0209999999999999</v>
      </c>
      <c r="G147" s="318">
        <f t="shared" si="32"/>
        <v>1.0269999999999999</v>
      </c>
      <c r="H147" s="143">
        <f t="shared" si="33"/>
        <v>1.0029999999999999</v>
      </c>
      <c r="I147" s="300">
        <f t="shared" si="34"/>
        <v>1.0289999999999999</v>
      </c>
      <c r="J147" s="300">
        <f t="shared" si="35"/>
        <v>1.0049999999999999</v>
      </c>
      <c r="K147" s="300">
        <f t="shared" si="36"/>
        <v>1.026</v>
      </c>
      <c r="L147" s="300">
        <f t="shared" si="37"/>
        <v>1.0129999999999999</v>
      </c>
      <c r="M147" s="300">
        <f t="shared" si="38"/>
        <v>1.0029999999999999</v>
      </c>
      <c r="N147" s="318">
        <f t="shared" si="39"/>
        <v>1.0029999999999999</v>
      </c>
      <c r="O147" s="95">
        <f t="shared" si="40"/>
        <v>1.0209999999999999</v>
      </c>
      <c r="P147" s="143">
        <f t="shared" si="41"/>
        <v>1.032</v>
      </c>
      <c r="Q147" s="318">
        <f t="shared" si="42"/>
        <v>1.0349999999999999</v>
      </c>
      <c r="R147" s="96">
        <f t="shared" si="30"/>
        <v>1.3319480854780448</v>
      </c>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row>
    <row r="148" spans="1:247" x14ac:dyDescent="0.25">
      <c r="A148" s="310">
        <v>7312</v>
      </c>
      <c r="B148" s="299" t="s">
        <v>3073</v>
      </c>
      <c r="C148" s="239" t="s">
        <v>205</v>
      </c>
      <c r="D148" s="311" t="s">
        <v>2935</v>
      </c>
      <c r="E148" s="143">
        <f t="shared" si="31"/>
        <v>1.0740000000000001</v>
      </c>
      <c r="F148" s="90">
        <f t="shared" si="29"/>
        <v>1.0209999999999999</v>
      </c>
      <c r="G148" s="318">
        <f t="shared" si="32"/>
        <v>1.0269999999999999</v>
      </c>
      <c r="H148" s="143">
        <f t="shared" si="33"/>
        <v>1.0029999999999999</v>
      </c>
      <c r="I148" s="300">
        <f t="shared" si="34"/>
        <v>1.0289999999999999</v>
      </c>
      <c r="J148" s="300">
        <f t="shared" si="35"/>
        <v>1.0049999999999999</v>
      </c>
      <c r="K148" s="300">
        <f t="shared" si="36"/>
        <v>1.026</v>
      </c>
      <c r="L148" s="300">
        <f t="shared" si="37"/>
        <v>1.0129999999999999</v>
      </c>
      <c r="M148" s="300">
        <f t="shared" si="38"/>
        <v>1.0029999999999999</v>
      </c>
      <c r="N148" s="318">
        <f t="shared" si="39"/>
        <v>1.0029999999999999</v>
      </c>
      <c r="O148" s="95">
        <f t="shared" si="40"/>
        <v>1.0209999999999999</v>
      </c>
      <c r="P148" s="143">
        <f t="shared" si="41"/>
        <v>1.032</v>
      </c>
      <c r="Q148" s="318">
        <f t="shared" si="42"/>
        <v>1.0349999999999999</v>
      </c>
      <c r="R148" s="96">
        <f t="shared" si="30"/>
        <v>1.3319480854780448</v>
      </c>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row>
    <row r="149" spans="1:247" x14ac:dyDescent="0.25">
      <c r="A149" s="310">
        <v>7313</v>
      </c>
      <c r="B149" s="299" t="s">
        <v>3074</v>
      </c>
      <c r="C149" s="239" t="s">
        <v>205</v>
      </c>
      <c r="D149" s="311" t="s">
        <v>2935</v>
      </c>
      <c r="E149" s="143">
        <f t="shared" si="31"/>
        <v>1.0740000000000001</v>
      </c>
      <c r="F149" s="90">
        <f t="shared" si="29"/>
        <v>1.0209999999999999</v>
      </c>
      <c r="G149" s="318">
        <f t="shared" si="32"/>
        <v>1.0269999999999999</v>
      </c>
      <c r="H149" s="143">
        <f t="shared" si="33"/>
        <v>1.0029999999999999</v>
      </c>
      <c r="I149" s="300">
        <f t="shared" si="34"/>
        <v>1.0289999999999999</v>
      </c>
      <c r="J149" s="300">
        <f t="shared" si="35"/>
        <v>1.0049999999999999</v>
      </c>
      <c r="K149" s="300">
        <f t="shared" si="36"/>
        <v>1.026</v>
      </c>
      <c r="L149" s="300">
        <f t="shared" si="37"/>
        <v>1.0129999999999999</v>
      </c>
      <c r="M149" s="300">
        <f t="shared" si="38"/>
        <v>1.0029999999999999</v>
      </c>
      <c r="N149" s="318">
        <f t="shared" si="39"/>
        <v>1.0029999999999999</v>
      </c>
      <c r="O149" s="95">
        <f t="shared" si="40"/>
        <v>1.0209999999999999</v>
      </c>
      <c r="P149" s="143">
        <f t="shared" si="41"/>
        <v>1.032</v>
      </c>
      <c r="Q149" s="318">
        <f t="shared" si="42"/>
        <v>1.0349999999999999</v>
      </c>
      <c r="R149" s="96">
        <f t="shared" si="30"/>
        <v>1.3319480854780448</v>
      </c>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row>
    <row r="150" spans="1:247" x14ac:dyDescent="0.25">
      <c r="A150" s="310">
        <v>7314</v>
      </c>
      <c r="B150" s="299" t="s">
        <v>3075</v>
      </c>
      <c r="C150" s="239" t="s">
        <v>205</v>
      </c>
      <c r="D150" s="311" t="s">
        <v>2935</v>
      </c>
      <c r="E150" s="143">
        <f t="shared" si="31"/>
        <v>1.0740000000000001</v>
      </c>
      <c r="F150" s="90">
        <f t="shared" si="29"/>
        <v>1.0209999999999999</v>
      </c>
      <c r="G150" s="318">
        <f t="shared" si="32"/>
        <v>1.0269999999999999</v>
      </c>
      <c r="H150" s="143">
        <f t="shared" si="33"/>
        <v>1.0029999999999999</v>
      </c>
      <c r="I150" s="300">
        <f t="shared" si="34"/>
        <v>1.0289999999999999</v>
      </c>
      <c r="J150" s="300">
        <f t="shared" si="35"/>
        <v>1.0049999999999999</v>
      </c>
      <c r="K150" s="300">
        <f t="shared" si="36"/>
        <v>1.026</v>
      </c>
      <c r="L150" s="300">
        <f t="shared" si="37"/>
        <v>1.0129999999999999</v>
      </c>
      <c r="M150" s="300">
        <f t="shared" si="38"/>
        <v>1.0029999999999999</v>
      </c>
      <c r="N150" s="318">
        <f t="shared" si="39"/>
        <v>1.0029999999999999</v>
      </c>
      <c r="O150" s="95">
        <f t="shared" si="40"/>
        <v>1.0209999999999999</v>
      </c>
      <c r="P150" s="143">
        <f t="shared" si="41"/>
        <v>1.032</v>
      </c>
      <c r="Q150" s="318">
        <f t="shared" si="42"/>
        <v>1.0349999999999999</v>
      </c>
      <c r="R150" s="96">
        <f t="shared" si="30"/>
        <v>1.3319480854780448</v>
      </c>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row>
    <row r="151" spans="1:247" x14ac:dyDescent="0.25">
      <c r="A151" s="310">
        <v>7321</v>
      </c>
      <c r="B151" s="299" t="s">
        <v>3076</v>
      </c>
      <c r="C151" s="239" t="s">
        <v>205</v>
      </c>
      <c r="D151" s="311" t="s">
        <v>2935</v>
      </c>
      <c r="E151" s="143"/>
      <c r="F151" s="90">
        <f t="shared" si="29"/>
        <v>1.0209999999999999</v>
      </c>
      <c r="G151" s="318">
        <f t="shared" si="32"/>
        <v>1.0269999999999999</v>
      </c>
      <c r="H151" s="143">
        <f t="shared" si="33"/>
        <v>1.0029999999999999</v>
      </c>
      <c r="I151" s="300">
        <f t="shared" si="34"/>
        <v>1.0289999999999999</v>
      </c>
      <c r="J151" s="300">
        <f t="shared" si="35"/>
        <v>1.0049999999999999</v>
      </c>
      <c r="K151" s="300"/>
      <c r="L151" s="300">
        <f t="shared" si="37"/>
        <v>1.0129999999999999</v>
      </c>
      <c r="M151" s="300">
        <f t="shared" si="38"/>
        <v>1.0029999999999999</v>
      </c>
      <c r="N151" s="318">
        <f t="shared" si="39"/>
        <v>1.0029999999999999</v>
      </c>
      <c r="O151" s="95"/>
      <c r="P151" s="143">
        <f t="shared" si="41"/>
        <v>1.032</v>
      </c>
      <c r="Q151" s="318">
        <f t="shared" si="42"/>
        <v>1.0349999999999999</v>
      </c>
      <c r="R151" s="96">
        <f t="shared" si="30"/>
        <v>1.1838860786480316</v>
      </c>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row>
    <row r="152" spans="1:247" x14ac:dyDescent="0.25">
      <c r="A152" s="310">
        <v>7322</v>
      </c>
      <c r="B152" s="299" t="s">
        <v>3077</v>
      </c>
      <c r="C152" s="239" t="s">
        <v>205</v>
      </c>
      <c r="D152" s="311" t="s">
        <v>2935</v>
      </c>
      <c r="E152" s="143"/>
      <c r="F152" s="90">
        <f t="shared" si="29"/>
        <v>1.0209999999999999</v>
      </c>
      <c r="G152" s="318">
        <f t="shared" si="32"/>
        <v>1.0269999999999999</v>
      </c>
      <c r="H152" s="143">
        <f t="shared" si="33"/>
        <v>1.0029999999999999</v>
      </c>
      <c r="I152" s="300">
        <f t="shared" si="34"/>
        <v>1.0289999999999999</v>
      </c>
      <c r="J152" s="300">
        <f t="shared" si="35"/>
        <v>1.0049999999999999</v>
      </c>
      <c r="K152" s="300"/>
      <c r="L152" s="300">
        <f t="shared" si="37"/>
        <v>1.0129999999999999</v>
      </c>
      <c r="M152" s="300">
        <f t="shared" si="38"/>
        <v>1.0029999999999999</v>
      </c>
      <c r="N152" s="318">
        <f t="shared" si="39"/>
        <v>1.0029999999999999</v>
      </c>
      <c r="O152" s="95"/>
      <c r="P152" s="143">
        <f t="shared" si="41"/>
        <v>1.032</v>
      </c>
      <c r="Q152" s="318">
        <f t="shared" si="42"/>
        <v>1.0349999999999999</v>
      </c>
      <c r="R152" s="96">
        <f t="shared" si="30"/>
        <v>1.1838860786480316</v>
      </c>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row>
    <row r="153" spans="1:247" x14ac:dyDescent="0.25">
      <c r="A153" s="310">
        <v>7323</v>
      </c>
      <c r="B153" s="299" t="s">
        <v>3078</v>
      </c>
      <c r="C153" s="239" t="s">
        <v>205</v>
      </c>
      <c r="D153" s="311" t="s">
        <v>2935</v>
      </c>
      <c r="E153" s="143"/>
      <c r="F153" s="90">
        <f t="shared" si="29"/>
        <v>1.0209999999999999</v>
      </c>
      <c r="G153" s="318"/>
      <c r="H153" s="143"/>
      <c r="I153" s="300"/>
      <c r="J153" s="300"/>
      <c r="K153" s="300"/>
      <c r="L153" s="300"/>
      <c r="M153" s="300"/>
      <c r="N153" s="318"/>
      <c r="O153" s="95"/>
      <c r="P153" s="143"/>
      <c r="Q153" s="318"/>
      <c r="R153" s="96">
        <f t="shared" si="30"/>
        <v>1.0209999999999999</v>
      </c>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row>
    <row r="154" spans="1:247" x14ac:dyDescent="0.25">
      <c r="A154" s="310">
        <v>7331</v>
      </c>
      <c r="B154" s="299" t="s">
        <v>3079</v>
      </c>
      <c r="C154" s="239" t="s">
        <v>205</v>
      </c>
      <c r="D154" s="311" t="s">
        <v>2935</v>
      </c>
      <c r="E154" s="143">
        <f>+$E$3</f>
        <v>1.0740000000000001</v>
      </c>
      <c r="F154" s="90">
        <f t="shared" si="29"/>
        <v>1.0209999999999999</v>
      </c>
      <c r="G154" s="318">
        <f>+$G$3</f>
        <v>1.0269999999999999</v>
      </c>
      <c r="H154" s="143"/>
      <c r="I154" s="300"/>
      <c r="J154" s="300">
        <f>+$J$3</f>
        <v>1.0049999999999999</v>
      </c>
      <c r="K154" s="300">
        <f>+$K$3</f>
        <v>1.026</v>
      </c>
      <c r="L154" s="300">
        <f>+$L$3</f>
        <v>1.0129999999999999</v>
      </c>
      <c r="M154" s="300">
        <f>+$M$3</f>
        <v>1.0029999999999999</v>
      </c>
      <c r="N154" s="318">
        <f t="shared" ref="N154:N167" si="43">+$N$3</f>
        <v>1.0029999999999999</v>
      </c>
      <c r="O154" s="95">
        <f>+$O$3</f>
        <v>1.0209999999999999</v>
      </c>
      <c r="P154" s="143">
        <f>+$P$3</f>
        <v>1.032</v>
      </c>
      <c r="Q154" s="318">
        <f>+$Q$3</f>
        <v>1.0349999999999999</v>
      </c>
      <c r="R154" s="96">
        <f t="shared" si="30"/>
        <v>1.290538574246207</v>
      </c>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row>
    <row r="155" spans="1:247" x14ac:dyDescent="0.25">
      <c r="A155" s="310">
        <v>7333</v>
      </c>
      <c r="B155" s="299" t="s">
        <v>3080</v>
      </c>
      <c r="C155" s="239" t="s">
        <v>205</v>
      </c>
      <c r="D155" s="311" t="s">
        <v>2935</v>
      </c>
      <c r="E155" s="143">
        <f>+$E$3</f>
        <v>1.0740000000000001</v>
      </c>
      <c r="F155" s="90">
        <f t="shared" si="29"/>
        <v>1.0209999999999999</v>
      </c>
      <c r="G155" s="318">
        <f>+$G$3</f>
        <v>1.0269999999999999</v>
      </c>
      <c r="H155" s="143">
        <f>+$H$3</f>
        <v>1.0029999999999999</v>
      </c>
      <c r="I155" s="300">
        <f>+$I$3</f>
        <v>1.0289999999999999</v>
      </c>
      <c r="J155" s="300">
        <f>+$J$3</f>
        <v>1.0049999999999999</v>
      </c>
      <c r="K155" s="300">
        <f>+$K$3</f>
        <v>1.026</v>
      </c>
      <c r="L155" s="300">
        <f>+$L$3</f>
        <v>1.0129999999999999</v>
      </c>
      <c r="M155" s="300">
        <f>+$M$3</f>
        <v>1.0029999999999999</v>
      </c>
      <c r="N155" s="318">
        <f t="shared" si="43"/>
        <v>1.0029999999999999</v>
      </c>
      <c r="O155" s="95">
        <f>+$O$3</f>
        <v>1.0209999999999999</v>
      </c>
      <c r="P155" s="143">
        <f>+$P$3</f>
        <v>1.032</v>
      </c>
      <c r="Q155" s="318">
        <f>+$Q$3</f>
        <v>1.0349999999999999</v>
      </c>
      <c r="R155" s="96">
        <f t="shared" si="30"/>
        <v>1.3319480854780448</v>
      </c>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row>
    <row r="156" spans="1:247" x14ac:dyDescent="0.25">
      <c r="A156" s="310">
        <v>7340</v>
      </c>
      <c r="B156" s="299" t="s">
        <v>3081</v>
      </c>
      <c r="C156" s="239" t="s">
        <v>205</v>
      </c>
      <c r="D156" s="311" t="s">
        <v>2935</v>
      </c>
      <c r="E156" s="143"/>
      <c r="F156" s="90">
        <f t="shared" si="29"/>
        <v>1.0209999999999999</v>
      </c>
      <c r="G156" s="318"/>
      <c r="H156" s="143"/>
      <c r="I156" s="300"/>
      <c r="J156" s="300">
        <f>+$J$3</f>
        <v>1.0049999999999999</v>
      </c>
      <c r="K156" s="300"/>
      <c r="L156" s="300"/>
      <c r="M156" s="300"/>
      <c r="N156" s="318">
        <f t="shared" si="43"/>
        <v>1.0029999999999999</v>
      </c>
      <c r="O156" s="95"/>
      <c r="P156" s="143"/>
      <c r="Q156" s="318"/>
      <c r="R156" s="96">
        <f t="shared" si="30"/>
        <v>1.0291833149999998</v>
      </c>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row>
    <row r="157" spans="1:247" x14ac:dyDescent="0.25">
      <c r="A157" s="310">
        <v>7341</v>
      </c>
      <c r="B157" s="299" t="s">
        <v>3082</v>
      </c>
      <c r="C157" s="239" t="s">
        <v>205</v>
      </c>
      <c r="D157" s="311" t="s">
        <v>2935</v>
      </c>
      <c r="E157" s="143"/>
      <c r="F157" s="90">
        <f t="shared" si="29"/>
        <v>1.0209999999999999</v>
      </c>
      <c r="G157" s="318"/>
      <c r="H157" s="143">
        <f>+$H$3</f>
        <v>1.0029999999999999</v>
      </c>
      <c r="I157" s="300">
        <f>+$I$3</f>
        <v>1.0289999999999999</v>
      </c>
      <c r="J157" s="300">
        <f>+$J$3</f>
        <v>1.0049999999999999</v>
      </c>
      <c r="K157" s="300"/>
      <c r="L157" s="300"/>
      <c r="M157" s="300"/>
      <c r="N157" s="318">
        <f t="shared" si="43"/>
        <v>1.0029999999999999</v>
      </c>
      <c r="O157" s="95"/>
      <c r="P157" s="143">
        <f t="shared" ref="P157:P167" si="44">+$P$3</f>
        <v>1.032</v>
      </c>
      <c r="Q157" s="318">
        <f t="shared" ref="Q157:Q167" si="45">+$Q$3</f>
        <v>1.0349999999999999</v>
      </c>
      <c r="R157" s="96">
        <f t="shared" si="30"/>
        <v>1.1345642417967394</v>
      </c>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row>
    <row r="158" spans="1:247" x14ac:dyDescent="0.25">
      <c r="A158" s="310">
        <v>7342</v>
      </c>
      <c r="B158" s="299" t="s">
        <v>3083</v>
      </c>
      <c r="C158" s="239" t="s">
        <v>205</v>
      </c>
      <c r="D158" s="311" t="s">
        <v>2935</v>
      </c>
      <c r="E158" s="143"/>
      <c r="F158" s="90">
        <f t="shared" si="29"/>
        <v>1.0209999999999999</v>
      </c>
      <c r="G158" s="318"/>
      <c r="H158" s="143"/>
      <c r="I158" s="300"/>
      <c r="J158" s="300"/>
      <c r="K158" s="300"/>
      <c r="L158" s="300">
        <f>+$L$3</f>
        <v>1.0129999999999999</v>
      </c>
      <c r="M158" s="300">
        <f>+$M$3</f>
        <v>1.0029999999999999</v>
      </c>
      <c r="N158" s="318">
        <f t="shared" si="43"/>
        <v>1.0029999999999999</v>
      </c>
      <c r="O158" s="95"/>
      <c r="P158" s="143">
        <f t="shared" si="44"/>
        <v>1.032</v>
      </c>
      <c r="Q158" s="318">
        <f t="shared" si="45"/>
        <v>1.0349999999999999</v>
      </c>
      <c r="R158" s="96">
        <f t="shared" si="30"/>
        <v>1.1113659853696505</v>
      </c>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row>
    <row r="159" spans="1:247" x14ac:dyDescent="0.25">
      <c r="A159" s="310">
        <v>7344</v>
      </c>
      <c r="B159" s="299" t="s">
        <v>3084</v>
      </c>
      <c r="C159" s="239" t="s">
        <v>205</v>
      </c>
      <c r="D159" s="311" t="s">
        <v>2935</v>
      </c>
      <c r="E159" s="143">
        <f>+$E$3</f>
        <v>1.0740000000000001</v>
      </c>
      <c r="F159" s="90">
        <f t="shared" si="29"/>
        <v>1.0209999999999999</v>
      </c>
      <c r="G159" s="318">
        <f>+$G$3</f>
        <v>1.0269999999999999</v>
      </c>
      <c r="H159" s="143">
        <f>+$H$3</f>
        <v>1.0029999999999999</v>
      </c>
      <c r="I159" s="300">
        <f>+$I$3</f>
        <v>1.0289999999999999</v>
      </c>
      <c r="J159" s="300">
        <f>+$J$3</f>
        <v>1.0049999999999999</v>
      </c>
      <c r="K159" s="300">
        <f>+$K$3</f>
        <v>1.026</v>
      </c>
      <c r="L159" s="300">
        <f>+$L$3</f>
        <v>1.0129999999999999</v>
      </c>
      <c r="M159" s="300">
        <f>+$M$3</f>
        <v>1.0029999999999999</v>
      </c>
      <c r="N159" s="318">
        <f t="shared" si="43"/>
        <v>1.0029999999999999</v>
      </c>
      <c r="O159" s="95">
        <f>+$O$3</f>
        <v>1.0209999999999999</v>
      </c>
      <c r="P159" s="143">
        <f t="shared" si="44"/>
        <v>1.032</v>
      </c>
      <c r="Q159" s="318">
        <f t="shared" si="45"/>
        <v>1.0349999999999999</v>
      </c>
      <c r="R159" s="96">
        <f t="shared" si="30"/>
        <v>1.3319480854780448</v>
      </c>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row>
    <row r="160" spans="1:247" x14ac:dyDescent="0.25">
      <c r="A160" s="310">
        <v>7345</v>
      </c>
      <c r="B160" s="299" t="s">
        <v>3085</v>
      </c>
      <c r="C160" s="239" t="s">
        <v>205</v>
      </c>
      <c r="D160" s="311" t="s">
        <v>2935</v>
      </c>
      <c r="E160" s="143"/>
      <c r="F160" s="90">
        <f t="shared" si="29"/>
        <v>1.0209999999999999</v>
      </c>
      <c r="G160" s="318">
        <f>+$G$3</f>
        <v>1.0269999999999999</v>
      </c>
      <c r="H160" s="143">
        <f>+$H$3</f>
        <v>1.0029999999999999</v>
      </c>
      <c r="I160" s="300">
        <f>+$I$3</f>
        <v>1.0289999999999999</v>
      </c>
      <c r="J160" s="300">
        <f>+$J$3</f>
        <v>1.0049999999999999</v>
      </c>
      <c r="K160" s="300"/>
      <c r="L160" s="300"/>
      <c r="M160" s="300"/>
      <c r="N160" s="318">
        <f t="shared" si="43"/>
        <v>1.0029999999999999</v>
      </c>
      <c r="O160" s="95"/>
      <c r="P160" s="143">
        <f t="shared" si="44"/>
        <v>1.032</v>
      </c>
      <c r="Q160" s="318">
        <f t="shared" si="45"/>
        <v>1.0349999999999999</v>
      </c>
      <c r="R160" s="96">
        <f t="shared" si="30"/>
        <v>1.1651974763252515</v>
      </c>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row>
    <row r="161" spans="1:247" x14ac:dyDescent="0.25">
      <c r="A161" s="310">
        <v>7346</v>
      </c>
      <c r="B161" s="299" t="s">
        <v>3086</v>
      </c>
      <c r="C161" s="239" t="s">
        <v>205</v>
      </c>
      <c r="D161" s="311" t="s">
        <v>2935</v>
      </c>
      <c r="E161" s="143"/>
      <c r="F161" s="90">
        <f t="shared" si="29"/>
        <v>1.0209999999999999</v>
      </c>
      <c r="G161" s="318">
        <f>+$G$3</f>
        <v>1.0269999999999999</v>
      </c>
      <c r="H161" s="143">
        <f>+$H$3</f>
        <v>1.0029999999999999</v>
      </c>
      <c r="I161" s="300">
        <f>+$I$3</f>
        <v>1.0289999999999999</v>
      </c>
      <c r="J161" s="300">
        <f>+$J$3</f>
        <v>1.0049999999999999</v>
      </c>
      <c r="K161" s="300">
        <f>+$K$3</f>
        <v>1.026</v>
      </c>
      <c r="L161" s="300">
        <f>+$L$3</f>
        <v>1.0129999999999999</v>
      </c>
      <c r="M161" s="300">
        <f>+$M$3</f>
        <v>1.0029999999999999</v>
      </c>
      <c r="N161" s="318">
        <f t="shared" si="43"/>
        <v>1.0029999999999999</v>
      </c>
      <c r="O161" s="95"/>
      <c r="P161" s="143">
        <f t="shared" si="44"/>
        <v>1.032</v>
      </c>
      <c r="Q161" s="318">
        <f t="shared" si="45"/>
        <v>1.0349999999999999</v>
      </c>
      <c r="R161" s="96">
        <f t="shared" si="30"/>
        <v>1.2146671166928804</v>
      </c>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row>
    <row r="162" spans="1:247" x14ac:dyDescent="0.25">
      <c r="A162" s="310">
        <v>7347</v>
      </c>
      <c r="B162" s="299" t="s">
        <v>3087</v>
      </c>
      <c r="C162" s="239" t="s">
        <v>205</v>
      </c>
      <c r="D162" s="311" t="s">
        <v>2935</v>
      </c>
      <c r="E162" s="143">
        <f>+$E$3</f>
        <v>1.0740000000000001</v>
      </c>
      <c r="F162" s="90">
        <f t="shared" si="29"/>
        <v>1.0209999999999999</v>
      </c>
      <c r="G162" s="318">
        <f>+$G$3</f>
        <v>1.0269999999999999</v>
      </c>
      <c r="H162" s="143">
        <f>+$H$3</f>
        <v>1.0029999999999999</v>
      </c>
      <c r="I162" s="300">
        <f>+$I$3</f>
        <v>1.0289999999999999</v>
      </c>
      <c r="J162" s="300">
        <f>+$J$3</f>
        <v>1.0049999999999999</v>
      </c>
      <c r="K162" s="300">
        <f>+$K$3</f>
        <v>1.026</v>
      </c>
      <c r="L162" s="300"/>
      <c r="M162" s="300">
        <f>+$M$3</f>
        <v>1.0029999999999999</v>
      </c>
      <c r="N162" s="318">
        <f t="shared" si="43"/>
        <v>1.0029999999999999</v>
      </c>
      <c r="O162" s="95">
        <f>+$O$3</f>
        <v>1.0209999999999999</v>
      </c>
      <c r="P162" s="143">
        <f t="shared" si="44"/>
        <v>1.032</v>
      </c>
      <c r="Q162" s="318">
        <f t="shared" si="45"/>
        <v>1.0349999999999999</v>
      </c>
      <c r="R162" s="96">
        <f t="shared" si="30"/>
        <v>1.3148549708569053</v>
      </c>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row>
    <row r="163" spans="1:247" x14ac:dyDescent="0.25">
      <c r="A163" s="310">
        <v>7348</v>
      </c>
      <c r="B163" s="299" t="s">
        <v>3088</v>
      </c>
      <c r="C163" s="239" t="s">
        <v>205</v>
      </c>
      <c r="D163" s="311" t="s">
        <v>2935</v>
      </c>
      <c r="E163" s="143"/>
      <c r="F163" s="90">
        <f t="shared" si="29"/>
        <v>1.0209999999999999</v>
      </c>
      <c r="G163" s="318"/>
      <c r="H163" s="143"/>
      <c r="I163" s="300"/>
      <c r="J163" s="300"/>
      <c r="K163" s="300"/>
      <c r="L163" s="300">
        <f>+$L$3</f>
        <v>1.0129999999999999</v>
      </c>
      <c r="M163" s="300"/>
      <c r="N163" s="318">
        <f t="shared" si="43"/>
        <v>1.0029999999999999</v>
      </c>
      <c r="O163" s="95"/>
      <c r="P163" s="143">
        <f t="shared" si="44"/>
        <v>1.032</v>
      </c>
      <c r="Q163" s="318">
        <f t="shared" si="45"/>
        <v>1.0349999999999999</v>
      </c>
      <c r="R163" s="96">
        <f t="shared" si="30"/>
        <v>1.1080418597902797</v>
      </c>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row>
    <row r="164" spans="1:247" x14ac:dyDescent="0.25">
      <c r="A164" s="310">
        <v>7349</v>
      </c>
      <c r="B164" s="299" t="s">
        <v>3089</v>
      </c>
      <c r="C164" s="239" t="s">
        <v>205</v>
      </c>
      <c r="D164" s="311" t="s">
        <v>2935</v>
      </c>
      <c r="E164" s="143">
        <f>+$E$3</f>
        <v>1.0740000000000001</v>
      </c>
      <c r="F164" s="90">
        <f t="shared" si="29"/>
        <v>1.0209999999999999</v>
      </c>
      <c r="G164" s="318">
        <f>+$G$3</f>
        <v>1.0269999999999999</v>
      </c>
      <c r="H164" s="143">
        <f>+$H$3</f>
        <v>1.0029999999999999</v>
      </c>
      <c r="I164" s="300">
        <f>+$I$3</f>
        <v>1.0289999999999999</v>
      </c>
      <c r="J164" s="300">
        <f>+$J$3</f>
        <v>1.0049999999999999</v>
      </c>
      <c r="K164" s="300"/>
      <c r="L164" s="300">
        <f>+$L$3</f>
        <v>1.0129999999999999</v>
      </c>
      <c r="M164" s="300">
        <f>+$M$3</f>
        <v>1.0029999999999999</v>
      </c>
      <c r="N164" s="318">
        <f t="shared" si="43"/>
        <v>1.0029999999999999</v>
      </c>
      <c r="O164" s="95">
        <f>+$O$3</f>
        <v>1.0209999999999999</v>
      </c>
      <c r="P164" s="143">
        <f t="shared" si="44"/>
        <v>1.032</v>
      </c>
      <c r="Q164" s="318">
        <f t="shared" si="45"/>
        <v>1.0349999999999999</v>
      </c>
      <c r="R164" s="96">
        <f t="shared" si="30"/>
        <v>1.2981950150858137</v>
      </c>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row>
    <row r="165" spans="1:247" x14ac:dyDescent="0.25">
      <c r="A165" s="310">
        <v>7350</v>
      </c>
      <c r="B165" s="299" t="s">
        <v>3090</v>
      </c>
      <c r="C165" s="239" t="s">
        <v>205</v>
      </c>
      <c r="D165" s="311" t="s">
        <v>2927</v>
      </c>
      <c r="E165" s="143"/>
      <c r="F165" s="90">
        <f t="shared" si="29"/>
        <v>1.0209999999999999</v>
      </c>
      <c r="G165" s="318"/>
      <c r="H165" s="143"/>
      <c r="I165" s="300"/>
      <c r="J165" s="300"/>
      <c r="K165" s="300"/>
      <c r="L165" s="300">
        <f>+$L$3</f>
        <v>1.0129999999999999</v>
      </c>
      <c r="M165" s="300"/>
      <c r="N165" s="318">
        <f t="shared" si="43"/>
        <v>1.0029999999999999</v>
      </c>
      <c r="O165" s="95"/>
      <c r="P165" s="143">
        <f t="shared" si="44"/>
        <v>1.032</v>
      </c>
      <c r="Q165" s="318">
        <f t="shared" si="45"/>
        <v>1.0349999999999999</v>
      </c>
      <c r="R165" s="96">
        <f>PRODUCT(E165:Q165)</f>
        <v>1.1080418597902797</v>
      </c>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row>
    <row r="166" spans="1:247" x14ac:dyDescent="0.25">
      <c r="A166" s="310">
        <v>7351</v>
      </c>
      <c r="B166" s="299" t="s">
        <v>3091</v>
      </c>
      <c r="C166" s="239" t="s">
        <v>205</v>
      </c>
      <c r="D166" s="311" t="s">
        <v>2935</v>
      </c>
      <c r="E166" s="143">
        <f>+$E$3</f>
        <v>1.0740000000000001</v>
      </c>
      <c r="F166" s="90">
        <f t="shared" si="29"/>
        <v>1.0209999999999999</v>
      </c>
      <c r="G166" s="318">
        <f>+$G$3</f>
        <v>1.0269999999999999</v>
      </c>
      <c r="H166" s="143">
        <f>+$H$3</f>
        <v>1.0029999999999999</v>
      </c>
      <c r="I166" s="300">
        <f>+$I$3</f>
        <v>1.0289999999999999</v>
      </c>
      <c r="J166" s="300">
        <f>+$J$3</f>
        <v>1.0049999999999999</v>
      </c>
      <c r="K166" s="300">
        <f>+$K$3</f>
        <v>1.026</v>
      </c>
      <c r="L166" s="300">
        <f>+$L$3</f>
        <v>1.0129999999999999</v>
      </c>
      <c r="M166" s="300">
        <f>+$M$3</f>
        <v>1.0029999999999999</v>
      </c>
      <c r="N166" s="318">
        <f t="shared" si="43"/>
        <v>1.0029999999999999</v>
      </c>
      <c r="O166" s="95">
        <f>+$O$3</f>
        <v>1.0209999999999999</v>
      </c>
      <c r="P166" s="143">
        <f t="shared" si="44"/>
        <v>1.032</v>
      </c>
      <c r="Q166" s="318">
        <f t="shared" si="45"/>
        <v>1.0349999999999999</v>
      </c>
      <c r="R166" s="96">
        <f t="shared" si="30"/>
        <v>1.3319480854780448</v>
      </c>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row>
    <row r="167" spans="1:247" x14ac:dyDescent="0.25">
      <c r="A167" s="310">
        <v>7353</v>
      </c>
      <c r="B167" s="1743" t="s">
        <v>3368</v>
      </c>
      <c r="C167" s="1092" t="s">
        <v>205</v>
      </c>
      <c r="D167" s="311" t="s">
        <v>2935</v>
      </c>
      <c r="E167" s="143">
        <f>+$E$3</f>
        <v>1.0740000000000001</v>
      </c>
      <c r="F167" s="90">
        <f t="shared" si="29"/>
        <v>1.0209999999999999</v>
      </c>
      <c r="G167" s="318">
        <f>+$G$3</f>
        <v>1.0269999999999999</v>
      </c>
      <c r="H167" s="143"/>
      <c r="I167" s="300"/>
      <c r="J167" s="300"/>
      <c r="K167" s="300">
        <f>+$K$3</f>
        <v>1.026</v>
      </c>
      <c r="L167" s="300">
        <f>+$L$3</f>
        <v>1.0129999999999999</v>
      </c>
      <c r="M167" s="300">
        <f>+$M$3</f>
        <v>1.0029999999999999</v>
      </c>
      <c r="N167" s="318">
        <f t="shared" si="43"/>
        <v>1.0029999999999999</v>
      </c>
      <c r="O167" s="95">
        <f>+$O$3</f>
        <v>1.0209999999999999</v>
      </c>
      <c r="P167" s="143">
        <f t="shared" si="44"/>
        <v>1.032</v>
      </c>
      <c r="Q167" s="318">
        <f t="shared" si="45"/>
        <v>1.0349999999999999</v>
      </c>
      <c r="R167" s="96">
        <f t="shared" ref="R167" si="46">PRODUCT(E167:Q167)</f>
        <v>1.2841179843245845</v>
      </c>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row>
    <row r="168" spans="1:247" x14ac:dyDescent="0.25">
      <c r="A168" s="310">
        <v>7354</v>
      </c>
      <c r="B168" s="299" t="s">
        <v>3092</v>
      </c>
      <c r="C168" s="239" t="s">
        <v>76</v>
      </c>
      <c r="D168" s="311" t="s">
        <v>2927</v>
      </c>
      <c r="E168" s="143"/>
      <c r="F168" s="90">
        <f t="shared" si="29"/>
        <v>1.0209999999999999</v>
      </c>
      <c r="G168" s="318"/>
      <c r="H168" s="143"/>
      <c r="I168" s="300"/>
      <c r="J168" s="300"/>
      <c r="K168" s="300"/>
      <c r="L168" s="300"/>
      <c r="M168" s="300"/>
      <c r="N168" s="318"/>
      <c r="O168" s="95"/>
      <c r="P168" s="143"/>
      <c r="Q168" s="318"/>
      <c r="R168" s="96">
        <f t="shared" si="30"/>
        <v>1.0209999999999999</v>
      </c>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row>
    <row r="169" spans="1:247" x14ac:dyDescent="0.25">
      <c r="A169" s="310">
        <v>7362</v>
      </c>
      <c r="B169" s="299" t="s">
        <v>3093</v>
      </c>
      <c r="C169" s="239" t="s">
        <v>205</v>
      </c>
      <c r="D169" s="311" t="s">
        <v>2935</v>
      </c>
      <c r="E169" s="143">
        <f>+$E$3</f>
        <v>1.0740000000000001</v>
      </c>
      <c r="F169" s="90">
        <f t="shared" si="29"/>
        <v>1.0209999999999999</v>
      </c>
      <c r="G169" s="318">
        <f>+$G$3</f>
        <v>1.0269999999999999</v>
      </c>
      <c r="H169" s="143">
        <f>+$H$3</f>
        <v>1.0029999999999999</v>
      </c>
      <c r="I169" s="300">
        <f>+$I$3</f>
        <v>1.0289999999999999</v>
      </c>
      <c r="J169" s="300">
        <f>+$J$3</f>
        <v>1.0049999999999999</v>
      </c>
      <c r="K169" s="300">
        <f>+$K$3</f>
        <v>1.026</v>
      </c>
      <c r="L169" s="300">
        <f>+$L$3</f>
        <v>1.0129999999999999</v>
      </c>
      <c r="M169" s="300">
        <f>+$M$3</f>
        <v>1.0029999999999999</v>
      </c>
      <c r="N169" s="318">
        <f>+$N$3</f>
        <v>1.0029999999999999</v>
      </c>
      <c r="O169" s="95"/>
      <c r="P169" s="143">
        <f>+$P$3</f>
        <v>1.032</v>
      </c>
      <c r="Q169" s="318">
        <f>+$Q$3</f>
        <v>1.0349999999999999</v>
      </c>
      <c r="R169" s="96">
        <f t="shared" si="30"/>
        <v>1.3045524833281539</v>
      </c>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row>
    <row r="170" spans="1:247" x14ac:dyDescent="0.25">
      <c r="A170" s="310">
        <v>7372</v>
      </c>
      <c r="B170" s="299" t="s">
        <v>3094</v>
      </c>
      <c r="C170" s="239" t="s">
        <v>205</v>
      </c>
      <c r="D170" s="311" t="s">
        <v>2935</v>
      </c>
      <c r="E170" s="143">
        <f>+$E$3</f>
        <v>1.0740000000000001</v>
      </c>
      <c r="F170" s="90">
        <f t="shared" si="29"/>
        <v>1.0209999999999999</v>
      </c>
      <c r="G170" s="318">
        <f>+$G$3</f>
        <v>1.0269999999999999</v>
      </c>
      <c r="H170" s="143">
        <f>+$H$3</f>
        <v>1.0029999999999999</v>
      </c>
      <c r="I170" s="300">
        <f>+$I$3</f>
        <v>1.0289999999999999</v>
      </c>
      <c r="J170" s="300">
        <f>+$J$3</f>
        <v>1.0049999999999999</v>
      </c>
      <c r="K170" s="300">
        <f>+$K$3</f>
        <v>1.026</v>
      </c>
      <c r="L170" s="300">
        <f>+$L$3</f>
        <v>1.0129999999999999</v>
      </c>
      <c r="M170" s="300">
        <f>+$M$3</f>
        <v>1.0029999999999999</v>
      </c>
      <c r="N170" s="318">
        <f>+$N$3</f>
        <v>1.0029999999999999</v>
      </c>
      <c r="O170" s="95">
        <f>+$O$3</f>
        <v>1.0209999999999999</v>
      </c>
      <c r="P170" s="143">
        <f>+$P$3</f>
        <v>1.032</v>
      </c>
      <c r="Q170" s="318">
        <f>+$Q$3</f>
        <v>1.0349999999999999</v>
      </c>
      <c r="R170" s="96">
        <f t="shared" si="30"/>
        <v>1.3319480854780448</v>
      </c>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row>
    <row r="171" spans="1:247" x14ac:dyDescent="0.25">
      <c r="A171" s="310">
        <v>7381</v>
      </c>
      <c r="B171" s="299" t="s">
        <v>3095</v>
      </c>
      <c r="C171" s="239" t="s">
        <v>205</v>
      </c>
      <c r="D171" s="311" t="s">
        <v>2935</v>
      </c>
      <c r="E171" s="143"/>
      <c r="F171" s="90">
        <f t="shared" si="29"/>
        <v>1.0209999999999999</v>
      </c>
      <c r="G171" s="318"/>
      <c r="H171" s="143"/>
      <c r="I171" s="300"/>
      <c r="J171" s="300"/>
      <c r="K171" s="300"/>
      <c r="L171" s="300"/>
      <c r="M171" s="300"/>
      <c r="N171" s="318"/>
      <c r="O171" s="95"/>
      <c r="P171" s="143"/>
      <c r="Q171" s="318"/>
      <c r="R171" s="96">
        <f t="shared" si="30"/>
        <v>1.0209999999999999</v>
      </c>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row>
    <row r="172" spans="1:247" x14ac:dyDescent="0.25">
      <c r="A172" s="310">
        <v>7382</v>
      </c>
      <c r="B172" s="299" t="s">
        <v>3096</v>
      </c>
      <c r="C172" s="239" t="s">
        <v>205</v>
      </c>
      <c r="D172" s="311" t="s">
        <v>2935</v>
      </c>
      <c r="E172" s="143"/>
      <c r="F172" s="90">
        <f t="shared" si="29"/>
        <v>1.0209999999999999</v>
      </c>
      <c r="G172" s="318"/>
      <c r="H172" s="143"/>
      <c r="I172" s="300"/>
      <c r="J172" s="300"/>
      <c r="K172" s="300"/>
      <c r="L172" s="300"/>
      <c r="M172" s="300"/>
      <c r="N172" s="318"/>
      <c r="O172" s="95"/>
      <c r="P172" s="143"/>
      <c r="Q172" s="318"/>
      <c r="R172" s="96">
        <f t="shared" si="30"/>
        <v>1.0209999999999999</v>
      </c>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row>
    <row r="173" spans="1:247" x14ac:dyDescent="0.25">
      <c r="A173" s="310">
        <v>7384</v>
      </c>
      <c r="B173" s="299" t="s">
        <v>3097</v>
      </c>
      <c r="C173" s="239" t="s">
        <v>205</v>
      </c>
      <c r="D173" s="311" t="s">
        <v>2927</v>
      </c>
      <c r="E173" s="143"/>
      <c r="F173" s="90">
        <f t="shared" si="29"/>
        <v>1.0209999999999999</v>
      </c>
      <c r="G173" s="318"/>
      <c r="H173" s="143"/>
      <c r="I173" s="300"/>
      <c r="J173" s="300"/>
      <c r="K173" s="300"/>
      <c r="L173" s="300"/>
      <c r="M173" s="300"/>
      <c r="N173" s="318"/>
      <c r="O173" s="95"/>
      <c r="P173" s="143"/>
      <c r="Q173" s="318"/>
      <c r="R173" s="96">
        <f t="shared" si="30"/>
        <v>1.0209999999999999</v>
      </c>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row>
    <row r="174" spans="1:247" x14ac:dyDescent="0.25">
      <c r="A174" s="310">
        <v>7385</v>
      </c>
      <c r="B174" s="299" t="s">
        <v>3098</v>
      </c>
      <c r="C174" s="239" t="s">
        <v>205</v>
      </c>
      <c r="D174" s="311" t="s">
        <v>2935</v>
      </c>
      <c r="E174" s="143">
        <f>+$E$3</f>
        <v>1.0740000000000001</v>
      </c>
      <c r="F174" s="90">
        <f t="shared" si="29"/>
        <v>1.0209999999999999</v>
      </c>
      <c r="G174" s="318"/>
      <c r="H174" s="143"/>
      <c r="I174" s="300"/>
      <c r="J174" s="300"/>
      <c r="K174" s="300"/>
      <c r="L174" s="300">
        <f>+$L$3</f>
        <v>1.0129999999999999</v>
      </c>
      <c r="M174" s="300"/>
      <c r="N174" s="318">
        <f>+$N$3</f>
        <v>1.0029999999999999</v>
      </c>
      <c r="O174" s="95"/>
      <c r="P174" s="143"/>
      <c r="Q174" s="318"/>
      <c r="R174" s="96">
        <f t="shared" si="30"/>
        <v>1.1141416296059998</v>
      </c>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row>
    <row r="175" spans="1:247" x14ac:dyDescent="0.25">
      <c r="A175" s="310">
        <v>7386</v>
      </c>
      <c r="B175" s="299" t="s">
        <v>3099</v>
      </c>
      <c r="C175" s="239" t="s">
        <v>205</v>
      </c>
      <c r="D175" s="311" t="s">
        <v>2935</v>
      </c>
      <c r="E175" s="143">
        <f>+$E$3</f>
        <v>1.0740000000000001</v>
      </c>
      <c r="F175" s="90">
        <f t="shared" si="29"/>
        <v>1.0209999999999999</v>
      </c>
      <c r="G175" s="318">
        <f>+$G$3</f>
        <v>1.0269999999999999</v>
      </c>
      <c r="H175" s="143">
        <f>+$H$3</f>
        <v>1.0029999999999999</v>
      </c>
      <c r="I175" s="300">
        <f>+$I$3</f>
        <v>1.0289999999999999</v>
      </c>
      <c r="J175" s="300">
        <f>+$J$3</f>
        <v>1.0049999999999999</v>
      </c>
      <c r="K175" s="300">
        <f>+$K$3</f>
        <v>1.026</v>
      </c>
      <c r="L175" s="300">
        <f>+$L$3</f>
        <v>1.0129999999999999</v>
      </c>
      <c r="M175" s="300">
        <f>+$M$3</f>
        <v>1.0029999999999999</v>
      </c>
      <c r="N175" s="318">
        <f>+$N$3</f>
        <v>1.0029999999999999</v>
      </c>
      <c r="O175" s="95">
        <f>+$O$3</f>
        <v>1.0209999999999999</v>
      </c>
      <c r="P175" s="143">
        <f>+$P$3</f>
        <v>1.032</v>
      </c>
      <c r="Q175" s="318">
        <f>+$Q$3</f>
        <v>1.0349999999999999</v>
      </c>
      <c r="R175" s="96">
        <f t="shared" si="30"/>
        <v>1.3319480854780448</v>
      </c>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row>
    <row r="176" spans="1:247" x14ac:dyDescent="0.25">
      <c r="A176" s="310">
        <v>7387</v>
      </c>
      <c r="B176" s="299" t="s">
        <v>3100</v>
      </c>
      <c r="C176" s="239" t="s">
        <v>205</v>
      </c>
      <c r="D176" s="311" t="s">
        <v>2935</v>
      </c>
      <c r="E176" s="143"/>
      <c r="F176" s="90">
        <f t="shared" si="29"/>
        <v>1.0209999999999999</v>
      </c>
      <c r="G176" s="318"/>
      <c r="H176" s="143"/>
      <c r="I176" s="300"/>
      <c r="J176" s="300"/>
      <c r="K176" s="300"/>
      <c r="L176" s="300"/>
      <c r="M176" s="300"/>
      <c r="N176" s="318"/>
      <c r="O176" s="95"/>
      <c r="P176" s="143"/>
      <c r="Q176" s="318"/>
      <c r="R176" s="96">
        <f t="shared" si="30"/>
        <v>1.0209999999999999</v>
      </c>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row>
    <row r="177" spans="1:247" x14ac:dyDescent="0.25">
      <c r="A177" s="310">
        <v>7389</v>
      </c>
      <c r="B177" s="299" t="s">
        <v>3101</v>
      </c>
      <c r="C177" s="239" t="s">
        <v>205</v>
      </c>
      <c r="D177" s="311" t="s">
        <v>2935</v>
      </c>
      <c r="E177" s="143"/>
      <c r="F177" s="90" t="s">
        <v>3102</v>
      </c>
      <c r="G177" s="318"/>
      <c r="H177" s="143"/>
      <c r="I177" s="300"/>
      <c r="J177" s="300"/>
      <c r="K177" s="300"/>
      <c r="L177" s="300"/>
      <c r="M177" s="300"/>
      <c r="N177" s="318"/>
      <c r="O177" s="95"/>
      <c r="P177" s="143"/>
      <c r="Q177" s="318"/>
      <c r="R177" s="96">
        <v>1.0209999999999999</v>
      </c>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row>
    <row r="178" spans="1:247" x14ac:dyDescent="0.25">
      <c r="A178" s="310">
        <v>7411</v>
      </c>
      <c r="B178" s="299" t="s">
        <v>3103</v>
      </c>
      <c r="C178" s="239" t="s">
        <v>205</v>
      </c>
      <c r="D178" s="311" t="s">
        <v>2935</v>
      </c>
      <c r="E178" s="143"/>
      <c r="F178" s="90">
        <f t="shared" si="29"/>
        <v>1.0209999999999999</v>
      </c>
      <c r="G178" s="318"/>
      <c r="H178" s="143"/>
      <c r="I178" s="300"/>
      <c r="J178" s="300"/>
      <c r="K178" s="300"/>
      <c r="L178" s="300"/>
      <c r="M178" s="300"/>
      <c r="N178" s="318"/>
      <c r="O178" s="95"/>
      <c r="P178" s="143"/>
      <c r="Q178" s="318"/>
      <c r="R178" s="96">
        <f t="shared" si="30"/>
        <v>1.0209999999999999</v>
      </c>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row>
    <row r="179" spans="1:247" x14ac:dyDescent="0.25">
      <c r="A179" s="310">
        <v>7412</v>
      </c>
      <c r="B179" s="299" t="s">
        <v>3104</v>
      </c>
      <c r="C179" s="239" t="s">
        <v>205</v>
      </c>
      <c r="D179" s="311" t="s">
        <v>2935</v>
      </c>
      <c r="E179" s="143"/>
      <c r="F179" s="90">
        <f t="shared" si="29"/>
        <v>1.0209999999999999</v>
      </c>
      <c r="G179" s="318"/>
      <c r="H179" s="143">
        <f t="shared" ref="H179:H187" si="47">+$H$3</f>
        <v>1.0029999999999999</v>
      </c>
      <c r="I179" s="300"/>
      <c r="J179" s="300"/>
      <c r="K179" s="300"/>
      <c r="L179" s="300"/>
      <c r="M179" s="300"/>
      <c r="N179" s="318"/>
      <c r="O179" s="95"/>
      <c r="P179" s="143"/>
      <c r="Q179" s="318"/>
      <c r="R179" s="96">
        <f t="shared" si="30"/>
        <v>1.0240629999999997</v>
      </c>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row>
    <row r="180" spans="1:247" x14ac:dyDescent="0.25">
      <c r="A180" s="310">
        <v>7413</v>
      </c>
      <c r="B180" s="299" t="s">
        <v>3105</v>
      </c>
      <c r="C180" s="239" t="s">
        <v>205</v>
      </c>
      <c r="D180" s="311" t="s">
        <v>2935</v>
      </c>
      <c r="E180" s="143">
        <f>+$E$3</f>
        <v>1.0740000000000001</v>
      </c>
      <c r="F180" s="90">
        <f t="shared" si="29"/>
        <v>1.0209999999999999</v>
      </c>
      <c r="G180" s="318">
        <f t="shared" ref="G180:G189" si="48">+$G$3</f>
        <v>1.0269999999999999</v>
      </c>
      <c r="H180" s="143">
        <f t="shared" si="47"/>
        <v>1.0029999999999999</v>
      </c>
      <c r="I180" s="300">
        <f t="shared" ref="I180:I187" si="49">+$I$3</f>
        <v>1.0289999999999999</v>
      </c>
      <c r="J180" s="300">
        <f t="shared" ref="J180:J190" si="50">+$J$3</f>
        <v>1.0049999999999999</v>
      </c>
      <c r="K180" s="300">
        <f>+$K$3</f>
        <v>1.026</v>
      </c>
      <c r="L180" s="300">
        <f>+$L$3</f>
        <v>1.0129999999999999</v>
      </c>
      <c r="M180" s="300">
        <f>+$M$3</f>
        <v>1.0029999999999999</v>
      </c>
      <c r="N180" s="318">
        <f t="shared" ref="N180:N189" si="51">+$N$3</f>
        <v>1.0029999999999999</v>
      </c>
      <c r="O180" s="95">
        <f t="shared" ref="O180:O187" si="52">+$O$3</f>
        <v>1.0209999999999999</v>
      </c>
      <c r="P180" s="143">
        <f>+$P$3</f>
        <v>1.032</v>
      </c>
      <c r="Q180" s="318">
        <f>+$Q$3</f>
        <v>1.0349999999999999</v>
      </c>
      <c r="R180" s="96">
        <f t="shared" si="30"/>
        <v>1.3319480854780448</v>
      </c>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row>
    <row r="181" spans="1:247" x14ac:dyDescent="0.25">
      <c r="A181" s="310">
        <v>7414</v>
      </c>
      <c r="B181" s="299" t="s">
        <v>3106</v>
      </c>
      <c r="C181" s="239" t="s">
        <v>205</v>
      </c>
      <c r="D181" s="311" t="s">
        <v>2935</v>
      </c>
      <c r="E181" s="143">
        <f>+$E$3</f>
        <v>1.0740000000000001</v>
      </c>
      <c r="F181" s="90">
        <f t="shared" si="29"/>
        <v>1.0209999999999999</v>
      </c>
      <c r="G181" s="318">
        <f t="shared" si="48"/>
        <v>1.0269999999999999</v>
      </c>
      <c r="H181" s="143">
        <f t="shared" si="47"/>
        <v>1.0029999999999999</v>
      </c>
      <c r="I181" s="300">
        <f t="shared" si="49"/>
        <v>1.0289999999999999</v>
      </c>
      <c r="J181" s="300">
        <f t="shared" si="50"/>
        <v>1.0049999999999999</v>
      </c>
      <c r="K181" s="300">
        <f>+$K$3</f>
        <v>1.026</v>
      </c>
      <c r="L181" s="300">
        <f>+$L$3</f>
        <v>1.0129999999999999</v>
      </c>
      <c r="M181" s="300">
        <f>+$M$3</f>
        <v>1.0029999999999999</v>
      </c>
      <c r="N181" s="318">
        <f t="shared" si="51"/>
        <v>1.0029999999999999</v>
      </c>
      <c r="O181" s="95">
        <f t="shared" si="52"/>
        <v>1.0209999999999999</v>
      </c>
      <c r="P181" s="143"/>
      <c r="Q181" s="318"/>
      <c r="R181" s="96">
        <f t="shared" si="30"/>
        <v>1.2470022895162014</v>
      </c>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row>
    <row r="182" spans="1:247" x14ac:dyDescent="0.25">
      <c r="A182" s="310">
        <v>7415</v>
      </c>
      <c r="B182" s="299" t="s">
        <v>3107</v>
      </c>
      <c r="C182" s="239" t="s">
        <v>205</v>
      </c>
      <c r="D182" s="311" t="s">
        <v>2935</v>
      </c>
      <c r="E182" s="143">
        <f>+$E$3</f>
        <v>1.0740000000000001</v>
      </c>
      <c r="F182" s="90">
        <f t="shared" si="29"/>
        <v>1.0209999999999999</v>
      </c>
      <c r="G182" s="318">
        <f t="shared" si="48"/>
        <v>1.0269999999999999</v>
      </c>
      <c r="H182" s="143">
        <f t="shared" si="47"/>
        <v>1.0029999999999999</v>
      </c>
      <c r="I182" s="300">
        <f t="shared" si="49"/>
        <v>1.0289999999999999</v>
      </c>
      <c r="J182" s="300">
        <f t="shared" si="50"/>
        <v>1.0049999999999999</v>
      </c>
      <c r="K182" s="300"/>
      <c r="L182" s="300"/>
      <c r="M182" s="300">
        <f>+$M$3</f>
        <v>1.0029999999999999</v>
      </c>
      <c r="N182" s="318">
        <f t="shared" si="51"/>
        <v>1.0029999999999999</v>
      </c>
      <c r="O182" s="95">
        <f t="shared" si="52"/>
        <v>1.0209999999999999</v>
      </c>
      <c r="P182" s="143">
        <f t="shared" ref="P182:P189" si="53">+$P$3</f>
        <v>1.032</v>
      </c>
      <c r="Q182" s="318">
        <f t="shared" ref="Q182:Q189" si="54">+$Q$3</f>
        <v>1.0349999999999999</v>
      </c>
      <c r="R182" s="96">
        <f t="shared" si="30"/>
        <v>1.2815350593147223</v>
      </c>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row>
    <row r="183" spans="1:247" x14ac:dyDescent="0.25">
      <c r="A183" s="310">
        <v>7416</v>
      </c>
      <c r="B183" s="299" t="s">
        <v>3108</v>
      </c>
      <c r="C183" s="239" t="s">
        <v>205</v>
      </c>
      <c r="D183" s="311" t="s">
        <v>2935</v>
      </c>
      <c r="E183" s="143">
        <f>+$E$3</f>
        <v>1.0740000000000001</v>
      </c>
      <c r="F183" s="90">
        <f t="shared" si="29"/>
        <v>1.0209999999999999</v>
      </c>
      <c r="G183" s="318">
        <f t="shared" si="48"/>
        <v>1.0269999999999999</v>
      </c>
      <c r="H183" s="143">
        <f t="shared" si="47"/>
        <v>1.0029999999999999</v>
      </c>
      <c r="I183" s="300">
        <f t="shared" si="49"/>
        <v>1.0289999999999999</v>
      </c>
      <c r="J183" s="300">
        <f t="shared" si="50"/>
        <v>1.0049999999999999</v>
      </c>
      <c r="K183" s="300">
        <f>+$K$3</f>
        <v>1.026</v>
      </c>
      <c r="L183" s="300">
        <f>+$L$3</f>
        <v>1.0129999999999999</v>
      </c>
      <c r="M183" s="300">
        <f>+$M$3</f>
        <v>1.0029999999999999</v>
      </c>
      <c r="N183" s="318">
        <f t="shared" si="51"/>
        <v>1.0029999999999999</v>
      </c>
      <c r="O183" s="95">
        <f t="shared" si="52"/>
        <v>1.0209999999999999</v>
      </c>
      <c r="P183" s="143">
        <f t="shared" si="53"/>
        <v>1.032</v>
      </c>
      <c r="Q183" s="318">
        <f t="shared" si="54"/>
        <v>1.0349999999999999</v>
      </c>
      <c r="R183" s="96">
        <f t="shared" si="30"/>
        <v>1.3319480854780448</v>
      </c>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row>
    <row r="184" spans="1:247" x14ac:dyDescent="0.25">
      <c r="A184" s="310">
        <v>7417</v>
      </c>
      <c r="B184" s="299" t="s">
        <v>3109</v>
      </c>
      <c r="C184" s="239" t="s">
        <v>205</v>
      </c>
      <c r="D184" s="311" t="s">
        <v>2935</v>
      </c>
      <c r="E184" s="143">
        <f>+$E$3</f>
        <v>1.0740000000000001</v>
      </c>
      <c r="F184" s="90">
        <f t="shared" si="29"/>
        <v>1.0209999999999999</v>
      </c>
      <c r="G184" s="318">
        <f t="shared" si="48"/>
        <v>1.0269999999999999</v>
      </c>
      <c r="H184" s="143">
        <f t="shared" si="47"/>
        <v>1.0029999999999999</v>
      </c>
      <c r="I184" s="300">
        <f t="shared" si="49"/>
        <v>1.0289999999999999</v>
      </c>
      <c r="J184" s="300">
        <f t="shared" si="50"/>
        <v>1.0049999999999999</v>
      </c>
      <c r="K184" s="300"/>
      <c r="L184" s="300">
        <f>+$L$3</f>
        <v>1.0129999999999999</v>
      </c>
      <c r="M184" s="300">
        <f>+$M$3</f>
        <v>1.0029999999999999</v>
      </c>
      <c r="N184" s="318">
        <f t="shared" si="51"/>
        <v>1.0029999999999999</v>
      </c>
      <c r="O184" s="95">
        <f t="shared" si="52"/>
        <v>1.0209999999999999</v>
      </c>
      <c r="P184" s="143">
        <f t="shared" si="53"/>
        <v>1.032</v>
      </c>
      <c r="Q184" s="318">
        <f t="shared" si="54"/>
        <v>1.0349999999999999</v>
      </c>
      <c r="R184" s="96">
        <f t="shared" si="30"/>
        <v>1.2981950150858137</v>
      </c>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row>
    <row r="185" spans="1:247" x14ac:dyDescent="0.25">
      <c r="A185" s="310">
        <v>7418</v>
      </c>
      <c r="B185" s="299" t="s">
        <v>3110</v>
      </c>
      <c r="C185" s="239" t="s">
        <v>205</v>
      </c>
      <c r="D185" s="311" t="s">
        <v>2935</v>
      </c>
      <c r="E185" s="143"/>
      <c r="F185" s="90">
        <f t="shared" si="29"/>
        <v>1.0209999999999999</v>
      </c>
      <c r="G185" s="318">
        <f t="shared" si="48"/>
        <v>1.0269999999999999</v>
      </c>
      <c r="H185" s="143">
        <f t="shared" si="47"/>
        <v>1.0029999999999999</v>
      </c>
      <c r="I185" s="300">
        <f t="shared" si="49"/>
        <v>1.0289999999999999</v>
      </c>
      <c r="J185" s="300">
        <f t="shared" si="50"/>
        <v>1.0049999999999999</v>
      </c>
      <c r="K185" s="300"/>
      <c r="L185" s="300"/>
      <c r="M185" s="300"/>
      <c r="N185" s="318">
        <f t="shared" si="51"/>
        <v>1.0029999999999999</v>
      </c>
      <c r="O185" s="95">
        <f t="shared" si="52"/>
        <v>1.0209999999999999</v>
      </c>
      <c r="P185" s="143">
        <f t="shared" si="53"/>
        <v>1.032</v>
      </c>
      <c r="Q185" s="318">
        <f t="shared" si="54"/>
        <v>1.0349999999999999</v>
      </c>
      <c r="R185" s="96">
        <f t="shared" si="30"/>
        <v>1.1896666233280813</v>
      </c>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row>
    <row r="186" spans="1:247" x14ac:dyDescent="0.25">
      <c r="A186" s="310">
        <v>7422</v>
      </c>
      <c r="B186" s="299" t="s">
        <v>3111</v>
      </c>
      <c r="C186" s="239" t="s">
        <v>205</v>
      </c>
      <c r="D186" s="311" t="s">
        <v>2935</v>
      </c>
      <c r="E186" s="143"/>
      <c r="F186" s="90">
        <f t="shared" si="29"/>
        <v>1.0209999999999999</v>
      </c>
      <c r="G186" s="318">
        <f t="shared" si="48"/>
        <v>1.0269999999999999</v>
      </c>
      <c r="H186" s="143">
        <f t="shared" si="47"/>
        <v>1.0029999999999999</v>
      </c>
      <c r="I186" s="300">
        <f t="shared" si="49"/>
        <v>1.0289999999999999</v>
      </c>
      <c r="J186" s="300">
        <f t="shared" si="50"/>
        <v>1.0049999999999999</v>
      </c>
      <c r="K186" s="300"/>
      <c r="L186" s="300">
        <f>+$L$3</f>
        <v>1.0129999999999999</v>
      </c>
      <c r="M186" s="300"/>
      <c r="N186" s="318">
        <f t="shared" si="51"/>
        <v>1.0029999999999999</v>
      </c>
      <c r="O186" s="95">
        <f t="shared" si="52"/>
        <v>1.0209999999999999</v>
      </c>
      <c r="P186" s="143">
        <f t="shared" si="53"/>
        <v>1.032</v>
      </c>
      <c r="Q186" s="318">
        <f t="shared" si="54"/>
        <v>1.0349999999999999</v>
      </c>
      <c r="R186" s="96">
        <f t="shared" si="30"/>
        <v>1.2051322894313463</v>
      </c>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row>
    <row r="187" spans="1:247" x14ac:dyDescent="0.25">
      <c r="A187" s="310">
        <v>7431</v>
      </c>
      <c r="B187" s="299" t="s">
        <v>3112</v>
      </c>
      <c r="C187" s="239" t="s">
        <v>205</v>
      </c>
      <c r="D187" s="311" t="s">
        <v>2935</v>
      </c>
      <c r="E187" s="143">
        <f>+$E$3</f>
        <v>1.0740000000000001</v>
      </c>
      <c r="F187" s="90">
        <f t="shared" si="29"/>
        <v>1.0209999999999999</v>
      </c>
      <c r="G187" s="318">
        <f t="shared" si="48"/>
        <v>1.0269999999999999</v>
      </c>
      <c r="H187" s="143">
        <f t="shared" si="47"/>
        <v>1.0029999999999999</v>
      </c>
      <c r="I187" s="300">
        <f t="shared" si="49"/>
        <v>1.0289999999999999</v>
      </c>
      <c r="J187" s="300">
        <f t="shared" si="50"/>
        <v>1.0049999999999999</v>
      </c>
      <c r="K187" s="300">
        <f>+$K$3</f>
        <v>1.026</v>
      </c>
      <c r="L187" s="300"/>
      <c r="M187" s="300">
        <f>+$M$3</f>
        <v>1.0029999999999999</v>
      </c>
      <c r="N187" s="318">
        <f t="shared" si="51"/>
        <v>1.0029999999999999</v>
      </c>
      <c r="O187" s="95">
        <f t="shared" si="52"/>
        <v>1.0209999999999999</v>
      </c>
      <c r="P187" s="143">
        <f t="shared" si="53"/>
        <v>1.032</v>
      </c>
      <c r="Q187" s="318">
        <f t="shared" si="54"/>
        <v>1.0349999999999999</v>
      </c>
      <c r="R187" s="96">
        <f t="shared" si="30"/>
        <v>1.3148549708569053</v>
      </c>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row>
    <row r="188" spans="1:247" x14ac:dyDescent="0.25">
      <c r="A188" s="310">
        <v>7440</v>
      </c>
      <c r="B188" s="299" t="s">
        <v>3113</v>
      </c>
      <c r="C188" s="239" t="s">
        <v>205</v>
      </c>
      <c r="D188" s="311" t="s">
        <v>2935</v>
      </c>
      <c r="E188" s="143">
        <v>1.0740000000000001</v>
      </c>
      <c r="F188" s="90">
        <v>1.0209999999999999</v>
      </c>
      <c r="G188" s="318">
        <v>1.0269999999999999</v>
      </c>
      <c r="H188" s="143">
        <v>1.0029999999999999</v>
      </c>
      <c r="I188" s="300">
        <v>1.0289999999999999</v>
      </c>
      <c r="J188" s="300">
        <v>1.0049999999999999</v>
      </c>
      <c r="K188" s="300">
        <v>1.026</v>
      </c>
      <c r="L188" s="300"/>
      <c r="M188" s="300">
        <v>1.0029999999999999</v>
      </c>
      <c r="N188" s="318">
        <v>1.0029999999999999</v>
      </c>
      <c r="O188" s="95">
        <v>1.0209999999999999</v>
      </c>
      <c r="P188" s="143">
        <v>1.032</v>
      </c>
      <c r="Q188" s="318">
        <v>1.0349999999999999</v>
      </c>
      <c r="R188" s="96">
        <v>1.3148549708569053</v>
      </c>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row>
    <row r="189" spans="1:247" x14ac:dyDescent="0.25">
      <c r="A189" s="310">
        <v>7442</v>
      </c>
      <c r="B189" s="299" t="s">
        <v>3114</v>
      </c>
      <c r="C189" s="239" t="s">
        <v>205</v>
      </c>
      <c r="D189" s="311" t="s">
        <v>2935</v>
      </c>
      <c r="E189" s="143"/>
      <c r="F189" s="90">
        <f t="shared" si="29"/>
        <v>1.0209999999999999</v>
      </c>
      <c r="G189" s="318">
        <f t="shared" si="48"/>
        <v>1.0269999999999999</v>
      </c>
      <c r="H189" s="143"/>
      <c r="I189" s="300"/>
      <c r="J189" s="300">
        <f t="shared" si="50"/>
        <v>1.0049999999999999</v>
      </c>
      <c r="K189" s="300"/>
      <c r="L189" s="300"/>
      <c r="M189" s="300"/>
      <c r="N189" s="318">
        <f t="shared" si="51"/>
        <v>1.0029999999999999</v>
      </c>
      <c r="O189" s="95"/>
      <c r="P189" s="143">
        <f t="shared" si="53"/>
        <v>1.032</v>
      </c>
      <c r="Q189" s="318">
        <f t="shared" si="54"/>
        <v>1.0349999999999999</v>
      </c>
      <c r="R189" s="96">
        <f t="shared" si="30"/>
        <v>1.12897214704308</v>
      </c>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row>
    <row r="190" spans="1:247" x14ac:dyDescent="0.25">
      <c r="A190" s="310">
        <v>7443</v>
      </c>
      <c r="B190" s="299" t="s">
        <v>3115</v>
      </c>
      <c r="C190" s="239" t="s">
        <v>205</v>
      </c>
      <c r="D190" s="311" t="s">
        <v>2935</v>
      </c>
      <c r="E190" s="143"/>
      <c r="F190" s="90">
        <f t="shared" si="29"/>
        <v>1.0209999999999999</v>
      </c>
      <c r="G190" s="318"/>
      <c r="H190" s="143">
        <f>+$H$3</f>
        <v>1.0029999999999999</v>
      </c>
      <c r="I190" s="300">
        <f>+$I$3</f>
        <v>1.0289999999999999</v>
      </c>
      <c r="J190" s="300">
        <f t="shared" si="50"/>
        <v>1.0049999999999999</v>
      </c>
      <c r="K190" s="300"/>
      <c r="L190" s="300"/>
      <c r="M190" s="300"/>
      <c r="N190" s="318"/>
      <c r="O190" s="95"/>
      <c r="P190" s="143"/>
      <c r="Q190" s="318"/>
      <c r="R190" s="96">
        <f t="shared" si="30"/>
        <v>1.0590296311349996</v>
      </c>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row>
    <row r="191" spans="1:247" x14ac:dyDescent="0.25">
      <c r="A191" s="310">
        <v>7444</v>
      </c>
      <c r="B191" s="299" t="s">
        <v>3116</v>
      </c>
      <c r="C191" s="239" t="s">
        <v>205</v>
      </c>
      <c r="D191" s="311" t="s">
        <v>2935</v>
      </c>
      <c r="E191" s="143"/>
      <c r="F191" s="90">
        <f t="shared" si="29"/>
        <v>1.0209999999999999</v>
      </c>
      <c r="G191" s="318"/>
      <c r="H191" s="143"/>
      <c r="I191" s="300"/>
      <c r="J191" s="300"/>
      <c r="K191" s="300"/>
      <c r="L191" s="300"/>
      <c r="M191" s="300"/>
      <c r="N191" s="318"/>
      <c r="O191" s="95"/>
      <c r="P191" s="143"/>
      <c r="Q191" s="318"/>
      <c r="R191" s="96">
        <f t="shared" si="30"/>
        <v>1.0209999999999999</v>
      </c>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row>
    <row r="192" spans="1:247" x14ac:dyDescent="0.25">
      <c r="A192" s="310">
        <v>7445</v>
      </c>
      <c r="B192" s="299" t="s">
        <v>3117</v>
      </c>
      <c r="C192" s="239" t="s">
        <v>205</v>
      </c>
      <c r="D192" s="311" t="s">
        <v>2935</v>
      </c>
      <c r="E192" s="143"/>
      <c r="F192" s="90">
        <f t="shared" si="29"/>
        <v>1.0209999999999999</v>
      </c>
      <c r="G192" s="318"/>
      <c r="H192" s="143"/>
      <c r="I192" s="300"/>
      <c r="J192" s="300"/>
      <c r="K192" s="300"/>
      <c r="L192" s="300"/>
      <c r="M192" s="300"/>
      <c r="N192" s="318"/>
      <c r="O192" s="95"/>
      <c r="P192" s="143"/>
      <c r="Q192" s="318"/>
      <c r="R192" s="96">
        <f t="shared" si="30"/>
        <v>1.0209999999999999</v>
      </c>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row>
    <row r="193" spans="1:247" x14ac:dyDescent="0.25">
      <c r="A193" s="310">
        <v>7446</v>
      </c>
      <c r="B193" s="299" t="s">
        <v>3118</v>
      </c>
      <c r="C193" s="239" t="s">
        <v>205</v>
      </c>
      <c r="D193" s="311" t="s">
        <v>2935</v>
      </c>
      <c r="E193" s="143"/>
      <c r="F193" s="90">
        <f t="shared" si="29"/>
        <v>1.0209999999999999</v>
      </c>
      <c r="G193" s="318"/>
      <c r="H193" s="143"/>
      <c r="I193" s="300"/>
      <c r="J193" s="300"/>
      <c r="K193" s="300"/>
      <c r="L193" s="300"/>
      <c r="M193" s="300"/>
      <c r="N193" s="318"/>
      <c r="O193" s="95"/>
      <c r="P193" s="143"/>
      <c r="Q193" s="318"/>
      <c r="R193" s="96">
        <f t="shared" si="30"/>
        <v>1.0209999999999999</v>
      </c>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row>
    <row r="194" spans="1:247" x14ac:dyDescent="0.25">
      <c r="A194" s="310">
        <v>7448</v>
      </c>
      <c r="B194" s="299" t="s">
        <v>3119</v>
      </c>
      <c r="C194" s="239" t="s">
        <v>205</v>
      </c>
      <c r="D194" s="311" t="s">
        <v>2935</v>
      </c>
      <c r="E194" s="143"/>
      <c r="F194" s="90">
        <f t="shared" si="29"/>
        <v>1.0209999999999999</v>
      </c>
      <c r="G194" s="318">
        <f>+$G$3</f>
        <v>1.0269999999999999</v>
      </c>
      <c r="H194" s="143"/>
      <c r="I194" s="300"/>
      <c r="J194" s="300"/>
      <c r="K194" s="300"/>
      <c r="L194" s="300">
        <f>+$L$3</f>
        <v>1.0129999999999999</v>
      </c>
      <c r="M194" s="300"/>
      <c r="N194" s="318">
        <f>+$N$3</f>
        <v>1.0029999999999999</v>
      </c>
      <c r="O194" s="95"/>
      <c r="P194" s="143">
        <f t="shared" ref="P194:P199" si="55">+$P$3</f>
        <v>1.032</v>
      </c>
      <c r="Q194" s="318">
        <f t="shared" ref="Q194:Q199" si="56">+$Q$3</f>
        <v>1.0349999999999999</v>
      </c>
      <c r="R194" s="96">
        <f t="shared" si="30"/>
        <v>1.1379589900046172</v>
      </c>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row>
    <row r="195" spans="1:247" x14ac:dyDescent="0.25">
      <c r="A195" s="310">
        <v>7449</v>
      </c>
      <c r="B195" s="299" t="s">
        <v>3120</v>
      </c>
      <c r="C195" s="239" t="s">
        <v>205</v>
      </c>
      <c r="D195" s="311" t="s">
        <v>2935</v>
      </c>
      <c r="E195" s="143">
        <f>+$E$3</f>
        <v>1.0740000000000001</v>
      </c>
      <c r="F195" s="90">
        <f t="shared" si="29"/>
        <v>1.0209999999999999</v>
      </c>
      <c r="G195" s="318">
        <f>+$G$3</f>
        <v>1.0269999999999999</v>
      </c>
      <c r="H195" s="143">
        <f>+$H$3</f>
        <v>1.0029999999999999</v>
      </c>
      <c r="I195" s="300">
        <f>+$I$3</f>
        <v>1.0289999999999999</v>
      </c>
      <c r="J195" s="300">
        <f>+$J$3</f>
        <v>1.0049999999999999</v>
      </c>
      <c r="K195" s="300">
        <f>+$K$3</f>
        <v>1.026</v>
      </c>
      <c r="L195" s="300">
        <f>+$L$3</f>
        <v>1.0129999999999999</v>
      </c>
      <c r="M195" s="300">
        <f>+$M$3</f>
        <v>1.0029999999999999</v>
      </c>
      <c r="N195" s="318">
        <f>+$N$3</f>
        <v>1.0029999999999999</v>
      </c>
      <c r="O195" s="95">
        <f>+$O$3</f>
        <v>1.0209999999999999</v>
      </c>
      <c r="P195" s="143">
        <f t="shared" si="55"/>
        <v>1.032</v>
      </c>
      <c r="Q195" s="318">
        <f t="shared" si="56"/>
        <v>1.0349999999999999</v>
      </c>
      <c r="R195" s="96">
        <f t="shared" si="30"/>
        <v>1.3319480854780448</v>
      </c>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row>
    <row r="196" spans="1:247" x14ac:dyDescent="0.25">
      <c r="A196" s="310">
        <v>7512</v>
      </c>
      <c r="B196" s="299" t="s">
        <v>3121</v>
      </c>
      <c r="C196" s="239" t="s">
        <v>76</v>
      </c>
      <c r="D196" s="311" t="s">
        <v>2927</v>
      </c>
      <c r="E196" s="143"/>
      <c r="F196" s="90">
        <f t="shared" si="29"/>
        <v>1.0209999999999999</v>
      </c>
      <c r="G196" s="318">
        <f>+$G$3</f>
        <v>1.0269999999999999</v>
      </c>
      <c r="H196" s="143"/>
      <c r="I196" s="300"/>
      <c r="J196" s="300"/>
      <c r="K196" s="300"/>
      <c r="L196" s="300">
        <f>+$L$3</f>
        <v>1.0129999999999999</v>
      </c>
      <c r="M196" s="300"/>
      <c r="N196" s="318">
        <f>+$N$3</f>
        <v>1.0029999999999999</v>
      </c>
      <c r="O196" s="95"/>
      <c r="P196" s="143">
        <f t="shared" si="55"/>
        <v>1.032</v>
      </c>
      <c r="Q196" s="318">
        <f t="shared" si="56"/>
        <v>1.0349999999999999</v>
      </c>
      <c r="R196" s="96">
        <f t="shared" si="30"/>
        <v>1.1379589900046172</v>
      </c>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row>
    <row r="197" spans="1:247" x14ac:dyDescent="0.25">
      <c r="A197" s="310">
        <v>7513</v>
      </c>
      <c r="B197" s="299" t="s">
        <v>3122</v>
      </c>
      <c r="C197" s="239" t="s">
        <v>76</v>
      </c>
      <c r="D197" s="311" t="s">
        <v>2927</v>
      </c>
      <c r="E197" s="143"/>
      <c r="F197" s="90">
        <f t="shared" si="29"/>
        <v>1.0209999999999999</v>
      </c>
      <c r="G197" s="318">
        <f>+$G$3</f>
        <v>1.0269999999999999</v>
      </c>
      <c r="H197" s="143"/>
      <c r="I197" s="300"/>
      <c r="J197" s="300"/>
      <c r="K197" s="300"/>
      <c r="L197" s="300"/>
      <c r="M197" s="300"/>
      <c r="N197" s="318"/>
      <c r="O197" s="95"/>
      <c r="P197" s="143">
        <f t="shared" si="55"/>
        <v>1.032</v>
      </c>
      <c r="Q197" s="318">
        <f t="shared" si="56"/>
        <v>1.0349999999999999</v>
      </c>
      <c r="R197" s="96">
        <f t="shared" si="30"/>
        <v>1.1199953840399997</v>
      </c>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row>
    <row r="198" spans="1:247" x14ac:dyDescent="0.25">
      <c r="A198" s="310">
        <v>7514</v>
      </c>
      <c r="B198" s="299" t="s">
        <v>3123</v>
      </c>
      <c r="C198" s="239" t="s">
        <v>76</v>
      </c>
      <c r="D198" s="311" t="s">
        <v>2927</v>
      </c>
      <c r="E198" s="143"/>
      <c r="F198" s="90">
        <f t="shared" si="29"/>
        <v>1.0209999999999999</v>
      </c>
      <c r="G198" s="318">
        <f>+$G$3</f>
        <v>1.0269999999999999</v>
      </c>
      <c r="H198" s="143"/>
      <c r="I198" s="300"/>
      <c r="J198" s="300"/>
      <c r="K198" s="300"/>
      <c r="L198" s="300"/>
      <c r="M198" s="300"/>
      <c r="N198" s="318"/>
      <c r="O198" s="95"/>
      <c r="P198" s="143">
        <f t="shared" si="55"/>
        <v>1.032</v>
      </c>
      <c r="Q198" s="318">
        <f t="shared" si="56"/>
        <v>1.0349999999999999</v>
      </c>
      <c r="R198" s="96">
        <f t="shared" si="30"/>
        <v>1.1199953840399997</v>
      </c>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row>
    <row r="199" spans="1:247" x14ac:dyDescent="0.25">
      <c r="A199" s="310">
        <v>7515</v>
      </c>
      <c r="B199" s="299" t="s">
        <v>3124</v>
      </c>
      <c r="C199" s="239" t="s">
        <v>76</v>
      </c>
      <c r="D199" s="311" t="s">
        <v>2927</v>
      </c>
      <c r="E199" s="143"/>
      <c r="F199" s="90">
        <f t="shared" si="29"/>
        <v>1.0209999999999999</v>
      </c>
      <c r="G199" s="318"/>
      <c r="H199" s="143"/>
      <c r="I199" s="300"/>
      <c r="J199" s="300"/>
      <c r="K199" s="300"/>
      <c r="L199" s="300"/>
      <c r="M199" s="300"/>
      <c r="N199" s="318"/>
      <c r="O199" s="95"/>
      <c r="P199" s="143">
        <f t="shared" si="55"/>
        <v>1.032</v>
      </c>
      <c r="Q199" s="318">
        <f t="shared" si="56"/>
        <v>1.0349999999999999</v>
      </c>
      <c r="R199" s="96">
        <f t="shared" si="30"/>
        <v>1.0905505199999999</v>
      </c>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row>
    <row r="200" spans="1:247" x14ac:dyDescent="0.25">
      <c r="A200" s="310">
        <v>7516</v>
      </c>
      <c r="B200" s="299" t="s">
        <v>3125</v>
      </c>
      <c r="C200" s="239" t="s">
        <v>76</v>
      </c>
      <c r="D200" s="311" t="s">
        <v>2927</v>
      </c>
      <c r="E200" s="143"/>
      <c r="F200" s="90">
        <f t="shared" si="29"/>
        <v>1.0209999999999999</v>
      </c>
      <c r="G200" s="318"/>
      <c r="H200" s="143"/>
      <c r="I200" s="300"/>
      <c r="J200" s="300"/>
      <c r="K200" s="300"/>
      <c r="L200" s="300"/>
      <c r="M200" s="300"/>
      <c r="N200" s="318"/>
      <c r="O200" s="95"/>
      <c r="P200" s="143"/>
      <c r="Q200" s="318"/>
      <c r="R200" s="96">
        <f t="shared" si="30"/>
        <v>1.0209999999999999</v>
      </c>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row>
    <row r="201" spans="1:247" x14ac:dyDescent="0.25">
      <c r="A201" s="310">
        <v>7517</v>
      </c>
      <c r="B201" s="299" t="s">
        <v>3126</v>
      </c>
      <c r="C201" s="239" t="s">
        <v>76</v>
      </c>
      <c r="D201" s="311" t="s">
        <v>2927</v>
      </c>
      <c r="E201" s="143"/>
      <c r="F201" s="90">
        <f t="shared" si="29"/>
        <v>1.0209999999999999</v>
      </c>
      <c r="G201" s="318"/>
      <c r="H201" s="143"/>
      <c r="I201" s="300"/>
      <c r="J201" s="300"/>
      <c r="K201" s="300"/>
      <c r="L201" s="300"/>
      <c r="M201" s="300"/>
      <c r="N201" s="318"/>
      <c r="O201" s="95"/>
      <c r="P201" s="143"/>
      <c r="Q201" s="318"/>
      <c r="R201" s="96">
        <f t="shared" si="30"/>
        <v>1.0209999999999999</v>
      </c>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row>
    <row r="202" spans="1:247" x14ac:dyDescent="0.25">
      <c r="A202" s="310">
        <v>7518</v>
      </c>
      <c r="B202" s="299" t="s">
        <v>3127</v>
      </c>
      <c r="C202" s="239" t="s">
        <v>76</v>
      </c>
      <c r="D202" s="311" t="s">
        <v>2927</v>
      </c>
      <c r="E202" s="143"/>
      <c r="F202" s="90">
        <f t="shared" si="29"/>
        <v>1.0209999999999999</v>
      </c>
      <c r="G202" s="318">
        <f>+$G$3</f>
        <v>1.0269999999999999</v>
      </c>
      <c r="H202" s="143"/>
      <c r="I202" s="300"/>
      <c r="J202" s="300"/>
      <c r="K202" s="300"/>
      <c r="L202" s="300"/>
      <c r="M202" s="300"/>
      <c r="N202" s="318"/>
      <c r="O202" s="95"/>
      <c r="P202" s="143">
        <f>+$P$3</f>
        <v>1.032</v>
      </c>
      <c r="Q202" s="318">
        <f>+$Q$3</f>
        <v>1.0349999999999999</v>
      </c>
      <c r="R202" s="96">
        <f t="shared" si="30"/>
        <v>1.1199953840399997</v>
      </c>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row>
    <row r="203" spans="1:247" x14ac:dyDescent="0.25">
      <c r="A203" s="310">
        <v>7521</v>
      </c>
      <c r="B203" s="299" t="s">
        <v>3128</v>
      </c>
      <c r="C203" s="239" t="s">
        <v>76</v>
      </c>
      <c r="D203" s="311" t="s">
        <v>2927</v>
      </c>
      <c r="E203" s="143"/>
      <c r="F203" s="90">
        <f t="shared" si="29"/>
        <v>1.0209999999999999</v>
      </c>
      <c r="G203" s="318"/>
      <c r="H203" s="143"/>
      <c r="I203" s="300"/>
      <c r="J203" s="300"/>
      <c r="K203" s="300"/>
      <c r="L203" s="300"/>
      <c r="M203" s="300"/>
      <c r="N203" s="318"/>
      <c r="O203" s="95"/>
      <c r="P203" s="143"/>
      <c r="Q203" s="318"/>
      <c r="R203" s="96">
        <f t="shared" si="30"/>
        <v>1.0209999999999999</v>
      </c>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row>
    <row r="204" spans="1:247" x14ac:dyDescent="0.25">
      <c r="A204" s="310">
        <v>7523</v>
      </c>
      <c r="B204" s="299" t="s">
        <v>3129</v>
      </c>
      <c r="C204" s="239" t="s">
        <v>76</v>
      </c>
      <c r="D204" s="311" t="s">
        <v>2927</v>
      </c>
      <c r="E204" s="143"/>
      <c r="F204" s="90">
        <f t="shared" ref="F204:F275" si="57">+$F$3</f>
        <v>1.0209999999999999</v>
      </c>
      <c r="G204" s="318">
        <f>+$G$3</f>
        <v>1.0269999999999999</v>
      </c>
      <c r="H204" s="143"/>
      <c r="I204" s="300"/>
      <c r="J204" s="300"/>
      <c r="K204" s="300"/>
      <c r="L204" s="300"/>
      <c r="M204" s="300"/>
      <c r="N204" s="318"/>
      <c r="O204" s="95"/>
      <c r="P204" s="143"/>
      <c r="Q204" s="318"/>
      <c r="R204" s="96">
        <f t="shared" ref="R204:R275" si="58">PRODUCT(E204:Q204)</f>
        <v>1.0485669999999998</v>
      </c>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row>
    <row r="205" spans="1:247" x14ac:dyDescent="0.25">
      <c r="A205" s="310">
        <v>7524</v>
      </c>
      <c r="B205" s="299" t="s">
        <v>3130</v>
      </c>
      <c r="C205" s="239" t="s">
        <v>76</v>
      </c>
      <c r="D205" s="311" t="s">
        <v>2927</v>
      </c>
      <c r="E205" s="143"/>
      <c r="F205" s="90">
        <f t="shared" si="57"/>
        <v>1.0209999999999999</v>
      </c>
      <c r="G205" s="318">
        <f>+$G$3</f>
        <v>1.0269999999999999</v>
      </c>
      <c r="H205" s="143"/>
      <c r="I205" s="300"/>
      <c r="J205" s="300"/>
      <c r="K205" s="300"/>
      <c r="L205" s="300"/>
      <c r="M205" s="300"/>
      <c r="N205" s="318"/>
      <c r="O205" s="95"/>
      <c r="P205" s="143">
        <f>+$P$3</f>
        <v>1.032</v>
      </c>
      <c r="Q205" s="318">
        <f>+$Q$3</f>
        <v>1.0349999999999999</v>
      </c>
      <c r="R205" s="96">
        <f t="shared" si="58"/>
        <v>1.1199953840399997</v>
      </c>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row>
    <row r="206" spans="1:247" x14ac:dyDescent="0.25">
      <c r="A206" s="310">
        <v>7531</v>
      </c>
      <c r="B206" s="299" t="s">
        <v>3131</v>
      </c>
      <c r="C206" s="239" t="s">
        <v>205</v>
      </c>
      <c r="D206" s="311" t="s">
        <v>2927</v>
      </c>
      <c r="E206" s="143"/>
      <c r="F206" s="90">
        <f t="shared" si="57"/>
        <v>1.0209999999999999</v>
      </c>
      <c r="G206" s="318"/>
      <c r="H206" s="143"/>
      <c r="I206" s="300"/>
      <c r="J206" s="300"/>
      <c r="K206" s="300"/>
      <c r="L206" s="300"/>
      <c r="M206" s="300"/>
      <c r="N206" s="318"/>
      <c r="O206" s="95"/>
      <c r="P206" s="143"/>
      <c r="Q206" s="318"/>
      <c r="R206" s="96">
        <f t="shared" si="58"/>
        <v>1.0209999999999999</v>
      </c>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row>
    <row r="207" spans="1:247" x14ac:dyDescent="0.25">
      <c r="A207" s="310">
        <v>7532</v>
      </c>
      <c r="B207" s="299" t="s">
        <v>3132</v>
      </c>
      <c r="C207" s="239" t="s">
        <v>76</v>
      </c>
      <c r="D207" s="311" t="s">
        <v>2927</v>
      </c>
      <c r="E207" s="143"/>
      <c r="F207" s="90">
        <f t="shared" si="57"/>
        <v>1.0209999999999999</v>
      </c>
      <c r="G207" s="318">
        <f>+$G$3</f>
        <v>1.0269999999999999</v>
      </c>
      <c r="H207" s="143"/>
      <c r="I207" s="300"/>
      <c r="J207" s="300"/>
      <c r="K207" s="300"/>
      <c r="L207" s="300"/>
      <c r="M207" s="300"/>
      <c r="N207" s="318"/>
      <c r="O207" s="95"/>
      <c r="P207" s="143"/>
      <c r="Q207" s="318"/>
      <c r="R207" s="96">
        <f t="shared" si="58"/>
        <v>1.0485669999999998</v>
      </c>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row>
    <row r="208" spans="1:247" x14ac:dyDescent="0.25">
      <c r="A208" s="310">
        <v>7541</v>
      </c>
      <c r="B208" s="299" t="s">
        <v>3133</v>
      </c>
      <c r="C208" s="239" t="s">
        <v>76</v>
      </c>
      <c r="D208" s="311" t="s">
        <v>2927</v>
      </c>
      <c r="E208" s="143"/>
      <c r="F208" s="90">
        <f t="shared" si="57"/>
        <v>1.0209999999999999</v>
      </c>
      <c r="G208" s="318">
        <f>+$G$3</f>
        <v>1.0269999999999999</v>
      </c>
      <c r="H208" s="143"/>
      <c r="I208" s="300"/>
      <c r="J208" s="300"/>
      <c r="K208" s="300"/>
      <c r="L208" s="300"/>
      <c r="M208" s="300"/>
      <c r="N208" s="318"/>
      <c r="O208" s="95"/>
      <c r="P208" s="143"/>
      <c r="Q208" s="318"/>
      <c r="R208" s="96">
        <f t="shared" si="58"/>
        <v>1.0485669999999998</v>
      </c>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row>
    <row r="209" spans="1:247" x14ac:dyDescent="0.25">
      <c r="A209" s="310">
        <v>7542</v>
      </c>
      <c r="B209" s="299" t="s">
        <v>3134</v>
      </c>
      <c r="C209" s="239" t="s">
        <v>76</v>
      </c>
      <c r="D209" s="311" t="s">
        <v>2927</v>
      </c>
      <c r="E209" s="143"/>
      <c r="F209" s="90">
        <f t="shared" si="57"/>
        <v>1.0209999999999999</v>
      </c>
      <c r="G209" s="318">
        <f>+$G$3</f>
        <v>1.0269999999999999</v>
      </c>
      <c r="H209" s="143"/>
      <c r="I209" s="300"/>
      <c r="J209" s="300"/>
      <c r="K209" s="300"/>
      <c r="L209" s="300"/>
      <c r="M209" s="300"/>
      <c r="N209" s="318"/>
      <c r="O209" s="95"/>
      <c r="P209" s="143"/>
      <c r="Q209" s="318"/>
      <c r="R209" s="96">
        <f>PRODUCT(E209:Q209)</f>
        <v>1.0485669999999998</v>
      </c>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row>
    <row r="210" spans="1:247" x14ac:dyDescent="0.25">
      <c r="A210" s="310">
        <v>7601</v>
      </c>
      <c r="B210" s="299" t="s">
        <v>3135</v>
      </c>
      <c r="C210" s="239" t="s">
        <v>205</v>
      </c>
      <c r="D210" s="311" t="s">
        <v>2935</v>
      </c>
      <c r="E210" s="143">
        <f>+$E$3</f>
        <v>1.0740000000000001</v>
      </c>
      <c r="F210" s="90">
        <f t="shared" si="57"/>
        <v>1.0209999999999999</v>
      </c>
      <c r="G210" s="318">
        <f>+$G$3</f>
        <v>1.0269999999999999</v>
      </c>
      <c r="H210" s="143">
        <f>+$H$3</f>
        <v>1.0029999999999999</v>
      </c>
      <c r="I210" s="300">
        <f>+$I$3</f>
        <v>1.0289999999999999</v>
      </c>
      <c r="J210" s="300">
        <f>+$J$3</f>
        <v>1.0049999999999999</v>
      </c>
      <c r="K210" s="300">
        <f>+$K$3</f>
        <v>1.026</v>
      </c>
      <c r="L210" s="300">
        <f>+$L$3</f>
        <v>1.0129999999999999</v>
      </c>
      <c r="M210" s="300">
        <f>+$M$3</f>
        <v>1.0029999999999999</v>
      </c>
      <c r="N210" s="318">
        <f>+$N$3</f>
        <v>1.0029999999999999</v>
      </c>
      <c r="O210" s="95">
        <f>+$O$3</f>
        <v>1.0209999999999999</v>
      </c>
      <c r="P210" s="143">
        <f t="shared" ref="P210:P230" si="59">+$P$3</f>
        <v>1.032</v>
      </c>
      <c r="Q210" s="318">
        <f t="shared" ref="Q210:Q230" si="60">+$Q$3</f>
        <v>1.0349999999999999</v>
      </c>
      <c r="R210" s="96">
        <f t="shared" si="58"/>
        <v>1.3319480854780448</v>
      </c>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row>
    <row r="211" spans="1:247" x14ac:dyDescent="0.25">
      <c r="A211" s="310">
        <v>7604</v>
      </c>
      <c r="B211" s="299" t="s">
        <v>3136</v>
      </c>
      <c r="C211" s="239" t="s">
        <v>537</v>
      </c>
      <c r="D211" s="311" t="s">
        <v>2927</v>
      </c>
      <c r="E211" s="143"/>
      <c r="F211" s="90">
        <f t="shared" si="57"/>
        <v>1.0209999999999999</v>
      </c>
      <c r="G211" s="318">
        <f>+$G$3</f>
        <v>1.0269999999999999</v>
      </c>
      <c r="H211" s="143"/>
      <c r="I211" s="300"/>
      <c r="J211" s="300"/>
      <c r="K211" s="300"/>
      <c r="L211" s="300"/>
      <c r="M211" s="300"/>
      <c r="N211" s="318"/>
      <c r="O211" s="95"/>
      <c r="P211" s="143">
        <f t="shared" si="59"/>
        <v>1.032</v>
      </c>
      <c r="Q211" s="318">
        <f t="shared" si="60"/>
        <v>1.0349999999999999</v>
      </c>
      <c r="R211" s="96">
        <f t="shared" si="58"/>
        <v>1.1199953840399997</v>
      </c>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row>
    <row r="212" spans="1:247" x14ac:dyDescent="0.25">
      <c r="A212" s="310">
        <v>8111</v>
      </c>
      <c r="B212" s="299" t="s">
        <v>3137</v>
      </c>
      <c r="C212" s="239" t="s">
        <v>2270</v>
      </c>
      <c r="D212" s="311" t="s">
        <v>2927</v>
      </c>
      <c r="E212" s="143"/>
      <c r="F212" s="90">
        <f t="shared" si="57"/>
        <v>1.0209999999999999</v>
      </c>
      <c r="G212" s="318"/>
      <c r="H212" s="143"/>
      <c r="I212" s="300"/>
      <c r="J212" s="300"/>
      <c r="K212" s="300"/>
      <c r="L212" s="300"/>
      <c r="M212" s="300"/>
      <c r="N212" s="318"/>
      <c r="O212" s="95"/>
      <c r="P212" s="143">
        <f t="shared" si="59"/>
        <v>1.032</v>
      </c>
      <c r="Q212" s="318">
        <f t="shared" si="60"/>
        <v>1.0349999999999999</v>
      </c>
      <c r="R212" s="96">
        <f t="shared" si="58"/>
        <v>1.0905505199999999</v>
      </c>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row>
    <row r="213" spans="1:247" x14ac:dyDescent="0.25">
      <c r="A213" s="310">
        <v>8113</v>
      </c>
      <c r="B213" s="299" t="s">
        <v>3138</v>
      </c>
      <c r="C213" s="239" t="s">
        <v>2284</v>
      </c>
      <c r="D213" s="311" t="s">
        <v>2927</v>
      </c>
      <c r="E213" s="143"/>
      <c r="F213" s="90">
        <f t="shared" si="57"/>
        <v>1.0209999999999999</v>
      </c>
      <c r="G213" s="318">
        <f>+$G$3</f>
        <v>1.0269999999999999</v>
      </c>
      <c r="H213" s="143"/>
      <c r="I213" s="300"/>
      <c r="J213" s="300"/>
      <c r="K213" s="300"/>
      <c r="L213" s="300"/>
      <c r="M213" s="300"/>
      <c r="N213" s="318"/>
      <c r="O213" s="95"/>
      <c r="P213" s="143">
        <f t="shared" si="59"/>
        <v>1.032</v>
      </c>
      <c r="Q213" s="318">
        <f t="shared" si="60"/>
        <v>1.0349999999999999</v>
      </c>
      <c r="R213" s="96">
        <f t="shared" si="58"/>
        <v>1.1199953840399997</v>
      </c>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row>
    <row r="214" spans="1:247" x14ac:dyDescent="0.25">
      <c r="A214" s="310">
        <v>8114</v>
      </c>
      <c r="B214" s="299" t="s">
        <v>3139</v>
      </c>
      <c r="C214" s="239" t="s">
        <v>2270</v>
      </c>
      <c r="D214" s="311" t="s">
        <v>2927</v>
      </c>
      <c r="E214" s="143"/>
      <c r="F214" s="90">
        <f t="shared" si="57"/>
        <v>1.0209999999999999</v>
      </c>
      <c r="G214" s="318">
        <f>+$G$3</f>
        <v>1.0269999999999999</v>
      </c>
      <c r="H214" s="143"/>
      <c r="I214" s="300"/>
      <c r="J214" s="300"/>
      <c r="K214" s="300"/>
      <c r="L214" s="300"/>
      <c r="M214" s="300"/>
      <c r="N214" s="318"/>
      <c r="O214" s="95"/>
      <c r="P214" s="143">
        <f t="shared" si="59"/>
        <v>1.032</v>
      </c>
      <c r="Q214" s="318">
        <f t="shared" si="60"/>
        <v>1.0349999999999999</v>
      </c>
      <c r="R214" s="96">
        <f t="shared" si="58"/>
        <v>1.1199953840399997</v>
      </c>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row>
    <row r="215" spans="1:247" x14ac:dyDescent="0.25">
      <c r="A215" s="310">
        <v>8115</v>
      </c>
      <c r="B215" s="299" t="s">
        <v>3140</v>
      </c>
      <c r="C215" s="239" t="s">
        <v>2270</v>
      </c>
      <c r="D215" s="311" t="s">
        <v>2927</v>
      </c>
      <c r="E215" s="143"/>
      <c r="F215" s="90">
        <f t="shared" si="57"/>
        <v>1.0209999999999999</v>
      </c>
      <c r="G215" s="318">
        <f>+$G$3</f>
        <v>1.0269999999999999</v>
      </c>
      <c r="H215" s="143"/>
      <c r="I215" s="300"/>
      <c r="J215" s="300"/>
      <c r="K215" s="300"/>
      <c r="L215" s="300"/>
      <c r="M215" s="300"/>
      <c r="N215" s="318"/>
      <c r="O215" s="95"/>
      <c r="P215" s="143">
        <f t="shared" si="59"/>
        <v>1.032</v>
      </c>
      <c r="Q215" s="318">
        <f t="shared" si="60"/>
        <v>1.0349999999999999</v>
      </c>
      <c r="R215" s="96">
        <f>PRODUCT(E215:Q215)</f>
        <v>1.1199953840399997</v>
      </c>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row>
    <row r="216" spans="1:247" x14ac:dyDescent="0.25">
      <c r="A216" s="310">
        <v>8122</v>
      </c>
      <c r="B216" s="299" t="s">
        <v>3141</v>
      </c>
      <c r="C216" s="239" t="s">
        <v>76</v>
      </c>
      <c r="D216" s="311" t="s">
        <v>2927</v>
      </c>
      <c r="E216" s="143"/>
      <c r="F216" s="90">
        <f t="shared" si="57"/>
        <v>1.0209999999999999</v>
      </c>
      <c r="G216" s="318"/>
      <c r="H216" s="143"/>
      <c r="I216" s="300"/>
      <c r="J216" s="300"/>
      <c r="K216" s="300"/>
      <c r="L216" s="300"/>
      <c r="M216" s="300"/>
      <c r="N216" s="318"/>
      <c r="O216" s="95"/>
      <c r="P216" s="143">
        <f t="shared" si="59"/>
        <v>1.032</v>
      </c>
      <c r="Q216" s="318">
        <f t="shared" si="60"/>
        <v>1.0349999999999999</v>
      </c>
      <c r="R216" s="96">
        <f t="shared" si="58"/>
        <v>1.0905505199999999</v>
      </c>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row>
    <row r="217" spans="1:247" x14ac:dyDescent="0.25">
      <c r="A217" s="310">
        <v>8124</v>
      </c>
      <c r="B217" s="299" t="s">
        <v>3142</v>
      </c>
      <c r="C217" s="239" t="s">
        <v>2270</v>
      </c>
      <c r="D217" s="311" t="s">
        <v>2927</v>
      </c>
      <c r="E217" s="143"/>
      <c r="F217" s="90">
        <f t="shared" si="57"/>
        <v>1.0209999999999999</v>
      </c>
      <c r="G217" s="318"/>
      <c r="H217" s="143"/>
      <c r="I217" s="300"/>
      <c r="J217" s="300"/>
      <c r="K217" s="300"/>
      <c r="L217" s="300"/>
      <c r="M217" s="300"/>
      <c r="N217" s="318"/>
      <c r="O217" s="95"/>
      <c r="P217" s="143">
        <f t="shared" si="59"/>
        <v>1.032</v>
      </c>
      <c r="Q217" s="318">
        <f t="shared" si="60"/>
        <v>1.0349999999999999</v>
      </c>
      <c r="R217" s="96">
        <f t="shared" si="58"/>
        <v>1.0905505199999999</v>
      </c>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row>
    <row r="218" spans="1:247" x14ac:dyDescent="0.25">
      <c r="A218" s="310">
        <v>8134</v>
      </c>
      <c r="B218" s="299" t="s">
        <v>3143</v>
      </c>
      <c r="C218" s="239" t="s">
        <v>76</v>
      </c>
      <c r="D218" s="311" t="s">
        <v>2927</v>
      </c>
      <c r="E218" s="143"/>
      <c r="F218" s="90">
        <f t="shared" si="57"/>
        <v>1.0209999999999999</v>
      </c>
      <c r="G218" s="318"/>
      <c r="H218" s="143"/>
      <c r="I218" s="300"/>
      <c r="J218" s="300"/>
      <c r="K218" s="300"/>
      <c r="L218" s="300"/>
      <c r="M218" s="300"/>
      <c r="N218" s="318"/>
      <c r="O218" s="95"/>
      <c r="P218" s="143">
        <f t="shared" si="59"/>
        <v>1.032</v>
      </c>
      <c r="Q218" s="318">
        <f t="shared" si="60"/>
        <v>1.0349999999999999</v>
      </c>
      <c r="R218" s="96">
        <f>PRODUCT(E218:Q218)</f>
        <v>1.0905505199999999</v>
      </c>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row>
    <row r="219" spans="1:247" x14ac:dyDescent="0.25">
      <c r="A219" s="310">
        <v>8211</v>
      </c>
      <c r="B219" s="299" t="s">
        <v>3144</v>
      </c>
      <c r="C219" s="239" t="s">
        <v>3145</v>
      </c>
      <c r="D219" s="311" t="s">
        <v>2927</v>
      </c>
      <c r="E219" s="143"/>
      <c r="F219" s="90">
        <f t="shared" si="57"/>
        <v>1.0209999999999999</v>
      </c>
      <c r="G219" s="318"/>
      <c r="H219" s="143"/>
      <c r="I219" s="300"/>
      <c r="J219" s="300"/>
      <c r="K219" s="300"/>
      <c r="L219" s="300"/>
      <c r="M219" s="300"/>
      <c r="N219" s="318"/>
      <c r="O219" s="95"/>
      <c r="P219" s="143">
        <f t="shared" si="59"/>
        <v>1.032</v>
      </c>
      <c r="Q219" s="318">
        <f t="shared" si="60"/>
        <v>1.0349999999999999</v>
      </c>
      <c r="R219" s="96">
        <f t="shared" si="58"/>
        <v>1.0905505199999999</v>
      </c>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row>
    <row r="220" spans="1:247" x14ac:dyDescent="0.25">
      <c r="A220" s="310">
        <v>8231</v>
      </c>
      <c r="B220" s="299" t="s">
        <v>3146</v>
      </c>
      <c r="C220" s="239" t="s">
        <v>3145</v>
      </c>
      <c r="D220" s="311" t="s">
        <v>2927</v>
      </c>
      <c r="E220" s="143"/>
      <c r="F220" s="90">
        <f t="shared" si="57"/>
        <v>1.0209999999999999</v>
      </c>
      <c r="G220" s="318"/>
      <c r="H220" s="143"/>
      <c r="I220" s="300"/>
      <c r="J220" s="300"/>
      <c r="K220" s="300"/>
      <c r="L220" s="300"/>
      <c r="M220" s="300"/>
      <c r="N220" s="318"/>
      <c r="O220" s="95"/>
      <c r="P220" s="143">
        <f t="shared" si="59"/>
        <v>1.032</v>
      </c>
      <c r="Q220" s="318">
        <f t="shared" si="60"/>
        <v>1.0349999999999999</v>
      </c>
      <c r="R220" s="96">
        <f t="shared" si="58"/>
        <v>1.0905505199999999</v>
      </c>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row>
    <row r="221" spans="1:247" x14ac:dyDescent="0.25">
      <c r="A221" s="310">
        <v>8232</v>
      </c>
      <c r="B221" s="299" t="s">
        <v>3147</v>
      </c>
      <c r="C221" s="239" t="s">
        <v>76</v>
      </c>
      <c r="D221" s="311" t="s">
        <v>2927</v>
      </c>
      <c r="E221" s="143"/>
      <c r="F221" s="90">
        <f t="shared" si="57"/>
        <v>1.0209999999999999</v>
      </c>
      <c r="G221" s="318"/>
      <c r="H221" s="143"/>
      <c r="I221" s="300"/>
      <c r="J221" s="300"/>
      <c r="K221" s="300"/>
      <c r="L221" s="300"/>
      <c r="M221" s="300"/>
      <c r="N221" s="318"/>
      <c r="O221" s="95"/>
      <c r="P221" s="143">
        <f t="shared" si="59"/>
        <v>1.032</v>
      </c>
      <c r="Q221" s="318">
        <f t="shared" si="60"/>
        <v>1.0349999999999999</v>
      </c>
      <c r="R221" s="96">
        <f t="shared" si="58"/>
        <v>1.0905505199999999</v>
      </c>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row>
    <row r="222" spans="1:247" x14ac:dyDescent="0.25">
      <c r="A222" s="310">
        <v>8241</v>
      </c>
      <c r="B222" s="299" t="s">
        <v>3148</v>
      </c>
      <c r="C222" s="239" t="s">
        <v>40</v>
      </c>
      <c r="D222" s="311" t="s">
        <v>2930</v>
      </c>
      <c r="E222" s="143"/>
      <c r="F222" s="90">
        <f t="shared" si="57"/>
        <v>1.0209999999999999</v>
      </c>
      <c r="G222" s="318"/>
      <c r="H222" s="143"/>
      <c r="I222" s="300"/>
      <c r="J222" s="300"/>
      <c r="K222" s="300"/>
      <c r="L222" s="300"/>
      <c r="M222" s="300"/>
      <c r="N222" s="318"/>
      <c r="O222" s="95"/>
      <c r="P222" s="143">
        <f t="shared" si="59"/>
        <v>1.032</v>
      </c>
      <c r="Q222" s="318">
        <f t="shared" si="60"/>
        <v>1.0349999999999999</v>
      </c>
      <c r="R222" s="96">
        <f t="shared" si="58"/>
        <v>1.0905505199999999</v>
      </c>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row>
    <row r="223" spans="1:247" x14ac:dyDescent="0.25">
      <c r="A223" s="310">
        <v>8261</v>
      </c>
      <c r="B223" s="299" t="s">
        <v>3149</v>
      </c>
      <c r="C223" s="239" t="s">
        <v>2450</v>
      </c>
      <c r="D223" s="311" t="s">
        <v>2927</v>
      </c>
      <c r="E223" s="143"/>
      <c r="F223" s="90">
        <f t="shared" si="57"/>
        <v>1.0209999999999999</v>
      </c>
      <c r="G223" s="318"/>
      <c r="H223" s="143"/>
      <c r="I223" s="300"/>
      <c r="J223" s="300"/>
      <c r="K223" s="300"/>
      <c r="L223" s="300"/>
      <c r="M223" s="300"/>
      <c r="N223" s="318"/>
      <c r="O223" s="95"/>
      <c r="P223" s="143">
        <f t="shared" si="59"/>
        <v>1.032</v>
      </c>
      <c r="Q223" s="318">
        <f t="shared" si="60"/>
        <v>1.0349999999999999</v>
      </c>
      <c r="R223" s="96">
        <f t="shared" si="58"/>
        <v>1.0905505199999999</v>
      </c>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row>
    <row r="224" spans="1:247" x14ac:dyDescent="0.25">
      <c r="A224" s="310">
        <v>8271</v>
      </c>
      <c r="B224" s="299" t="s">
        <v>3150</v>
      </c>
      <c r="C224" s="239" t="s">
        <v>40</v>
      </c>
      <c r="D224" s="311" t="s">
        <v>2930</v>
      </c>
      <c r="E224" s="143"/>
      <c r="F224" s="90">
        <f t="shared" si="57"/>
        <v>1.0209999999999999</v>
      </c>
      <c r="G224" s="318"/>
      <c r="H224" s="143"/>
      <c r="I224" s="300"/>
      <c r="J224" s="300"/>
      <c r="K224" s="300"/>
      <c r="L224" s="300"/>
      <c r="M224" s="300"/>
      <c r="N224" s="318"/>
      <c r="O224" s="95"/>
      <c r="P224" s="143">
        <f t="shared" si="59"/>
        <v>1.032</v>
      </c>
      <c r="Q224" s="318">
        <f t="shared" si="60"/>
        <v>1.0349999999999999</v>
      </c>
      <c r="R224" s="96">
        <f t="shared" si="58"/>
        <v>1.0905505199999999</v>
      </c>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row>
    <row r="225" spans="1:247" x14ac:dyDescent="0.25">
      <c r="A225" s="310">
        <v>8311</v>
      </c>
      <c r="B225" s="299" t="s">
        <v>3151</v>
      </c>
      <c r="C225" s="239" t="s">
        <v>2465</v>
      </c>
      <c r="D225" s="311" t="s">
        <v>2927</v>
      </c>
      <c r="E225" s="143"/>
      <c r="F225" s="90">
        <f t="shared" si="57"/>
        <v>1.0209999999999999</v>
      </c>
      <c r="G225" s="318">
        <f>+$G$3</f>
        <v>1.0269999999999999</v>
      </c>
      <c r="H225" s="143"/>
      <c r="I225" s="300"/>
      <c r="J225" s="300"/>
      <c r="K225" s="300"/>
      <c r="L225" s="300"/>
      <c r="M225" s="300"/>
      <c r="N225" s="318"/>
      <c r="O225" s="95"/>
      <c r="P225" s="143">
        <f t="shared" si="59"/>
        <v>1.032</v>
      </c>
      <c r="Q225" s="318">
        <f t="shared" si="60"/>
        <v>1.0349999999999999</v>
      </c>
      <c r="R225" s="96">
        <f t="shared" si="58"/>
        <v>1.1199953840399997</v>
      </c>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row>
    <row r="226" spans="1:247" x14ac:dyDescent="0.25">
      <c r="A226" s="310">
        <v>8312</v>
      </c>
      <c r="B226" s="299" t="s">
        <v>3152</v>
      </c>
      <c r="C226" s="239" t="s">
        <v>2465</v>
      </c>
      <c r="D226" s="311" t="s">
        <v>2927</v>
      </c>
      <c r="E226" s="143"/>
      <c r="F226" s="90">
        <f t="shared" si="57"/>
        <v>1.0209999999999999</v>
      </c>
      <c r="G226" s="318">
        <f>+$G$3</f>
        <v>1.0269999999999999</v>
      </c>
      <c r="H226" s="143"/>
      <c r="I226" s="300"/>
      <c r="J226" s="300"/>
      <c r="K226" s="300"/>
      <c r="L226" s="300"/>
      <c r="M226" s="300"/>
      <c r="N226" s="318"/>
      <c r="O226" s="95"/>
      <c r="P226" s="143">
        <f t="shared" si="59"/>
        <v>1.032</v>
      </c>
      <c r="Q226" s="318">
        <f t="shared" si="60"/>
        <v>1.0349999999999999</v>
      </c>
      <c r="R226" s="96">
        <f t="shared" si="58"/>
        <v>1.1199953840399997</v>
      </c>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row>
    <row r="227" spans="1:247" x14ac:dyDescent="0.25">
      <c r="A227" s="310">
        <v>8313</v>
      </c>
      <c r="B227" s="299" t="s">
        <v>3153</v>
      </c>
      <c r="C227" s="239" t="s">
        <v>2465</v>
      </c>
      <c r="D227" s="311" t="s">
        <v>2927</v>
      </c>
      <c r="E227" s="143"/>
      <c r="F227" s="90">
        <f t="shared" si="57"/>
        <v>1.0209999999999999</v>
      </c>
      <c r="G227" s="318">
        <f>+$G$3</f>
        <v>1.0269999999999999</v>
      </c>
      <c r="H227" s="143"/>
      <c r="I227" s="300"/>
      <c r="J227" s="300"/>
      <c r="K227" s="300"/>
      <c r="L227" s="300"/>
      <c r="M227" s="300"/>
      <c r="N227" s="318"/>
      <c r="O227" s="95"/>
      <c r="P227" s="143">
        <f t="shared" si="59"/>
        <v>1.032</v>
      </c>
      <c r="Q227" s="318">
        <f t="shared" si="60"/>
        <v>1.0349999999999999</v>
      </c>
      <c r="R227" s="96">
        <f t="shared" si="58"/>
        <v>1.1199953840399997</v>
      </c>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row>
    <row r="228" spans="1:247" x14ac:dyDescent="0.25">
      <c r="A228" s="310">
        <v>8314</v>
      </c>
      <c r="B228" s="299" t="s">
        <v>3154</v>
      </c>
      <c r="C228" s="239" t="s">
        <v>214</v>
      </c>
      <c r="D228" s="311" t="s">
        <v>2927</v>
      </c>
      <c r="E228" s="143"/>
      <c r="F228" s="90">
        <f t="shared" si="57"/>
        <v>1.0209999999999999</v>
      </c>
      <c r="G228" s="318"/>
      <c r="H228" s="143"/>
      <c r="I228" s="300"/>
      <c r="J228" s="300"/>
      <c r="K228" s="300"/>
      <c r="L228" s="300"/>
      <c r="M228" s="300"/>
      <c r="N228" s="318"/>
      <c r="O228" s="95"/>
      <c r="P228" s="143">
        <f t="shared" si="59"/>
        <v>1.032</v>
      </c>
      <c r="Q228" s="318">
        <f t="shared" si="60"/>
        <v>1.0349999999999999</v>
      </c>
      <c r="R228" s="96">
        <f t="shared" si="58"/>
        <v>1.0905505199999999</v>
      </c>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row>
    <row r="229" spans="1:247" x14ac:dyDescent="0.25">
      <c r="A229" s="310">
        <v>8315</v>
      </c>
      <c r="B229" s="299" t="s">
        <v>3155</v>
      </c>
      <c r="C229" s="239" t="s">
        <v>214</v>
      </c>
      <c r="D229" s="311" t="s">
        <v>2927</v>
      </c>
      <c r="E229" s="143"/>
      <c r="F229" s="90">
        <f t="shared" si="57"/>
        <v>1.0209999999999999</v>
      </c>
      <c r="G229" s="318"/>
      <c r="H229" s="143"/>
      <c r="I229" s="300"/>
      <c r="J229" s="300"/>
      <c r="K229" s="300"/>
      <c r="L229" s="300"/>
      <c r="M229" s="300"/>
      <c r="N229" s="318"/>
      <c r="O229" s="95"/>
      <c r="P229" s="143">
        <f t="shared" si="59"/>
        <v>1.032</v>
      </c>
      <c r="Q229" s="318">
        <f t="shared" si="60"/>
        <v>1.0349999999999999</v>
      </c>
      <c r="R229" s="96">
        <f t="shared" si="58"/>
        <v>1.0905505199999999</v>
      </c>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row>
    <row r="230" spans="1:247" x14ac:dyDescent="0.25">
      <c r="A230" s="310">
        <v>8321</v>
      </c>
      <c r="B230" s="299" t="s">
        <v>3156</v>
      </c>
      <c r="C230" s="239" t="s">
        <v>40</v>
      </c>
      <c r="D230" s="311" t="s">
        <v>2930</v>
      </c>
      <c r="E230" s="143"/>
      <c r="F230" s="90">
        <f t="shared" si="57"/>
        <v>1.0209999999999999</v>
      </c>
      <c r="G230" s="318"/>
      <c r="H230" s="143"/>
      <c r="I230" s="300"/>
      <c r="J230" s="300"/>
      <c r="K230" s="300"/>
      <c r="L230" s="300"/>
      <c r="M230" s="300"/>
      <c r="N230" s="318"/>
      <c r="O230" s="95"/>
      <c r="P230" s="143">
        <f t="shared" si="59"/>
        <v>1.032</v>
      </c>
      <c r="Q230" s="318">
        <f t="shared" si="60"/>
        <v>1.0349999999999999</v>
      </c>
      <c r="R230" s="96">
        <f t="shared" si="58"/>
        <v>1.0905505199999999</v>
      </c>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row>
    <row r="231" spans="1:247" x14ac:dyDescent="0.25">
      <c r="A231" s="310">
        <v>8331</v>
      </c>
      <c r="B231" s="299" t="s">
        <v>3157</v>
      </c>
      <c r="C231" s="239" t="s">
        <v>76</v>
      </c>
      <c r="D231" s="311" t="s">
        <v>2927</v>
      </c>
      <c r="E231" s="143"/>
      <c r="F231" s="90">
        <f t="shared" si="57"/>
        <v>1.0209999999999999</v>
      </c>
      <c r="G231" s="318">
        <f>+$G$3</f>
        <v>1.0269999999999999</v>
      </c>
      <c r="H231" s="143"/>
      <c r="I231" s="300"/>
      <c r="J231" s="300"/>
      <c r="K231" s="300"/>
      <c r="L231" s="300"/>
      <c r="M231" s="300"/>
      <c r="N231" s="318"/>
      <c r="O231" s="95"/>
      <c r="P231" s="143"/>
      <c r="Q231" s="318"/>
      <c r="R231" s="96">
        <f t="shared" si="58"/>
        <v>1.0485669999999998</v>
      </c>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row>
    <row r="232" spans="1:247" x14ac:dyDescent="0.25">
      <c r="A232" s="310">
        <v>8332</v>
      </c>
      <c r="B232" s="299" t="s">
        <v>3158</v>
      </c>
      <c r="C232" s="239" t="s">
        <v>1388</v>
      </c>
      <c r="D232" s="311" t="s">
        <v>2927</v>
      </c>
      <c r="E232" s="143"/>
      <c r="F232" s="90">
        <f t="shared" si="57"/>
        <v>1.0209999999999999</v>
      </c>
      <c r="G232" s="318">
        <f>+$G$3</f>
        <v>1.0269999999999999</v>
      </c>
      <c r="H232" s="143"/>
      <c r="I232" s="300"/>
      <c r="J232" s="300"/>
      <c r="K232" s="300"/>
      <c r="L232" s="300"/>
      <c r="M232" s="300"/>
      <c r="N232" s="318"/>
      <c r="O232" s="95"/>
      <c r="P232" s="143">
        <f>+$P$3</f>
        <v>1.032</v>
      </c>
      <c r="Q232" s="318">
        <f>+$Q$3</f>
        <v>1.0349999999999999</v>
      </c>
      <c r="R232" s="96">
        <f t="shared" si="58"/>
        <v>1.1199953840399997</v>
      </c>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row>
    <row r="233" spans="1:247" x14ac:dyDescent="0.25">
      <c r="A233" s="310">
        <v>8333</v>
      </c>
      <c r="B233" s="299" t="s">
        <v>3159</v>
      </c>
      <c r="C233" s="239" t="s">
        <v>712</v>
      </c>
      <c r="D233" s="311" t="s">
        <v>2927</v>
      </c>
      <c r="E233" s="143"/>
      <c r="F233" s="90">
        <f t="shared" si="57"/>
        <v>1.0209999999999999</v>
      </c>
      <c r="G233" s="318">
        <f>+$G$3</f>
        <v>1.0269999999999999</v>
      </c>
      <c r="H233" s="143"/>
      <c r="I233" s="300"/>
      <c r="J233" s="300"/>
      <c r="K233" s="300"/>
      <c r="L233" s="300"/>
      <c r="M233" s="300"/>
      <c r="N233" s="318"/>
      <c r="O233" s="95"/>
      <c r="P233" s="143">
        <f>+$P$3</f>
        <v>1.032</v>
      </c>
      <c r="Q233" s="318">
        <f>+$Q$3</f>
        <v>1.0349999999999999</v>
      </c>
      <c r="R233" s="96">
        <f t="shared" si="58"/>
        <v>1.1199953840399997</v>
      </c>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row>
    <row r="234" spans="1:247" x14ac:dyDescent="0.25">
      <c r="A234" s="310">
        <v>8334</v>
      </c>
      <c r="B234" s="299" t="s">
        <v>3160</v>
      </c>
      <c r="C234" s="239" t="s">
        <v>712</v>
      </c>
      <c r="D234" s="311" t="s">
        <v>2927</v>
      </c>
      <c r="E234" s="143"/>
      <c r="F234" s="90">
        <f t="shared" si="57"/>
        <v>1.0209999999999999</v>
      </c>
      <c r="G234" s="318">
        <f>+$G$3</f>
        <v>1.0269999999999999</v>
      </c>
      <c r="H234" s="143"/>
      <c r="I234" s="300"/>
      <c r="J234" s="300"/>
      <c r="K234" s="300"/>
      <c r="L234" s="300"/>
      <c r="M234" s="300"/>
      <c r="N234" s="318"/>
      <c r="O234" s="95"/>
      <c r="P234" s="143">
        <f>+$P$3</f>
        <v>1.032</v>
      </c>
      <c r="Q234" s="318">
        <f>+$Q$3</f>
        <v>1.0349999999999999</v>
      </c>
      <c r="R234" s="96">
        <f t="shared" si="58"/>
        <v>1.1199953840399997</v>
      </c>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row>
    <row r="235" spans="1:247" x14ac:dyDescent="0.25">
      <c r="A235" s="310">
        <v>8412</v>
      </c>
      <c r="B235" s="299" t="s">
        <v>3161</v>
      </c>
      <c r="C235" s="239" t="s">
        <v>2465</v>
      </c>
      <c r="D235" s="311" t="s">
        <v>2927</v>
      </c>
      <c r="E235" s="143"/>
      <c r="F235" s="90">
        <f t="shared" si="57"/>
        <v>1.0209999999999999</v>
      </c>
      <c r="G235" s="318">
        <f>+$G$3</f>
        <v>1.0269999999999999</v>
      </c>
      <c r="H235" s="143"/>
      <c r="I235" s="300"/>
      <c r="J235" s="300"/>
      <c r="K235" s="300"/>
      <c r="L235" s="300"/>
      <c r="M235" s="300"/>
      <c r="N235" s="318"/>
      <c r="O235" s="95"/>
      <c r="P235" s="143">
        <f>+$P$3</f>
        <v>1.032</v>
      </c>
      <c r="Q235" s="318">
        <f>+$Q$3</f>
        <v>1.0349999999999999</v>
      </c>
      <c r="R235" s="96">
        <f t="shared" si="58"/>
        <v>1.1199953840399997</v>
      </c>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row>
    <row r="236" spans="1:247" x14ac:dyDescent="0.25">
      <c r="A236" s="310">
        <v>8413</v>
      </c>
      <c r="B236" s="299" t="s">
        <v>3162</v>
      </c>
      <c r="C236" s="239" t="s">
        <v>214</v>
      </c>
      <c r="D236" s="311" t="s">
        <v>2927</v>
      </c>
      <c r="E236" s="143"/>
      <c r="F236" s="90">
        <f t="shared" si="57"/>
        <v>1.0209999999999999</v>
      </c>
      <c r="G236" s="318"/>
      <c r="H236" s="143"/>
      <c r="I236" s="300"/>
      <c r="J236" s="300"/>
      <c r="K236" s="300"/>
      <c r="L236" s="300"/>
      <c r="M236" s="300"/>
      <c r="N236" s="318"/>
      <c r="O236" s="95"/>
      <c r="P236" s="143">
        <f>+$P$3</f>
        <v>1.032</v>
      </c>
      <c r="Q236" s="318">
        <f>+$Q$3</f>
        <v>1.0349999999999999</v>
      </c>
      <c r="R236" s="96">
        <f t="shared" si="58"/>
        <v>1.0905505199999999</v>
      </c>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row>
    <row r="237" spans="1:247" x14ac:dyDescent="0.25">
      <c r="A237" s="310">
        <v>8414</v>
      </c>
      <c r="B237" s="299" t="s">
        <v>3163</v>
      </c>
      <c r="C237" s="239" t="s">
        <v>2465</v>
      </c>
      <c r="D237" s="311" t="s">
        <v>2927</v>
      </c>
      <c r="E237" s="143"/>
      <c r="F237" s="90">
        <f t="shared" si="57"/>
        <v>1.0209999999999999</v>
      </c>
      <c r="G237" s="318"/>
      <c r="H237" s="143"/>
      <c r="I237" s="300"/>
      <c r="J237" s="300"/>
      <c r="K237" s="300"/>
      <c r="L237" s="300"/>
      <c r="M237" s="300"/>
      <c r="N237" s="318"/>
      <c r="O237" s="95"/>
      <c r="P237" s="143"/>
      <c r="Q237" s="318"/>
      <c r="R237" s="96">
        <f t="shared" si="58"/>
        <v>1.0209999999999999</v>
      </c>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row>
    <row r="238" spans="1:247" x14ac:dyDescent="0.25">
      <c r="A238" s="310">
        <v>8415</v>
      </c>
      <c r="B238" s="299" t="s">
        <v>3164</v>
      </c>
      <c r="C238" s="239" t="s">
        <v>2465</v>
      </c>
      <c r="D238" s="311" t="s">
        <v>2927</v>
      </c>
      <c r="E238" s="143"/>
      <c r="F238" s="90">
        <f t="shared" si="57"/>
        <v>1.0209999999999999</v>
      </c>
      <c r="G238" s="318">
        <f>+$G$3</f>
        <v>1.0269999999999999</v>
      </c>
      <c r="H238" s="143"/>
      <c r="I238" s="300"/>
      <c r="J238" s="300"/>
      <c r="K238" s="300"/>
      <c r="L238" s="300"/>
      <c r="M238" s="300"/>
      <c r="N238" s="318"/>
      <c r="O238" s="95"/>
      <c r="P238" s="143">
        <f t="shared" ref="P238:P246" si="61">+$P$3</f>
        <v>1.032</v>
      </c>
      <c r="Q238" s="318">
        <f t="shared" ref="Q238:Q246" si="62">+$Q$3</f>
        <v>1.0349999999999999</v>
      </c>
      <c r="R238" s="96">
        <f t="shared" si="58"/>
        <v>1.1199953840399997</v>
      </c>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3"/>
      <c r="DB238" s="83"/>
      <c r="DC238" s="83"/>
      <c r="DD238" s="83"/>
      <c r="DE238" s="83"/>
      <c r="DF238" s="83"/>
      <c r="DG238" s="83"/>
      <c r="DH238" s="83"/>
      <c r="DI238" s="83"/>
      <c r="DJ238" s="83"/>
      <c r="DK238" s="83"/>
      <c r="DL238" s="83"/>
      <c r="DM238" s="83"/>
      <c r="DN238" s="83"/>
      <c r="DO238" s="83"/>
      <c r="DP238" s="83"/>
      <c r="DQ238" s="83"/>
      <c r="DR238" s="83"/>
      <c r="DS238" s="83"/>
      <c r="DT238" s="83"/>
      <c r="DU238" s="83"/>
      <c r="DV238" s="83"/>
      <c r="DW238" s="83"/>
      <c r="DX238" s="83"/>
      <c r="DY238" s="83"/>
      <c r="DZ238" s="83"/>
      <c r="EA238" s="83"/>
      <c r="EB238" s="83"/>
      <c r="EC238" s="83"/>
      <c r="ED238" s="83"/>
      <c r="EE238" s="83"/>
      <c r="EF238" s="83"/>
      <c r="EG238" s="83"/>
      <c r="EH238" s="83"/>
      <c r="EI238" s="83"/>
      <c r="EJ238" s="83"/>
      <c r="EK238" s="83"/>
      <c r="EL238" s="83"/>
      <c r="EM238" s="83"/>
      <c r="EN238" s="83"/>
      <c r="EO238" s="83"/>
      <c r="EP238" s="83"/>
      <c r="EQ238" s="83"/>
      <c r="ER238" s="83"/>
      <c r="ES238" s="83"/>
      <c r="ET238" s="83"/>
      <c r="EU238" s="83"/>
      <c r="EV238" s="83"/>
      <c r="EW238" s="83"/>
      <c r="EX238" s="83"/>
      <c r="EY238" s="83"/>
      <c r="EZ238" s="83"/>
      <c r="FA238" s="83"/>
      <c r="FB238" s="83"/>
      <c r="FC238" s="83"/>
      <c r="FD238" s="83"/>
      <c r="FE238" s="83"/>
      <c r="FF238" s="83"/>
      <c r="FG238" s="83"/>
      <c r="FH238" s="83"/>
      <c r="FI238" s="83"/>
      <c r="FJ238" s="83"/>
      <c r="FK238" s="83"/>
      <c r="FL238" s="83"/>
      <c r="FM238" s="83"/>
      <c r="FN238" s="83"/>
      <c r="FO238" s="83"/>
      <c r="FP238" s="83"/>
      <c r="FQ238" s="83"/>
      <c r="FR238" s="83"/>
      <c r="FS238" s="83"/>
      <c r="FT238" s="83"/>
      <c r="FU238" s="83"/>
      <c r="FV238" s="83"/>
      <c r="FW238" s="83"/>
      <c r="FX238" s="83"/>
      <c r="FY238" s="83"/>
      <c r="FZ238" s="83"/>
      <c r="GA238" s="83"/>
      <c r="GB238" s="83"/>
      <c r="GC238" s="83"/>
      <c r="GD238" s="83"/>
      <c r="GE238" s="83"/>
      <c r="GF238" s="83"/>
      <c r="GG238" s="83"/>
      <c r="GH238" s="83"/>
      <c r="GI238" s="83"/>
      <c r="GJ238" s="83"/>
      <c r="GK238" s="83"/>
      <c r="GL238" s="83"/>
      <c r="GM238" s="83"/>
      <c r="GN238" s="83"/>
      <c r="GO238" s="83"/>
      <c r="GP238" s="83"/>
      <c r="GQ238" s="83"/>
      <c r="GR238" s="83"/>
      <c r="GS238" s="83"/>
      <c r="GT238" s="83"/>
      <c r="GU238" s="83"/>
      <c r="GV238" s="83"/>
      <c r="GW238" s="83"/>
      <c r="GX238" s="83"/>
      <c r="GY238" s="83"/>
      <c r="GZ238" s="83"/>
      <c r="HA238" s="83"/>
      <c r="HB238" s="83"/>
      <c r="HC238" s="83"/>
      <c r="HD238" s="83"/>
      <c r="HE238" s="83"/>
      <c r="HF238" s="83"/>
      <c r="HG238" s="83"/>
      <c r="HH238" s="83"/>
      <c r="HI238" s="83"/>
      <c r="HJ238" s="83"/>
      <c r="HK238" s="83"/>
      <c r="HL238" s="83"/>
      <c r="HM238" s="83"/>
      <c r="HN238" s="83"/>
      <c r="HO238" s="83"/>
      <c r="HP238" s="83"/>
      <c r="HQ238" s="83"/>
      <c r="HR238" s="83"/>
      <c r="HS238" s="83"/>
      <c r="HT238" s="83"/>
      <c r="HU238" s="83"/>
      <c r="HV238" s="83"/>
      <c r="HW238" s="83"/>
      <c r="HX238" s="83"/>
      <c r="HY238" s="83"/>
      <c r="HZ238" s="83"/>
      <c r="IA238" s="83"/>
      <c r="IB238" s="83"/>
      <c r="IC238" s="83"/>
      <c r="ID238" s="83"/>
      <c r="IE238" s="83"/>
      <c r="IF238" s="83"/>
      <c r="IG238" s="83"/>
      <c r="IH238" s="83"/>
      <c r="II238" s="83"/>
      <c r="IJ238" s="83"/>
      <c r="IK238" s="83"/>
      <c r="IL238" s="83"/>
      <c r="IM238" s="83"/>
    </row>
    <row r="239" spans="1:247" x14ac:dyDescent="0.25">
      <c r="A239" s="310">
        <v>8421</v>
      </c>
      <c r="B239" s="299" t="s">
        <v>3165</v>
      </c>
      <c r="C239" s="239" t="s">
        <v>40</v>
      </c>
      <c r="D239" s="311" t="s">
        <v>2930</v>
      </c>
      <c r="E239" s="143"/>
      <c r="F239" s="90">
        <f t="shared" si="57"/>
        <v>1.0209999999999999</v>
      </c>
      <c r="G239" s="318"/>
      <c r="H239" s="143"/>
      <c r="I239" s="300"/>
      <c r="J239" s="300"/>
      <c r="K239" s="300"/>
      <c r="L239" s="300"/>
      <c r="M239" s="300"/>
      <c r="N239" s="318"/>
      <c r="O239" s="95"/>
      <c r="P239" s="143">
        <f t="shared" si="61"/>
        <v>1.032</v>
      </c>
      <c r="Q239" s="318">
        <f t="shared" si="62"/>
        <v>1.0349999999999999</v>
      </c>
      <c r="R239" s="96">
        <f t="shared" si="58"/>
        <v>1.0905505199999999</v>
      </c>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3"/>
      <c r="DB239" s="83"/>
      <c r="DC239" s="83"/>
      <c r="DD239" s="83"/>
      <c r="DE239" s="83"/>
      <c r="DF239" s="83"/>
      <c r="DG239" s="83"/>
      <c r="DH239" s="83"/>
      <c r="DI239" s="83"/>
      <c r="DJ239" s="83"/>
      <c r="DK239" s="83"/>
      <c r="DL239" s="83"/>
      <c r="DM239" s="83"/>
      <c r="DN239" s="83"/>
      <c r="DO239" s="83"/>
      <c r="DP239" s="83"/>
      <c r="DQ239" s="83"/>
      <c r="DR239" s="83"/>
      <c r="DS239" s="83"/>
      <c r="DT239" s="83"/>
      <c r="DU239" s="83"/>
      <c r="DV239" s="83"/>
      <c r="DW239" s="83"/>
      <c r="DX239" s="83"/>
      <c r="DY239" s="83"/>
      <c r="DZ239" s="83"/>
      <c r="EA239" s="83"/>
      <c r="EB239" s="83"/>
      <c r="EC239" s="83"/>
      <c r="ED239" s="83"/>
      <c r="EE239" s="83"/>
      <c r="EF239" s="83"/>
      <c r="EG239" s="83"/>
      <c r="EH239" s="83"/>
      <c r="EI239" s="83"/>
      <c r="EJ239" s="83"/>
      <c r="EK239" s="83"/>
      <c r="EL239" s="83"/>
      <c r="EM239" s="83"/>
      <c r="EN239" s="83"/>
      <c r="EO239" s="83"/>
      <c r="EP239" s="83"/>
      <c r="EQ239" s="83"/>
      <c r="ER239" s="83"/>
      <c r="ES239" s="83"/>
      <c r="ET239" s="83"/>
      <c r="EU239" s="83"/>
      <c r="EV239" s="83"/>
      <c r="EW239" s="83"/>
      <c r="EX239" s="83"/>
      <c r="EY239" s="83"/>
      <c r="EZ239" s="83"/>
      <c r="FA239" s="83"/>
      <c r="FB239" s="83"/>
      <c r="FC239" s="83"/>
      <c r="FD239" s="83"/>
      <c r="FE239" s="83"/>
      <c r="FF239" s="83"/>
      <c r="FG239" s="83"/>
      <c r="FH239" s="83"/>
      <c r="FI239" s="83"/>
      <c r="FJ239" s="83"/>
      <c r="FK239" s="83"/>
      <c r="FL239" s="83"/>
      <c r="FM239" s="83"/>
      <c r="FN239" s="83"/>
      <c r="FO239" s="83"/>
      <c r="FP239" s="83"/>
      <c r="FQ239" s="83"/>
      <c r="FR239" s="83"/>
      <c r="FS239" s="83"/>
      <c r="FT239" s="83"/>
      <c r="FU239" s="83"/>
      <c r="FV239" s="83"/>
      <c r="FW239" s="83"/>
      <c r="FX239" s="83"/>
      <c r="FY239" s="83"/>
      <c r="FZ239" s="83"/>
      <c r="GA239" s="83"/>
      <c r="GB239" s="83"/>
      <c r="GC239" s="83"/>
      <c r="GD239" s="83"/>
      <c r="GE239" s="83"/>
      <c r="GF239" s="83"/>
      <c r="GG239" s="83"/>
      <c r="GH239" s="83"/>
      <c r="GI239" s="83"/>
      <c r="GJ239" s="83"/>
      <c r="GK239" s="83"/>
      <c r="GL239" s="83"/>
      <c r="GM239" s="83"/>
      <c r="GN239" s="83"/>
      <c r="GO239" s="83"/>
      <c r="GP239" s="83"/>
      <c r="GQ239" s="83"/>
      <c r="GR239" s="83"/>
      <c r="GS239" s="83"/>
      <c r="GT239" s="83"/>
      <c r="GU239" s="83"/>
      <c r="GV239" s="83"/>
      <c r="GW239" s="83"/>
      <c r="GX239" s="83"/>
      <c r="GY239" s="83"/>
      <c r="GZ239" s="83"/>
      <c r="HA239" s="83"/>
      <c r="HB239" s="83"/>
      <c r="HC239" s="83"/>
      <c r="HD239" s="83"/>
      <c r="HE239" s="83"/>
      <c r="HF239" s="83"/>
      <c r="HG239" s="83"/>
      <c r="HH239" s="83"/>
      <c r="HI239" s="83"/>
      <c r="HJ239" s="83"/>
      <c r="HK239" s="83"/>
      <c r="HL239" s="83"/>
      <c r="HM239" s="83"/>
      <c r="HN239" s="83"/>
      <c r="HO239" s="83"/>
      <c r="HP239" s="83"/>
      <c r="HQ239" s="83"/>
      <c r="HR239" s="83"/>
      <c r="HS239" s="83"/>
      <c r="HT239" s="83"/>
      <c r="HU239" s="83"/>
      <c r="HV239" s="83"/>
      <c r="HW239" s="83"/>
      <c r="HX239" s="83"/>
      <c r="HY239" s="83"/>
      <c r="HZ239" s="83"/>
      <c r="IA239" s="83"/>
      <c r="IB239" s="83"/>
      <c r="IC239" s="83"/>
      <c r="ID239" s="83"/>
      <c r="IE239" s="83"/>
      <c r="IF239" s="83"/>
      <c r="IG239" s="83"/>
      <c r="IH239" s="83"/>
      <c r="II239" s="83"/>
      <c r="IJ239" s="83"/>
      <c r="IK239" s="83"/>
      <c r="IL239" s="83"/>
      <c r="IM239" s="83"/>
    </row>
    <row r="240" spans="1:247" x14ac:dyDescent="0.25">
      <c r="A240" s="310">
        <v>8432</v>
      </c>
      <c r="B240" s="299" t="s">
        <v>3166</v>
      </c>
      <c r="C240" s="239" t="s">
        <v>40</v>
      </c>
      <c r="D240" s="311" t="s">
        <v>2930</v>
      </c>
      <c r="E240" s="143"/>
      <c r="F240" s="90">
        <f t="shared" si="57"/>
        <v>1.0209999999999999</v>
      </c>
      <c r="G240" s="318"/>
      <c r="H240" s="143"/>
      <c r="I240" s="300"/>
      <c r="J240" s="300"/>
      <c r="K240" s="300"/>
      <c r="L240" s="300"/>
      <c r="M240" s="300"/>
      <c r="N240" s="318"/>
      <c r="O240" s="95"/>
      <c r="P240" s="143">
        <f t="shared" si="61"/>
        <v>1.032</v>
      </c>
      <c r="Q240" s="318">
        <f t="shared" si="62"/>
        <v>1.0349999999999999</v>
      </c>
      <c r="R240" s="96">
        <f t="shared" si="58"/>
        <v>1.0905505199999999</v>
      </c>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3"/>
      <c r="DB240" s="83"/>
      <c r="DC240" s="83"/>
      <c r="DD240" s="83"/>
      <c r="DE240" s="83"/>
      <c r="DF240" s="83"/>
      <c r="DG240" s="83"/>
      <c r="DH240" s="83"/>
      <c r="DI240" s="83"/>
      <c r="DJ240" s="83"/>
      <c r="DK240" s="83"/>
      <c r="DL240" s="83"/>
      <c r="DM240" s="83"/>
      <c r="DN240" s="83"/>
      <c r="DO240" s="83"/>
      <c r="DP240" s="83"/>
      <c r="DQ240" s="83"/>
      <c r="DR240" s="83"/>
      <c r="DS240" s="83"/>
      <c r="DT240" s="83"/>
      <c r="DU240" s="83"/>
      <c r="DV240" s="83"/>
      <c r="DW240" s="83"/>
      <c r="DX240" s="83"/>
      <c r="DY240" s="83"/>
      <c r="DZ240" s="83"/>
      <c r="EA240" s="83"/>
      <c r="EB240" s="83"/>
      <c r="EC240" s="83"/>
      <c r="ED240" s="83"/>
      <c r="EE240" s="83"/>
      <c r="EF240" s="83"/>
      <c r="EG240" s="83"/>
      <c r="EH240" s="83"/>
      <c r="EI240" s="83"/>
      <c r="EJ240" s="83"/>
      <c r="EK240" s="83"/>
      <c r="EL240" s="83"/>
      <c r="EM240" s="83"/>
      <c r="EN240" s="83"/>
      <c r="EO240" s="83"/>
      <c r="EP240" s="83"/>
      <c r="EQ240" s="83"/>
      <c r="ER240" s="83"/>
      <c r="ES240" s="83"/>
      <c r="ET240" s="83"/>
      <c r="EU240" s="83"/>
      <c r="EV240" s="83"/>
      <c r="EW240" s="83"/>
      <c r="EX240" s="83"/>
      <c r="EY240" s="83"/>
      <c r="EZ240" s="83"/>
      <c r="FA240" s="83"/>
      <c r="FB240" s="83"/>
      <c r="FC240" s="83"/>
      <c r="FD240" s="83"/>
      <c r="FE240" s="83"/>
      <c r="FF240" s="83"/>
      <c r="FG240" s="83"/>
      <c r="FH240" s="83"/>
      <c r="FI240" s="83"/>
      <c r="FJ240" s="83"/>
      <c r="FK240" s="83"/>
      <c r="FL240" s="83"/>
      <c r="FM240" s="83"/>
      <c r="FN240" s="83"/>
      <c r="FO240" s="83"/>
      <c r="FP240" s="83"/>
      <c r="FQ240" s="83"/>
      <c r="FR240" s="83"/>
      <c r="FS240" s="83"/>
      <c r="FT240" s="83"/>
      <c r="FU240" s="83"/>
      <c r="FV240" s="83"/>
      <c r="FW240" s="83"/>
      <c r="FX240" s="83"/>
      <c r="FY240" s="83"/>
      <c r="FZ240" s="83"/>
      <c r="GA240" s="83"/>
      <c r="GB240" s="83"/>
      <c r="GC240" s="83"/>
      <c r="GD240" s="83"/>
      <c r="GE240" s="83"/>
      <c r="GF240" s="83"/>
      <c r="GG240" s="83"/>
      <c r="GH240" s="83"/>
      <c r="GI240" s="83"/>
      <c r="GJ240" s="83"/>
      <c r="GK240" s="83"/>
      <c r="GL240" s="83"/>
      <c r="GM240" s="83"/>
      <c r="GN240" s="83"/>
      <c r="GO240" s="83"/>
      <c r="GP240" s="83"/>
      <c r="GQ240" s="83"/>
      <c r="GR240" s="83"/>
      <c r="GS240" s="83"/>
      <c r="GT240" s="83"/>
      <c r="GU240" s="83"/>
      <c r="GV240" s="83"/>
      <c r="GW240" s="83"/>
      <c r="GX240" s="83"/>
      <c r="GY240" s="83"/>
      <c r="GZ240" s="83"/>
      <c r="HA240" s="83"/>
      <c r="HB240" s="83"/>
      <c r="HC240" s="83"/>
      <c r="HD240" s="83"/>
      <c r="HE240" s="83"/>
      <c r="HF240" s="83"/>
      <c r="HG240" s="83"/>
      <c r="HH240" s="83"/>
      <c r="HI240" s="83"/>
      <c r="HJ240" s="83"/>
      <c r="HK240" s="83"/>
      <c r="HL240" s="83"/>
      <c r="HM240" s="83"/>
      <c r="HN240" s="83"/>
      <c r="HO240" s="83"/>
      <c r="HP240" s="83"/>
      <c r="HQ240" s="83"/>
      <c r="HR240" s="83"/>
      <c r="HS240" s="83"/>
      <c r="HT240" s="83"/>
      <c r="HU240" s="83"/>
      <c r="HV240" s="83"/>
      <c r="HW240" s="83"/>
      <c r="HX240" s="83"/>
      <c r="HY240" s="83"/>
      <c r="HZ240" s="83"/>
      <c r="IA240" s="83"/>
      <c r="IB240" s="83"/>
      <c r="IC240" s="83"/>
      <c r="ID240" s="83"/>
      <c r="IE240" s="83"/>
      <c r="IF240" s="83"/>
      <c r="IG240" s="83"/>
      <c r="IH240" s="83"/>
      <c r="II240" s="83"/>
      <c r="IJ240" s="83"/>
      <c r="IK240" s="83"/>
      <c r="IL240" s="83"/>
      <c r="IM240" s="83"/>
    </row>
    <row r="241" spans="1:247" x14ac:dyDescent="0.25">
      <c r="A241" s="310">
        <v>8441</v>
      </c>
      <c r="B241" s="299" t="s">
        <v>3167</v>
      </c>
      <c r="C241" s="239" t="s">
        <v>2465</v>
      </c>
      <c r="D241" s="311" t="s">
        <v>2927</v>
      </c>
      <c r="E241" s="143"/>
      <c r="F241" s="90">
        <f t="shared" si="57"/>
        <v>1.0209999999999999</v>
      </c>
      <c r="G241" s="318"/>
      <c r="H241" s="143"/>
      <c r="I241" s="300"/>
      <c r="J241" s="300"/>
      <c r="K241" s="300"/>
      <c r="L241" s="300"/>
      <c r="M241" s="300"/>
      <c r="N241" s="318"/>
      <c r="O241" s="95"/>
      <c r="P241" s="143">
        <f t="shared" si="61"/>
        <v>1.032</v>
      </c>
      <c r="Q241" s="318">
        <f t="shared" si="62"/>
        <v>1.0349999999999999</v>
      </c>
      <c r="R241" s="96">
        <f t="shared" si="58"/>
        <v>1.0905505199999999</v>
      </c>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c r="DM241" s="83"/>
      <c r="DN241" s="83"/>
      <c r="DO241" s="83"/>
      <c r="DP241" s="83"/>
      <c r="DQ241" s="83"/>
      <c r="DR241" s="83"/>
      <c r="DS241" s="83"/>
      <c r="DT241" s="83"/>
      <c r="DU241" s="83"/>
      <c r="DV241" s="83"/>
      <c r="DW241" s="83"/>
      <c r="DX241" s="83"/>
      <c r="DY241" s="83"/>
      <c r="DZ241" s="83"/>
      <c r="EA241" s="83"/>
      <c r="EB241" s="83"/>
      <c r="EC241" s="83"/>
      <c r="ED241" s="83"/>
      <c r="EE241" s="83"/>
      <c r="EF241" s="83"/>
      <c r="EG241" s="83"/>
      <c r="EH241" s="83"/>
      <c r="EI241" s="83"/>
      <c r="EJ241" s="83"/>
      <c r="EK241" s="83"/>
      <c r="EL241" s="83"/>
      <c r="EM241" s="83"/>
      <c r="EN241" s="83"/>
      <c r="EO241" s="83"/>
      <c r="EP241" s="83"/>
      <c r="EQ241" s="83"/>
      <c r="ER241" s="83"/>
      <c r="ES241" s="83"/>
      <c r="ET241" s="83"/>
      <c r="EU241" s="83"/>
      <c r="EV241" s="83"/>
      <c r="EW241" s="83"/>
      <c r="EX241" s="83"/>
      <c r="EY241" s="83"/>
      <c r="EZ241" s="83"/>
      <c r="FA241" s="83"/>
      <c r="FB241" s="83"/>
      <c r="FC241" s="83"/>
      <c r="FD241" s="83"/>
      <c r="FE241" s="83"/>
      <c r="FF241" s="83"/>
      <c r="FG241" s="83"/>
      <c r="FH241" s="83"/>
      <c r="FI241" s="83"/>
      <c r="FJ241" s="83"/>
      <c r="FK241" s="83"/>
      <c r="FL241" s="83"/>
      <c r="FM241" s="83"/>
      <c r="FN241" s="83"/>
      <c r="FO241" s="83"/>
      <c r="FP241" s="83"/>
      <c r="FQ241" s="83"/>
      <c r="FR241" s="83"/>
      <c r="FS241" s="83"/>
      <c r="FT241" s="83"/>
      <c r="FU241" s="83"/>
      <c r="FV241" s="83"/>
      <c r="FW241" s="83"/>
      <c r="FX241" s="83"/>
      <c r="FY241" s="83"/>
      <c r="FZ241" s="83"/>
      <c r="GA241" s="83"/>
      <c r="GB241" s="83"/>
      <c r="GC241" s="83"/>
      <c r="GD241" s="83"/>
      <c r="GE241" s="83"/>
      <c r="GF241" s="83"/>
      <c r="GG241" s="83"/>
      <c r="GH241" s="83"/>
      <c r="GI241" s="83"/>
      <c r="GJ241" s="83"/>
      <c r="GK241" s="83"/>
      <c r="GL241" s="83"/>
      <c r="GM241" s="83"/>
      <c r="GN241" s="83"/>
      <c r="GO241" s="83"/>
      <c r="GP241" s="83"/>
      <c r="GQ241" s="83"/>
      <c r="GR241" s="83"/>
      <c r="GS241" s="83"/>
      <c r="GT241" s="83"/>
      <c r="GU241" s="83"/>
      <c r="GV241" s="83"/>
      <c r="GW241" s="83"/>
      <c r="GX241" s="83"/>
      <c r="GY241" s="83"/>
      <c r="GZ241" s="83"/>
      <c r="HA241" s="83"/>
      <c r="HB241" s="83"/>
      <c r="HC241" s="83"/>
      <c r="HD241" s="83"/>
      <c r="HE241" s="83"/>
      <c r="HF241" s="83"/>
      <c r="HG241" s="83"/>
      <c r="HH241" s="83"/>
      <c r="HI241" s="83"/>
      <c r="HJ241" s="83"/>
      <c r="HK241" s="83"/>
      <c r="HL241" s="83"/>
      <c r="HM241" s="83"/>
      <c r="HN241" s="83"/>
      <c r="HO241" s="83"/>
      <c r="HP241" s="83"/>
      <c r="HQ241" s="83"/>
      <c r="HR241" s="83"/>
      <c r="HS241" s="83"/>
      <c r="HT241" s="83"/>
      <c r="HU241" s="83"/>
      <c r="HV241" s="83"/>
      <c r="HW241" s="83"/>
      <c r="HX241" s="83"/>
      <c r="HY241" s="83"/>
      <c r="HZ241" s="83"/>
      <c r="IA241" s="83"/>
      <c r="IB241" s="83"/>
      <c r="IC241" s="83"/>
      <c r="ID241" s="83"/>
      <c r="IE241" s="83"/>
      <c r="IF241" s="83"/>
      <c r="IG241" s="83"/>
      <c r="IH241" s="83"/>
      <c r="II241" s="83"/>
      <c r="IJ241" s="83"/>
      <c r="IK241" s="83"/>
      <c r="IL241" s="83"/>
      <c r="IM241" s="83"/>
    </row>
    <row r="242" spans="1:247" x14ac:dyDescent="0.25">
      <c r="A242" s="310">
        <v>8442</v>
      </c>
      <c r="B242" s="299" t="s">
        <v>3168</v>
      </c>
      <c r="C242" s="239" t="s">
        <v>214</v>
      </c>
      <c r="D242" s="311" t="s">
        <v>2927</v>
      </c>
      <c r="E242" s="143"/>
      <c r="F242" s="90">
        <f t="shared" si="57"/>
        <v>1.0209999999999999</v>
      </c>
      <c r="G242" s="318"/>
      <c r="H242" s="143"/>
      <c r="I242" s="300"/>
      <c r="J242" s="300"/>
      <c r="K242" s="300"/>
      <c r="L242" s="300"/>
      <c r="M242" s="300"/>
      <c r="N242" s="318"/>
      <c r="O242" s="95"/>
      <c r="P242" s="143">
        <f t="shared" si="61"/>
        <v>1.032</v>
      </c>
      <c r="Q242" s="318">
        <f t="shared" si="62"/>
        <v>1.0349999999999999</v>
      </c>
      <c r="R242" s="96">
        <f t="shared" si="58"/>
        <v>1.0905505199999999</v>
      </c>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c r="DM242" s="83"/>
      <c r="DN242" s="83"/>
      <c r="DO242" s="83"/>
      <c r="DP242" s="83"/>
      <c r="DQ242" s="83"/>
      <c r="DR242" s="83"/>
      <c r="DS242" s="83"/>
      <c r="DT242" s="83"/>
      <c r="DU242" s="83"/>
      <c r="DV242" s="83"/>
      <c r="DW242" s="83"/>
      <c r="DX242" s="83"/>
      <c r="DY242" s="83"/>
      <c r="DZ242" s="83"/>
      <c r="EA242" s="83"/>
      <c r="EB242" s="83"/>
      <c r="EC242" s="83"/>
      <c r="ED242" s="83"/>
      <c r="EE242" s="83"/>
      <c r="EF242" s="83"/>
      <c r="EG242" s="83"/>
      <c r="EH242" s="83"/>
      <c r="EI242" s="83"/>
      <c r="EJ242" s="83"/>
      <c r="EK242" s="83"/>
      <c r="EL242" s="83"/>
      <c r="EM242" s="83"/>
      <c r="EN242" s="83"/>
      <c r="EO242" s="83"/>
      <c r="EP242" s="83"/>
      <c r="EQ242" s="83"/>
      <c r="ER242" s="83"/>
      <c r="ES242" s="83"/>
      <c r="ET242" s="83"/>
      <c r="EU242" s="83"/>
      <c r="EV242" s="83"/>
      <c r="EW242" s="83"/>
      <c r="EX242" s="83"/>
      <c r="EY242" s="83"/>
      <c r="EZ242" s="83"/>
      <c r="FA242" s="83"/>
      <c r="FB242" s="83"/>
      <c r="FC242" s="83"/>
      <c r="FD242" s="83"/>
      <c r="FE242" s="83"/>
      <c r="FF242" s="83"/>
      <c r="FG242" s="83"/>
      <c r="FH242" s="83"/>
      <c r="FI242" s="83"/>
      <c r="FJ242" s="83"/>
      <c r="FK242" s="83"/>
      <c r="FL242" s="83"/>
      <c r="FM242" s="83"/>
      <c r="FN242" s="83"/>
      <c r="FO242" s="83"/>
      <c r="FP242" s="83"/>
      <c r="FQ242" s="83"/>
      <c r="FR242" s="83"/>
      <c r="FS242" s="83"/>
      <c r="FT242" s="83"/>
      <c r="FU242" s="83"/>
      <c r="FV242" s="83"/>
      <c r="FW242" s="83"/>
      <c r="FX242" s="83"/>
      <c r="FY242" s="83"/>
      <c r="FZ242" s="83"/>
      <c r="GA242" s="83"/>
      <c r="GB242" s="83"/>
      <c r="GC242" s="83"/>
      <c r="GD242" s="83"/>
      <c r="GE242" s="83"/>
      <c r="GF242" s="83"/>
      <c r="GG242" s="83"/>
      <c r="GH242" s="83"/>
      <c r="GI242" s="83"/>
      <c r="GJ242" s="83"/>
      <c r="GK242" s="83"/>
      <c r="GL242" s="83"/>
      <c r="GM242" s="83"/>
      <c r="GN242" s="83"/>
      <c r="GO242" s="83"/>
      <c r="GP242" s="83"/>
      <c r="GQ242" s="83"/>
      <c r="GR242" s="83"/>
      <c r="GS242" s="83"/>
      <c r="GT242" s="83"/>
      <c r="GU242" s="83"/>
      <c r="GV242" s="83"/>
      <c r="GW242" s="83"/>
      <c r="GX242" s="83"/>
      <c r="GY242" s="83"/>
      <c r="GZ242" s="83"/>
      <c r="HA242" s="83"/>
      <c r="HB242" s="83"/>
      <c r="HC242" s="83"/>
      <c r="HD242" s="83"/>
      <c r="HE242" s="83"/>
      <c r="HF242" s="83"/>
      <c r="HG242" s="83"/>
      <c r="HH242" s="83"/>
      <c r="HI242" s="83"/>
      <c r="HJ242" s="83"/>
      <c r="HK242" s="83"/>
      <c r="HL242" s="83"/>
      <c r="HM242" s="83"/>
      <c r="HN242" s="83"/>
      <c r="HO242" s="83"/>
      <c r="HP242" s="83"/>
      <c r="HQ242" s="83"/>
      <c r="HR242" s="83"/>
      <c r="HS242" s="83"/>
      <c r="HT242" s="83"/>
      <c r="HU242" s="83"/>
      <c r="HV242" s="83"/>
      <c r="HW242" s="83"/>
      <c r="HX242" s="83"/>
      <c r="HY242" s="83"/>
      <c r="HZ242" s="83"/>
      <c r="IA242" s="83"/>
      <c r="IB242" s="83"/>
      <c r="IC242" s="83"/>
      <c r="ID242" s="83"/>
      <c r="IE242" s="83"/>
      <c r="IF242" s="83"/>
      <c r="IG242" s="83"/>
      <c r="IH242" s="83"/>
      <c r="II242" s="83"/>
      <c r="IJ242" s="83"/>
      <c r="IK242" s="83"/>
      <c r="IL242" s="83"/>
      <c r="IM242" s="83"/>
    </row>
    <row r="243" spans="1:247" x14ac:dyDescent="0.25">
      <c r="A243" s="310">
        <v>8511</v>
      </c>
      <c r="B243" s="299" t="s">
        <v>3169</v>
      </c>
      <c r="C243" s="239" t="s">
        <v>9</v>
      </c>
      <c r="D243" s="311" t="s">
        <v>2930</v>
      </c>
      <c r="E243" s="143"/>
      <c r="F243" s="90">
        <f t="shared" si="57"/>
        <v>1.0209999999999999</v>
      </c>
      <c r="G243" s="318">
        <f>+$G$3</f>
        <v>1.0269999999999999</v>
      </c>
      <c r="H243" s="143"/>
      <c r="I243" s="300"/>
      <c r="J243" s="300"/>
      <c r="K243" s="300"/>
      <c r="L243" s="300"/>
      <c r="M243" s="300"/>
      <c r="N243" s="318"/>
      <c r="O243" s="95"/>
      <c r="P243" s="143">
        <f t="shared" si="61"/>
        <v>1.032</v>
      </c>
      <c r="Q243" s="318">
        <f t="shared" si="62"/>
        <v>1.0349999999999999</v>
      </c>
      <c r="R243" s="96">
        <f t="shared" si="58"/>
        <v>1.1199953840399997</v>
      </c>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c r="DM243" s="83"/>
      <c r="DN243" s="83"/>
      <c r="DO243" s="83"/>
      <c r="DP243" s="83"/>
      <c r="DQ243" s="83"/>
      <c r="DR243" s="83"/>
      <c r="DS243" s="83"/>
      <c r="DT243" s="83"/>
      <c r="DU243" s="83"/>
      <c r="DV243" s="83"/>
      <c r="DW243" s="83"/>
      <c r="DX243" s="83"/>
      <c r="DY243" s="83"/>
      <c r="DZ243" s="83"/>
      <c r="EA243" s="83"/>
      <c r="EB243" s="83"/>
      <c r="EC243" s="83"/>
      <c r="ED243" s="83"/>
      <c r="EE243" s="83"/>
      <c r="EF243" s="83"/>
      <c r="EG243" s="83"/>
      <c r="EH243" s="83"/>
      <c r="EI243" s="83"/>
      <c r="EJ243" s="83"/>
      <c r="EK243" s="83"/>
      <c r="EL243" s="83"/>
      <c r="EM243" s="83"/>
      <c r="EN243" s="83"/>
      <c r="EO243" s="83"/>
      <c r="EP243" s="83"/>
      <c r="EQ243" s="83"/>
      <c r="ER243" s="83"/>
      <c r="ES243" s="83"/>
      <c r="ET243" s="83"/>
      <c r="EU243" s="83"/>
      <c r="EV243" s="83"/>
      <c r="EW243" s="83"/>
      <c r="EX243" s="83"/>
      <c r="EY243" s="83"/>
      <c r="EZ243" s="83"/>
      <c r="FA243" s="83"/>
      <c r="FB243" s="83"/>
      <c r="FC243" s="83"/>
      <c r="FD243" s="83"/>
      <c r="FE243" s="83"/>
      <c r="FF243" s="83"/>
      <c r="FG243" s="83"/>
      <c r="FH243" s="83"/>
      <c r="FI243" s="83"/>
      <c r="FJ243" s="83"/>
      <c r="FK243" s="83"/>
      <c r="FL243" s="83"/>
      <c r="FM243" s="83"/>
      <c r="FN243" s="83"/>
      <c r="FO243" s="83"/>
      <c r="FP243" s="83"/>
      <c r="FQ243" s="83"/>
      <c r="FR243" s="83"/>
      <c r="FS243" s="83"/>
      <c r="FT243" s="83"/>
      <c r="FU243" s="83"/>
      <c r="FV243" s="83"/>
      <c r="FW243" s="83"/>
      <c r="FX243" s="83"/>
      <c r="FY243" s="83"/>
      <c r="FZ243" s="83"/>
      <c r="GA243" s="83"/>
      <c r="GB243" s="83"/>
      <c r="GC243" s="83"/>
      <c r="GD243" s="83"/>
      <c r="GE243" s="83"/>
      <c r="GF243" s="83"/>
      <c r="GG243" s="83"/>
      <c r="GH243" s="83"/>
      <c r="GI243" s="83"/>
      <c r="GJ243" s="83"/>
      <c r="GK243" s="83"/>
      <c r="GL243" s="83"/>
      <c r="GM243" s="83"/>
      <c r="GN243" s="83"/>
      <c r="GO243" s="83"/>
      <c r="GP243" s="83"/>
      <c r="GQ243" s="83"/>
      <c r="GR243" s="83"/>
      <c r="GS243" s="83"/>
      <c r="GT243" s="83"/>
      <c r="GU243" s="83"/>
      <c r="GV243" s="83"/>
      <c r="GW243" s="83"/>
      <c r="GX243" s="83"/>
      <c r="GY243" s="83"/>
      <c r="GZ243" s="83"/>
      <c r="HA243" s="83"/>
      <c r="HB243" s="83"/>
      <c r="HC243" s="83"/>
      <c r="HD243" s="83"/>
      <c r="HE243" s="83"/>
      <c r="HF243" s="83"/>
      <c r="HG243" s="83"/>
      <c r="HH243" s="83"/>
      <c r="HI243" s="83"/>
      <c r="HJ243" s="83"/>
      <c r="HK243" s="83"/>
      <c r="HL243" s="83"/>
      <c r="HM243" s="83"/>
      <c r="HN243" s="83"/>
      <c r="HO243" s="83"/>
      <c r="HP243" s="83"/>
      <c r="HQ243" s="83"/>
      <c r="HR243" s="83"/>
      <c r="HS243" s="83"/>
      <c r="HT243" s="83"/>
      <c r="HU243" s="83"/>
      <c r="HV243" s="83"/>
      <c r="HW243" s="83"/>
      <c r="HX243" s="83"/>
      <c r="HY243" s="83"/>
      <c r="HZ243" s="83"/>
      <c r="IA243" s="83"/>
      <c r="IB243" s="83"/>
      <c r="IC243" s="83"/>
      <c r="ID243" s="83"/>
      <c r="IE243" s="83"/>
      <c r="IF243" s="83"/>
      <c r="IG243" s="83"/>
      <c r="IH243" s="83"/>
      <c r="II243" s="83"/>
      <c r="IJ243" s="83"/>
      <c r="IK243" s="83"/>
      <c r="IL243" s="83"/>
      <c r="IM243" s="83"/>
    </row>
    <row r="244" spans="1:247" x14ac:dyDescent="0.25">
      <c r="A244" s="310">
        <v>8513</v>
      </c>
      <c r="B244" s="299" t="s">
        <v>3170</v>
      </c>
      <c r="C244" s="239" t="s">
        <v>9</v>
      </c>
      <c r="D244" s="311" t="s">
        <v>2927</v>
      </c>
      <c r="E244" s="143"/>
      <c r="F244" s="90">
        <f t="shared" si="57"/>
        <v>1.0209999999999999</v>
      </c>
      <c r="G244" s="318">
        <f>+$G$3</f>
        <v>1.0269999999999999</v>
      </c>
      <c r="H244" s="143"/>
      <c r="I244" s="300"/>
      <c r="J244" s="300"/>
      <c r="K244" s="300"/>
      <c r="L244" s="300"/>
      <c r="M244" s="300"/>
      <c r="N244" s="318"/>
      <c r="O244" s="95"/>
      <c r="P244" s="143">
        <f t="shared" si="61"/>
        <v>1.032</v>
      </c>
      <c r="Q244" s="318">
        <f t="shared" si="62"/>
        <v>1.0349999999999999</v>
      </c>
      <c r="R244" s="96">
        <f t="shared" si="58"/>
        <v>1.1199953840399997</v>
      </c>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c r="DM244" s="83"/>
      <c r="DN244" s="83"/>
      <c r="DO244" s="83"/>
      <c r="DP244" s="83"/>
      <c r="DQ244" s="83"/>
      <c r="DR244" s="83"/>
      <c r="DS244" s="83"/>
      <c r="DT244" s="83"/>
      <c r="DU244" s="83"/>
      <c r="DV244" s="83"/>
      <c r="DW244" s="83"/>
      <c r="DX244" s="83"/>
      <c r="DY244" s="83"/>
      <c r="DZ244" s="83"/>
      <c r="EA244" s="83"/>
      <c r="EB244" s="83"/>
      <c r="EC244" s="83"/>
      <c r="ED244" s="83"/>
      <c r="EE244" s="83"/>
      <c r="EF244" s="83"/>
      <c r="EG244" s="83"/>
      <c r="EH244" s="83"/>
      <c r="EI244" s="83"/>
      <c r="EJ244" s="83"/>
      <c r="EK244" s="83"/>
      <c r="EL244" s="83"/>
      <c r="EM244" s="83"/>
      <c r="EN244" s="83"/>
      <c r="EO244" s="83"/>
      <c r="EP244" s="83"/>
      <c r="EQ244" s="83"/>
      <c r="ER244" s="83"/>
      <c r="ES244" s="83"/>
      <c r="ET244" s="83"/>
      <c r="EU244" s="83"/>
      <c r="EV244" s="83"/>
      <c r="EW244" s="83"/>
      <c r="EX244" s="83"/>
      <c r="EY244" s="83"/>
      <c r="EZ244" s="83"/>
      <c r="FA244" s="83"/>
      <c r="FB244" s="83"/>
      <c r="FC244" s="83"/>
      <c r="FD244" s="83"/>
      <c r="FE244" s="83"/>
      <c r="FF244" s="83"/>
      <c r="FG244" s="83"/>
      <c r="FH244" s="83"/>
      <c r="FI244" s="83"/>
      <c r="FJ244" s="83"/>
      <c r="FK244" s="83"/>
      <c r="FL244" s="83"/>
      <c r="FM244" s="83"/>
      <c r="FN244" s="83"/>
      <c r="FO244" s="83"/>
      <c r="FP244" s="83"/>
      <c r="FQ244" s="83"/>
      <c r="FR244" s="83"/>
      <c r="FS244" s="83"/>
      <c r="FT244" s="83"/>
      <c r="FU244" s="83"/>
      <c r="FV244" s="83"/>
      <c r="FW244" s="83"/>
      <c r="FX244" s="83"/>
      <c r="FY244" s="83"/>
      <c r="FZ244" s="83"/>
      <c r="GA244" s="83"/>
      <c r="GB244" s="83"/>
      <c r="GC244" s="83"/>
      <c r="GD244" s="83"/>
      <c r="GE244" s="83"/>
      <c r="GF244" s="83"/>
      <c r="GG244" s="83"/>
      <c r="GH244" s="83"/>
      <c r="GI244" s="83"/>
      <c r="GJ244" s="83"/>
      <c r="GK244" s="83"/>
      <c r="GL244" s="83"/>
      <c r="GM244" s="83"/>
      <c r="GN244" s="83"/>
      <c r="GO244" s="83"/>
      <c r="GP244" s="83"/>
      <c r="GQ244" s="83"/>
      <c r="GR244" s="83"/>
      <c r="GS244" s="83"/>
      <c r="GT244" s="83"/>
      <c r="GU244" s="83"/>
      <c r="GV244" s="83"/>
      <c r="GW244" s="83"/>
      <c r="GX244" s="83"/>
      <c r="GY244" s="83"/>
      <c r="GZ244" s="83"/>
      <c r="HA244" s="83"/>
      <c r="HB244" s="83"/>
      <c r="HC244" s="83"/>
      <c r="HD244" s="83"/>
      <c r="HE244" s="83"/>
      <c r="HF244" s="83"/>
      <c r="HG244" s="83"/>
      <c r="HH244" s="83"/>
      <c r="HI244" s="83"/>
      <c r="HJ244" s="83"/>
      <c r="HK244" s="83"/>
      <c r="HL244" s="83"/>
      <c r="HM244" s="83"/>
      <c r="HN244" s="83"/>
      <c r="HO244" s="83"/>
      <c r="HP244" s="83"/>
      <c r="HQ244" s="83"/>
      <c r="HR244" s="83"/>
      <c r="HS244" s="83"/>
      <c r="HT244" s="83"/>
      <c r="HU244" s="83"/>
      <c r="HV244" s="83"/>
      <c r="HW244" s="83"/>
      <c r="HX244" s="83"/>
      <c r="HY244" s="83"/>
      <c r="HZ244" s="83"/>
      <c r="IA244" s="83"/>
      <c r="IB244" s="83"/>
      <c r="IC244" s="83"/>
      <c r="ID244" s="83"/>
      <c r="IE244" s="83"/>
      <c r="IF244" s="83"/>
      <c r="IG244" s="83"/>
      <c r="IH244" s="83"/>
      <c r="II244" s="83"/>
      <c r="IJ244" s="83"/>
      <c r="IK244" s="83"/>
      <c r="IL244" s="83"/>
      <c r="IM244" s="83"/>
    </row>
    <row r="245" spans="1:247" x14ac:dyDescent="0.25">
      <c r="A245" s="310">
        <v>8514</v>
      </c>
      <c r="B245" s="299" t="s">
        <v>3171</v>
      </c>
      <c r="C245" s="239" t="s">
        <v>40</v>
      </c>
      <c r="D245" s="311" t="s">
        <v>2930</v>
      </c>
      <c r="E245" s="143"/>
      <c r="F245" s="90">
        <f t="shared" si="57"/>
        <v>1.0209999999999999</v>
      </c>
      <c r="G245" s="318">
        <f>+$G$3</f>
        <v>1.0269999999999999</v>
      </c>
      <c r="H245" s="143"/>
      <c r="I245" s="300"/>
      <c r="J245" s="300"/>
      <c r="K245" s="300"/>
      <c r="L245" s="300"/>
      <c r="M245" s="300"/>
      <c r="N245" s="318"/>
      <c r="O245" s="95"/>
      <c r="P245" s="143">
        <f t="shared" si="61"/>
        <v>1.032</v>
      </c>
      <c r="Q245" s="318">
        <f t="shared" si="62"/>
        <v>1.0349999999999999</v>
      </c>
      <c r="R245" s="96">
        <f t="shared" si="58"/>
        <v>1.1199953840399997</v>
      </c>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c r="DM245" s="83"/>
      <c r="DN245" s="83"/>
      <c r="DO245" s="83"/>
      <c r="DP245" s="83"/>
      <c r="DQ245" s="83"/>
      <c r="DR245" s="83"/>
      <c r="DS245" s="83"/>
      <c r="DT245" s="83"/>
      <c r="DU245" s="83"/>
      <c r="DV245" s="83"/>
      <c r="DW245" s="83"/>
      <c r="DX245" s="83"/>
      <c r="DY245" s="83"/>
      <c r="DZ245" s="83"/>
      <c r="EA245" s="83"/>
      <c r="EB245" s="83"/>
      <c r="EC245" s="83"/>
      <c r="ED245" s="83"/>
      <c r="EE245" s="83"/>
      <c r="EF245" s="83"/>
      <c r="EG245" s="83"/>
      <c r="EH245" s="83"/>
      <c r="EI245" s="83"/>
      <c r="EJ245" s="83"/>
      <c r="EK245" s="83"/>
      <c r="EL245" s="83"/>
      <c r="EM245" s="83"/>
      <c r="EN245" s="83"/>
      <c r="EO245" s="83"/>
      <c r="EP245" s="83"/>
      <c r="EQ245" s="83"/>
      <c r="ER245" s="83"/>
      <c r="ES245" s="83"/>
      <c r="ET245" s="83"/>
      <c r="EU245" s="83"/>
      <c r="EV245" s="83"/>
      <c r="EW245" s="83"/>
      <c r="EX245" s="83"/>
      <c r="EY245" s="83"/>
      <c r="EZ245" s="83"/>
      <c r="FA245" s="83"/>
      <c r="FB245" s="83"/>
      <c r="FC245" s="83"/>
      <c r="FD245" s="83"/>
      <c r="FE245" s="83"/>
      <c r="FF245" s="83"/>
      <c r="FG245" s="83"/>
      <c r="FH245" s="83"/>
      <c r="FI245" s="83"/>
      <c r="FJ245" s="83"/>
      <c r="FK245" s="83"/>
      <c r="FL245" s="83"/>
      <c r="FM245" s="83"/>
      <c r="FN245" s="83"/>
      <c r="FO245" s="83"/>
      <c r="FP245" s="83"/>
      <c r="FQ245" s="83"/>
      <c r="FR245" s="83"/>
      <c r="FS245" s="83"/>
      <c r="FT245" s="83"/>
      <c r="FU245" s="83"/>
      <c r="FV245" s="83"/>
      <c r="FW245" s="83"/>
      <c r="FX245" s="83"/>
      <c r="FY245" s="83"/>
      <c r="FZ245" s="83"/>
      <c r="GA245" s="83"/>
      <c r="GB245" s="83"/>
      <c r="GC245" s="83"/>
      <c r="GD245" s="83"/>
      <c r="GE245" s="83"/>
      <c r="GF245" s="83"/>
      <c r="GG245" s="83"/>
      <c r="GH245" s="83"/>
      <c r="GI245" s="83"/>
      <c r="GJ245" s="83"/>
      <c r="GK245" s="83"/>
      <c r="GL245" s="83"/>
      <c r="GM245" s="83"/>
      <c r="GN245" s="83"/>
      <c r="GO245" s="83"/>
      <c r="GP245" s="83"/>
      <c r="GQ245" s="83"/>
      <c r="GR245" s="83"/>
      <c r="GS245" s="83"/>
      <c r="GT245" s="83"/>
      <c r="GU245" s="83"/>
      <c r="GV245" s="83"/>
      <c r="GW245" s="83"/>
      <c r="GX245" s="83"/>
      <c r="GY245" s="83"/>
      <c r="GZ245" s="83"/>
      <c r="HA245" s="83"/>
      <c r="HB245" s="83"/>
      <c r="HC245" s="83"/>
      <c r="HD245" s="83"/>
      <c r="HE245" s="83"/>
      <c r="HF245" s="83"/>
      <c r="HG245" s="83"/>
      <c r="HH245" s="83"/>
      <c r="HI245" s="83"/>
      <c r="HJ245" s="83"/>
      <c r="HK245" s="83"/>
      <c r="HL245" s="83"/>
      <c r="HM245" s="83"/>
      <c r="HN245" s="83"/>
      <c r="HO245" s="83"/>
      <c r="HP245" s="83"/>
      <c r="HQ245" s="83"/>
      <c r="HR245" s="83"/>
      <c r="HS245" s="83"/>
      <c r="HT245" s="83"/>
      <c r="HU245" s="83"/>
      <c r="HV245" s="83"/>
      <c r="HW245" s="83"/>
      <c r="HX245" s="83"/>
      <c r="HY245" s="83"/>
      <c r="HZ245" s="83"/>
      <c r="IA245" s="83"/>
      <c r="IB245" s="83"/>
      <c r="IC245" s="83"/>
      <c r="ID245" s="83"/>
      <c r="IE245" s="83"/>
      <c r="IF245" s="83"/>
      <c r="IG245" s="83"/>
      <c r="IH245" s="83"/>
      <c r="II245" s="83"/>
      <c r="IJ245" s="83"/>
      <c r="IK245" s="83"/>
      <c r="IL245" s="83"/>
      <c r="IM245" s="83"/>
    </row>
    <row r="246" spans="1:247" x14ac:dyDescent="0.25">
      <c r="A246" s="310">
        <v>8521</v>
      </c>
      <c r="B246" s="299" t="s">
        <v>3172</v>
      </c>
      <c r="C246" s="239" t="s">
        <v>9</v>
      </c>
      <c r="D246" s="311" t="s">
        <v>2930</v>
      </c>
      <c r="E246" s="143"/>
      <c r="F246" s="90">
        <f t="shared" si="57"/>
        <v>1.0209999999999999</v>
      </c>
      <c r="G246" s="318">
        <f>+$G$3</f>
        <v>1.0269999999999999</v>
      </c>
      <c r="H246" s="143"/>
      <c r="I246" s="300"/>
      <c r="J246" s="300"/>
      <c r="K246" s="300"/>
      <c r="L246" s="300"/>
      <c r="M246" s="300"/>
      <c r="N246" s="318"/>
      <c r="O246" s="95"/>
      <c r="P246" s="143">
        <f t="shared" si="61"/>
        <v>1.032</v>
      </c>
      <c r="Q246" s="318">
        <f t="shared" si="62"/>
        <v>1.0349999999999999</v>
      </c>
      <c r="R246" s="96">
        <f t="shared" si="58"/>
        <v>1.1199953840399997</v>
      </c>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c r="DM246" s="83"/>
      <c r="DN246" s="83"/>
      <c r="DO246" s="83"/>
      <c r="DP246" s="83"/>
      <c r="DQ246" s="83"/>
      <c r="DR246" s="83"/>
      <c r="DS246" s="83"/>
      <c r="DT246" s="83"/>
      <c r="DU246" s="83"/>
      <c r="DV246" s="83"/>
      <c r="DW246" s="83"/>
      <c r="DX246" s="83"/>
      <c r="DY246" s="83"/>
      <c r="DZ246" s="83"/>
      <c r="EA246" s="83"/>
      <c r="EB246" s="83"/>
      <c r="EC246" s="83"/>
      <c r="ED246" s="83"/>
      <c r="EE246" s="83"/>
      <c r="EF246" s="83"/>
      <c r="EG246" s="83"/>
      <c r="EH246" s="83"/>
      <c r="EI246" s="83"/>
      <c r="EJ246" s="83"/>
      <c r="EK246" s="83"/>
      <c r="EL246" s="83"/>
      <c r="EM246" s="83"/>
      <c r="EN246" s="83"/>
      <c r="EO246" s="83"/>
      <c r="EP246" s="83"/>
      <c r="EQ246" s="83"/>
      <c r="ER246" s="83"/>
      <c r="ES246" s="83"/>
      <c r="ET246" s="83"/>
      <c r="EU246" s="83"/>
      <c r="EV246" s="83"/>
      <c r="EW246" s="83"/>
      <c r="EX246" s="83"/>
      <c r="EY246" s="83"/>
      <c r="EZ246" s="83"/>
      <c r="FA246" s="83"/>
      <c r="FB246" s="83"/>
      <c r="FC246" s="83"/>
      <c r="FD246" s="83"/>
      <c r="FE246" s="83"/>
      <c r="FF246" s="83"/>
      <c r="FG246" s="83"/>
      <c r="FH246" s="83"/>
      <c r="FI246" s="83"/>
      <c r="FJ246" s="83"/>
      <c r="FK246" s="83"/>
      <c r="FL246" s="83"/>
      <c r="FM246" s="83"/>
      <c r="FN246" s="83"/>
      <c r="FO246" s="83"/>
      <c r="FP246" s="83"/>
      <c r="FQ246" s="83"/>
      <c r="FR246" s="83"/>
      <c r="FS246" s="83"/>
      <c r="FT246" s="83"/>
      <c r="FU246" s="83"/>
      <c r="FV246" s="83"/>
      <c r="FW246" s="83"/>
      <c r="FX246" s="83"/>
      <c r="FY246" s="83"/>
      <c r="FZ246" s="83"/>
      <c r="GA246" s="83"/>
      <c r="GB246" s="83"/>
      <c r="GC246" s="83"/>
      <c r="GD246" s="83"/>
      <c r="GE246" s="83"/>
      <c r="GF246" s="83"/>
      <c r="GG246" s="83"/>
      <c r="GH246" s="83"/>
      <c r="GI246" s="83"/>
      <c r="GJ246" s="83"/>
      <c r="GK246" s="83"/>
      <c r="GL246" s="83"/>
      <c r="GM246" s="83"/>
      <c r="GN246" s="83"/>
      <c r="GO246" s="83"/>
      <c r="GP246" s="83"/>
      <c r="GQ246" s="83"/>
      <c r="GR246" s="83"/>
      <c r="GS246" s="83"/>
      <c r="GT246" s="83"/>
      <c r="GU246" s="83"/>
      <c r="GV246" s="83"/>
      <c r="GW246" s="83"/>
      <c r="GX246" s="83"/>
      <c r="GY246" s="83"/>
      <c r="GZ246" s="83"/>
      <c r="HA246" s="83"/>
      <c r="HB246" s="83"/>
      <c r="HC246" s="83"/>
      <c r="HD246" s="83"/>
      <c r="HE246" s="83"/>
      <c r="HF246" s="83"/>
      <c r="HG246" s="83"/>
      <c r="HH246" s="83"/>
      <c r="HI246" s="83"/>
      <c r="HJ246" s="83"/>
      <c r="HK246" s="83"/>
      <c r="HL246" s="83"/>
      <c r="HM246" s="83"/>
      <c r="HN246" s="83"/>
      <c r="HO246" s="83"/>
      <c r="HP246" s="83"/>
      <c r="HQ246" s="83"/>
      <c r="HR246" s="83"/>
      <c r="HS246" s="83"/>
      <c r="HT246" s="83"/>
      <c r="HU246" s="83"/>
      <c r="HV246" s="83"/>
      <c r="HW246" s="83"/>
      <c r="HX246" s="83"/>
      <c r="HY246" s="83"/>
      <c r="HZ246" s="83"/>
      <c r="IA246" s="83"/>
      <c r="IB246" s="83"/>
      <c r="IC246" s="83"/>
      <c r="ID246" s="83"/>
      <c r="IE246" s="83"/>
      <c r="IF246" s="83"/>
      <c r="IG246" s="83"/>
      <c r="IH246" s="83"/>
      <c r="II246" s="83"/>
      <c r="IJ246" s="83"/>
      <c r="IK246" s="83"/>
      <c r="IL246" s="83"/>
      <c r="IM246" s="83"/>
    </row>
    <row r="247" spans="1:247" x14ac:dyDescent="0.25">
      <c r="A247" s="310">
        <v>8522</v>
      </c>
      <c r="B247" s="299" t="s">
        <v>3173</v>
      </c>
      <c r="C247" s="239" t="s">
        <v>9</v>
      </c>
      <c r="D247" s="311" t="s">
        <v>2930</v>
      </c>
      <c r="E247" s="143"/>
      <c r="F247" s="90">
        <f t="shared" si="57"/>
        <v>1.0209999999999999</v>
      </c>
      <c r="G247" s="318"/>
      <c r="H247" s="143"/>
      <c r="I247" s="300"/>
      <c r="J247" s="300"/>
      <c r="K247" s="300"/>
      <c r="L247" s="300"/>
      <c r="M247" s="300"/>
      <c r="N247" s="318"/>
      <c r="O247" s="95"/>
      <c r="P247" s="143"/>
      <c r="Q247" s="318"/>
      <c r="R247" s="96">
        <f t="shared" si="58"/>
        <v>1.0209999999999999</v>
      </c>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row>
    <row r="248" spans="1:247" x14ac:dyDescent="0.25">
      <c r="A248" s="310">
        <v>8523</v>
      </c>
      <c r="B248" s="299" t="s">
        <v>3174</v>
      </c>
      <c r="C248" s="239" t="s">
        <v>9</v>
      </c>
      <c r="D248" s="311" t="s">
        <v>2930</v>
      </c>
      <c r="E248" s="143"/>
      <c r="F248" s="90">
        <f t="shared" si="57"/>
        <v>1.0209999999999999</v>
      </c>
      <c r="G248" s="318">
        <f>+$G$3</f>
        <v>1.0269999999999999</v>
      </c>
      <c r="H248" s="143"/>
      <c r="I248" s="300"/>
      <c r="J248" s="300"/>
      <c r="K248" s="300"/>
      <c r="L248" s="300"/>
      <c r="M248" s="300"/>
      <c r="N248" s="318"/>
      <c r="O248" s="95"/>
      <c r="P248" s="143">
        <f>+$P$3</f>
        <v>1.032</v>
      </c>
      <c r="Q248" s="318">
        <f>+$Q$3</f>
        <v>1.0349999999999999</v>
      </c>
      <c r="R248" s="96">
        <f t="shared" si="58"/>
        <v>1.1199953840399997</v>
      </c>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c r="DM248" s="83"/>
      <c r="DN248" s="83"/>
      <c r="DO248" s="83"/>
      <c r="DP248" s="83"/>
      <c r="DQ248" s="83"/>
      <c r="DR248" s="83"/>
      <c r="DS248" s="83"/>
      <c r="DT248" s="83"/>
      <c r="DU248" s="83"/>
      <c r="DV248" s="83"/>
      <c r="DW248" s="83"/>
      <c r="DX248" s="83"/>
      <c r="DY248" s="83"/>
      <c r="DZ248" s="83"/>
      <c r="EA248" s="83"/>
      <c r="EB248" s="83"/>
      <c r="EC248" s="83"/>
      <c r="ED248" s="83"/>
      <c r="EE248" s="83"/>
      <c r="EF248" s="83"/>
      <c r="EG248" s="83"/>
      <c r="EH248" s="83"/>
      <c r="EI248" s="83"/>
      <c r="EJ248" s="83"/>
      <c r="EK248" s="83"/>
      <c r="EL248" s="83"/>
      <c r="EM248" s="83"/>
      <c r="EN248" s="83"/>
      <c r="EO248" s="83"/>
      <c r="EP248" s="83"/>
      <c r="EQ248" s="83"/>
      <c r="ER248" s="83"/>
      <c r="ES248" s="83"/>
      <c r="ET248" s="83"/>
      <c r="EU248" s="83"/>
      <c r="EV248" s="83"/>
      <c r="EW248" s="83"/>
      <c r="EX248" s="83"/>
      <c r="EY248" s="83"/>
      <c r="EZ248" s="83"/>
      <c r="FA248" s="83"/>
      <c r="FB248" s="83"/>
      <c r="FC248" s="83"/>
      <c r="FD248" s="83"/>
      <c r="FE248" s="83"/>
      <c r="FF248" s="83"/>
      <c r="FG248" s="83"/>
      <c r="FH248" s="83"/>
      <c r="FI248" s="83"/>
      <c r="FJ248" s="83"/>
      <c r="FK248" s="83"/>
      <c r="FL248" s="83"/>
      <c r="FM248" s="83"/>
      <c r="FN248" s="83"/>
      <c r="FO248" s="83"/>
      <c r="FP248" s="83"/>
      <c r="FQ248" s="83"/>
      <c r="FR248" s="83"/>
      <c r="FS248" s="83"/>
      <c r="FT248" s="83"/>
      <c r="FU248" s="83"/>
      <c r="FV248" s="83"/>
      <c r="FW248" s="83"/>
      <c r="FX248" s="83"/>
      <c r="FY248" s="83"/>
      <c r="FZ248" s="83"/>
      <c r="GA248" s="83"/>
      <c r="GB248" s="83"/>
      <c r="GC248" s="83"/>
      <c r="GD248" s="83"/>
      <c r="GE248" s="83"/>
      <c r="GF248" s="83"/>
      <c r="GG248" s="83"/>
      <c r="GH248" s="83"/>
      <c r="GI248" s="83"/>
      <c r="GJ248" s="83"/>
      <c r="GK248" s="83"/>
      <c r="GL248" s="83"/>
      <c r="GM248" s="83"/>
      <c r="GN248" s="83"/>
      <c r="GO248" s="83"/>
      <c r="GP248" s="83"/>
      <c r="GQ248" s="83"/>
      <c r="GR248" s="83"/>
      <c r="GS248" s="83"/>
      <c r="GT248" s="83"/>
      <c r="GU248" s="83"/>
      <c r="GV248" s="83"/>
      <c r="GW248" s="83"/>
      <c r="GX248" s="83"/>
      <c r="GY248" s="83"/>
      <c r="GZ248" s="83"/>
      <c r="HA248" s="83"/>
      <c r="HB248" s="83"/>
      <c r="HC248" s="83"/>
      <c r="HD248" s="83"/>
      <c r="HE248" s="83"/>
      <c r="HF248" s="83"/>
      <c r="HG248" s="83"/>
      <c r="HH248" s="83"/>
      <c r="HI248" s="83"/>
      <c r="HJ248" s="83"/>
      <c r="HK248" s="83"/>
      <c r="HL248" s="83"/>
      <c r="HM248" s="83"/>
      <c r="HN248" s="83"/>
      <c r="HO248" s="83"/>
      <c r="HP248" s="83"/>
      <c r="HQ248" s="83"/>
      <c r="HR248" s="83"/>
      <c r="HS248" s="83"/>
      <c r="HT248" s="83"/>
      <c r="HU248" s="83"/>
      <c r="HV248" s="83"/>
      <c r="HW248" s="83"/>
      <c r="HX248" s="83"/>
      <c r="HY248" s="83"/>
      <c r="HZ248" s="83"/>
      <c r="IA248" s="83"/>
      <c r="IB248" s="83"/>
      <c r="IC248" s="83"/>
      <c r="ID248" s="83"/>
      <c r="IE248" s="83"/>
      <c r="IF248" s="83"/>
      <c r="IG248" s="83"/>
      <c r="IH248" s="83"/>
      <c r="II248" s="83"/>
      <c r="IJ248" s="83"/>
      <c r="IK248" s="83"/>
      <c r="IL248" s="83"/>
      <c r="IM248" s="83"/>
    </row>
    <row r="249" spans="1:247" x14ac:dyDescent="0.25">
      <c r="A249" s="310">
        <v>8524</v>
      </c>
      <c r="B249" s="299" t="s">
        <v>3175</v>
      </c>
      <c r="C249" s="239" t="s">
        <v>9</v>
      </c>
      <c r="D249" s="311" t="s">
        <v>2927</v>
      </c>
      <c r="E249" s="143"/>
      <c r="F249" s="90">
        <f t="shared" si="57"/>
        <v>1.0209999999999999</v>
      </c>
      <c r="G249" s="318"/>
      <c r="H249" s="143"/>
      <c r="I249" s="300"/>
      <c r="J249" s="300"/>
      <c r="K249" s="300"/>
      <c r="L249" s="300"/>
      <c r="M249" s="300"/>
      <c r="N249" s="318"/>
      <c r="O249" s="95"/>
      <c r="P249" s="143"/>
      <c r="Q249" s="318"/>
      <c r="R249" s="96">
        <f t="shared" si="58"/>
        <v>1.0209999999999999</v>
      </c>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c r="DM249" s="83"/>
      <c r="DN249" s="83"/>
      <c r="DO249" s="83"/>
      <c r="DP249" s="83"/>
      <c r="DQ249" s="83"/>
      <c r="DR249" s="83"/>
      <c r="DS249" s="83"/>
      <c r="DT249" s="83"/>
      <c r="DU249" s="83"/>
      <c r="DV249" s="83"/>
      <c r="DW249" s="83"/>
      <c r="DX249" s="83"/>
      <c r="DY249" s="83"/>
      <c r="DZ249" s="83"/>
      <c r="EA249" s="83"/>
      <c r="EB249" s="83"/>
      <c r="EC249" s="83"/>
      <c r="ED249" s="83"/>
      <c r="EE249" s="83"/>
      <c r="EF249" s="83"/>
      <c r="EG249" s="83"/>
      <c r="EH249" s="83"/>
      <c r="EI249" s="83"/>
      <c r="EJ249" s="83"/>
      <c r="EK249" s="83"/>
      <c r="EL249" s="83"/>
      <c r="EM249" s="83"/>
      <c r="EN249" s="83"/>
      <c r="EO249" s="83"/>
      <c r="EP249" s="83"/>
      <c r="EQ249" s="83"/>
      <c r="ER249" s="83"/>
      <c r="ES249" s="83"/>
      <c r="ET249" s="83"/>
      <c r="EU249" s="83"/>
      <c r="EV249" s="83"/>
      <c r="EW249" s="83"/>
      <c r="EX249" s="83"/>
      <c r="EY249" s="83"/>
      <c r="EZ249" s="83"/>
      <c r="FA249" s="83"/>
      <c r="FB249" s="83"/>
      <c r="FC249" s="83"/>
      <c r="FD249" s="83"/>
      <c r="FE249" s="83"/>
      <c r="FF249" s="83"/>
      <c r="FG249" s="83"/>
      <c r="FH249" s="83"/>
      <c r="FI249" s="83"/>
      <c r="FJ249" s="83"/>
      <c r="FK249" s="83"/>
      <c r="FL249" s="83"/>
      <c r="FM249" s="83"/>
      <c r="FN249" s="83"/>
      <c r="FO249" s="83"/>
      <c r="FP249" s="83"/>
      <c r="FQ249" s="83"/>
      <c r="FR249" s="83"/>
      <c r="FS249" s="83"/>
      <c r="FT249" s="83"/>
      <c r="FU249" s="83"/>
      <c r="FV249" s="83"/>
      <c r="FW249" s="83"/>
      <c r="FX249" s="83"/>
      <c r="FY249" s="83"/>
      <c r="FZ249" s="83"/>
      <c r="GA249" s="83"/>
      <c r="GB249" s="83"/>
      <c r="GC249" s="83"/>
      <c r="GD249" s="83"/>
      <c r="GE249" s="83"/>
      <c r="GF249" s="83"/>
      <c r="GG249" s="83"/>
      <c r="GH249" s="83"/>
      <c r="GI249" s="83"/>
      <c r="GJ249" s="83"/>
      <c r="GK249" s="83"/>
      <c r="GL249" s="83"/>
      <c r="GM249" s="83"/>
      <c r="GN249" s="83"/>
      <c r="GO249" s="83"/>
      <c r="GP249" s="83"/>
      <c r="GQ249" s="83"/>
      <c r="GR249" s="83"/>
      <c r="GS249" s="83"/>
      <c r="GT249" s="83"/>
      <c r="GU249" s="83"/>
      <c r="GV249" s="83"/>
      <c r="GW249" s="83"/>
      <c r="GX249" s="83"/>
      <c r="GY249" s="83"/>
      <c r="GZ249" s="83"/>
      <c r="HA249" s="83"/>
      <c r="HB249" s="83"/>
      <c r="HC249" s="83"/>
      <c r="HD249" s="83"/>
      <c r="HE249" s="83"/>
      <c r="HF249" s="83"/>
      <c r="HG249" s="83"/>
      <c r="HH249" s="83"/>
      <c r="HI249" s="83"/>
      <c r="HJ249" s="83"/>
      <c r="HK249" s="83"/>
      <c r="HL249" s="83"/>
      <c r="HM249" s="83"/>
      <c r="HN249" s="83"/>
      <c r="HO249" s="83"/>
      <c r="HP249" s="83"/>
      <c r="HQ249" s="83"/>
      <c r="HR249" s="83"/>
      <c r="HS249" s="83"/>
      <c r="HT249" s="83"/>
      <c r="HU249" s="83"/>
      <c r="HV249" s="83"/>
      <c r="HW249" s="83"/>
      <c r="HX249" s="83"/>
      <c r="HY249" s="83"/>
      <c r="HZ249" s="83"/>
      <c r="IA249" s="83"/>
      <c r="IB249" s="83"/>
      <c r="IC249" s="83"/>
      <c r="ID249" s="83"/>
      <c r="IE249" s="83"/>
      <c r="IF249" s="83"/>
      <c r="IG249" s="83"/>
      <c r="IH249" s="83"/>
      <c r="II249" s="83"/>
      <c r="IJ249" s="83"/>
      <c r="IK249" s="83"/>
      <c r="IL249" s="83"/>
      <c r="IM249" s="83"/>
    </row>
    <row r="250" spans="1:247" x14ac:dyDescent="0.25">
      <c r="A250" s="310">
        <v>8525</v>
      </c>
      <c r="B250" s="299" t="s">
        <v>3176</v>
      </c>
      <c r="C250" s="239" t="s">
        <v>9</v>
      </c>
      <c r="D250" s="311" t="s">
        <v>2927</v>
      </c>
      <c r="E250" s="143"/>
      <c r="F250" s="90">
        <f t="shared" si="57"/>
        <v>1.0209999999999999</v>
      </c>
      <c r="G250" s="318"/>
      <c r="H250" s="143"/>
      <c r="I250" s="300"/>
      <c r="J250" s="300"/>
      <c r="K250" s="300"/>
      <c r="L250" s="300"/>
      <c r="M250" s="300"/>
      <c r="N250" s="318"/>
      <c r="O250" s="95"/>
      <c r="P250" s="143">
        <f t="shared" ref="P250:P256" si="63">+$P$3</f>
        <v>1.032</v>
      </c>
      <c r="Q250" s="318">
        <f t="shared" ref="Q250:Q256" si="64">+$Q$3</f>
        <v>1.0349999999999999</v>
      </c>
      <c r="R250" s="96">
        <f t="shared" si="58"/>
        <v>1.0905505199999999</v>
      </c>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c r="DM250" s="83"/>
      <c r="DN250" s="83"/>
      <c r="DO250" s="83"/>
      <c r="DP250" s="83"/>
      <c r="DQ250" s="83"/>
      <c r="DR250" s="83"/>
      <c r="DS250" s="83"/>
      <c r="DT250" s="83"/>
      <c r="DU250" s="83"/>
      <c r="DV250" s="83"/>
      <c r="DW250" s="83"/>
      <c r="DX250" s="83"/>
      <c r="DY250" s="83"/>
      <c r="DZ250" s="83"/>
      <c r="EA250" s="83"/>
      <c r="EB250" s="83"/>
      <c r="EC250" s="83"/>
      <c r="ED250" s="83"/>
      <c r="EE250" s="83"/>
      <c r="EF250" s="83"/>
      <c r="EG250" s="83"/>
      <c r="EH250" s="83"/>
      <c r="EI250" s="83"/>
      <c r="EJ250" s="83"/>
      <c r="EK250" s="83"/>
      <c r="EL250" s="83"/>
      <c r="EM250" s="83"/>
      <c r="EN250" s="83"/>
      <c r="EO250" s="83"/>
      <c r="EP250" s="83"/>
      <c r="EQ250" s="83"/>
      <c r="ER250" s="83"/>
      <c r="ES250" s="83"/>
      <c r="ET250" s="83"/>
      <c r="EU250" s="83"/>
      <c r="EV250" s="83"/>
      <c r="EW250" s="83"/>
      <c r="EX250" s="83"/>
      <c r="EY250" s="83"/>
      <c r="EZ250" s="83"/>
      <c r="FA250" s="83"/>
      <c r="FB250" s="83"/>
      <c r="FC250" s="83"/>
      <c r="FD250" s="83"/>
      <c r="FE250" s="83"/>
      <c r="FF250" s="83"/>
      <c r="FG250" s="83"/>
      <c r="FH250" s="83"/>
      <c r="FI250" s="83"/>
      <c r="FJ250" s="83"/>
      <c r="FK250" s="83"/>
      <c r="FL250" s="83"/>
      <c r="FM250" s="83"/>
      <c r="FN250" s="83"/>
      <c r="FO250" s="83"/>
      <c r="FP250" s="83"/>
      <c r="FQ250" s="83"/>
      <c r="FR250" s="83"/>
      <c r="FS250" s="83"/>
      <c r="FT250" s="83"/>
      <c r="FU250" s="83"/>
      <c r="FV250" s="83"/>
      <c r="FW250" s="83"/>
      <c r="FX250" s="83"/>
      <c r="FY250" s="83"/>
      <c r="FZ250" s="83"/>
      <c r="GA250" s="83"/>
      <c r="GB250" s="83"/>
      <c r="GC250" s="83"/>
      <c r="GD250" s="83"/>
      <c r="GE250" s="83"/>
      <c r="GF250" s="83"/>
      <c r="GG250" s="83"/>
      <c r="GH250" s="83"/>
      <c r="GI250" s="83"/>
      <c r="GJ250" s="83"/>
      <c r="GK250" s="83"/>
      <c r="GL250" s="83"/>
      <c r="GM250" s="83"/>
      <c r="GN250" s="83"/>
      <c r="GO250" s="83"/>
      <c r="GP250" s="83"/>
      <c r="GQ250" s="83"/>
      <c r="GR250" s="83"/>
      <c r="GS250" s="83"/>
      <c r="GT250" s="83"/>
      <c r="GU250" s="83"/>
      <c r="GV250" s="83"/>
      <c r="GW250" s="83"/>
      <c r="GX250" s="83"/>
      <c r="GY250" s="83"/>
      <c r="GZ250" s="83"/>
      <c r="HA250" s="83"/>
      <c r="HB250" s="83"/>
      <c r="HC250" s="83"/>
      <c r="HD250" s="83"/>
      <c r="HE250" s="83"/>
      <c r="HF250" s="83"/>
      <c r="HG250" s="83"/>
      <c r="HH250" s="83"/>
      <c r="HI250" s="83"/>
      <c r="HJ250" s="83"/>
      <c r="HK250" s="83"/>
      <c r="HL250" s="83"/>
      <c r="HM250" s="83"/>
      <c r="HN250" s="83"/>
      <c r="HO250" s="83"/>
      <c r="HP250" s="83"/>
      <c r="HQ250" s="83"/>
      <c r="HR250" s="83"/>
      <c r="HS250" s="83"/>
      <c r="HT250" s="83"/>
      <c r="HU250" s="83"/>
      <c r="HV250" s="83"/>
      <c r="HW250" s="83"/>
      <c r="HX250" s="83"/>
      <c r="HY250" s="83"/>
      <c r="HZ250" s="83"/>
      <c r="IA250" s="83"/>
      <c r="IB250" s="83"/>
      <c r="IC250" s="83"/>
      <c r="ID250" s="83"/>
      <c r="IE250" s="83"/>
      <c r="IF250" s="83"/>
      <c r="IG250" s="83"/>
      <c r="IH250" s="83"/>
      <c r="II250" s="83"/>
      <c r="IJ250" s="83"/>
      <c r="IK250" s="83"/>
      <c r="IL250" s="83"/>
      <c r="IM250" s="83"/>
    </row>
    <row r="251" spans="1:247" x14ac:dyDescent="0.25">
      <c r="A251" s="310">
        <v>8526</v>
      </c>
      <c r="B251" s="299" t="s">
        <v>3177</v>
      </c>
      <c r="C251" s="239" t="s">
        <v>9</v>
      </c>
      <c r="D251" s="311" t="s">
        <v>2930</v>
      </c>
      <c r="E251" s="143"/>
      <c r="F251" s="90">
        <f t="shared" si="57"/>
        <v>1.0209999999999999</v>
      </c>
      <c r="G251" s="318"/>
      <c r="H251" s="143"/>
      <c r="I251" s="300"/>
      <c r="J251" s="300"/>
      <c r="K251" s="300"/>
      <c r="L251" s="300"/>
      <c r="M251" s="300"/>
      <c r="N251" s="318"/>
      <c r="O251" s="95"/>
      <c r="P251" s="143">
        <f t="shared" si="63"/>
        <v>1.032</v>
      </c>
      <c r="Q251" s="318">
        <f t="shared" si="64"/>
        <v>1.0349999999999999</v>
      </c>
      <c r="R251" s="96">
        <f t="shared" si="58"/>
        <v>1.0905505199999999</v>
      </c>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c r="DM251" s="83"/>
      <c r="DN251" s="83"/>
      <c r="DO251" s="83"/>
      <c r="DP251" s="83"/>
      <c r="DQ251" s="83"/>
      <c r="DR251" s="83"/>
      <c r="DS251" s="83"/>
      <c r="DT251" s="83"/>
      <c r="DU251" s="83"/>
      <c r="DV251" s="83"/>
      <c r="DW251" s="83"/>
      <c r="DX251" s="83"/>
      <c r="DY251" s="83"/>
      <c r="DZ251" s="83"/>
      <c r="EA251" s="83"/>
      <c r="EB251" s="83"/>
      <c r="EC251" s="83"/>
      <c r="ED251" s="83"/>
      <c r="EE251" s="83"/>
      <c r="EF251" s="83"/>
      <c r="EG251" s="83"/>
      <c r="EH251" s="83"/>
      <c r="EI251" s="83"/>
      <c r="EJ251" s="83"/>
      <c r="EK251" s="83"/>
      <c r="EL251" s="83"/>
      <c r="EM251" s="83"/>
      <c r="EN251" s="83"/>
      <c r="EO251" s="83"/>
      <c r="EP251" s="83"/>
      <c r="EQ251" s="83"/>
      <c r="ER251" s="83"/>
      <c r="ES251" s="83"/>
      <c r="ET251" s="83"/>
      <c r="EU251" s="83"/>
      <c r="EV251" s="83"/>
      <c r="EW251" s="83"/>
      <c r="EX251" s="83"/>
      <c r="EY251" s="83"/>
      <c r="EZ251" s="83"/>
      <c r="FA251" s="83"/>
      <c r="FB251" s="83"/>
      <c r="FC251" s="83"/>
      <c r="FD251" s="83"/>
      <c r="FE251" s="83"/>
      <c r="FF251" s="83"/>
      <c r="FG251" s="83"/>
      <c r="FH251" s="83"/>
      <c r="FI251" s="83"/>
      <c r="FJ251" s="83"/>
      <c r="FK251" s="83"/>
      <c r="FL251" s="83"/>
      <c r="FM251" s="83"/>
      <c r="FN251" s="83"/>
      <c r="FO251" s="83"/>
      <c r="FP251" s="83"/>
      <c r="FQ251" s="83"/>
      <c r="FR251" s="83"/>
      <c r="FS251" s="83"/>
      <c r="FT251" s="83"/>
      <c r="FU251" s="83"/>
      <c r="FV251" s="83"/>
      <c r="FW251" s="83"/>
      <c r="FX251" s="83"/>
      <c r="FY251" s="83"/>
      <c r="FZ251" s="83"/>
      <c r="GA251" s="83"/>
      <c r="GB251" s="83"/>
      <c r="GC251" s="83"/>
      <c r="GD251" s="83"/>
      <c r="GE251" s="83"/>
      <c r="GF251" s="83"/>
      <c r="GG251" s="83"/>
      <c r="GH251" s="83"/>
      <c r="GI251" s="83"/>
      <c r="GJ251" s="83"/>
      <c r="GK251" s="83"/>
      <c r="GL251" s="83"/>
      <c r="GM251" s="83"/>
      <c r="GN251" s="83"/>
      <c r="GO251" s="83"/>
      <c r="GP251" s="83"/>
      <c r="GQ251" s="83"/>
      <c r="GR251" s="83"/>
      <c r="GS251" s="83"/>
      <c r="GT251" s="83"/>
      <c r="GU251" s="83"/>
      <c r="GV251" s="83"/>
      <c r="GW251" s="83"/>
      <c r="GX251" s="83"/>
      <c r="GY251" s="83"/>
      <c r="GZ251" s="83"/>
      <c r="HA251" s="83"/>
      <c r="HB251" s="83"/>
      <c r="HC251" s="83"/>
      <c r="HD251" s="83"/>
      <c r="HE251" s="83"/>
      <c r="HF251" s="83"/>
      <c r="HG251" s="83"/>
      <c r="HH251" s="83"/>
      <c r="HI251" s="83"/>
      <c r="HJ251" s="83"/>
      <c r="HK251" s="83"/>
      <c r="HL251" s="83"/>
      <c r="HM251" s="83"/>
      <c r="HN251" s="83"/>
      <c r="HO251" s="83"/>
      <c r="HP251" s="83"/>
      <c r="HQ251" s="83"/>
      <c r="HR251" s="83"/>
      <c r="HS251" s="83"/>
      <c r="HT251" s="83"/>
      <c r="HU251" s="83"/>
      <c r="HV251" s="83"/>
      <c r="HW251" s="83"/>
      <c r="HX251" s="83"/>
      <c r="HY251" s="83"/>
      <c r="HZ251" s="83"/>
      <c r="IA251" s="83"/>
      <c r="IB251" s="83"/>
      <c r="IC251" s="83"/>
      <c r="ID251" s="83"/>
      <c r="IE251" s="83"/>
      <c r="IF251" s="83"/>
      <c r="IG251" s="83"/>
      <c r="IH251" s="83"/>
      <c r="II251" s="83"/>
      <c r="IJ251" s="83"/>
      <c r="IK251" s="83"/>
      <c r="IL251" s="83"/>
      <c r="IM251" s="83"/>
    </row>
    <row r="252" spans="1:247" x14ac:dyDescent="0.25">
      <c r="A252" s="310">
        <v>8541</v>
      </c>
      <c r="B252" s="299" t="s">
        <v>3178</v>
      </c>
      <c r="C252" s="239" t="s">
        <v>76</v>
      </c>
      <c r="D252" s="311" t="s">
        <v>2927</v>
      </c>
      <c r="E252" s="143"/>
      <c r="F252" s="90">
        <f t="shared" si="57"/>
        <v>1.0209999999999999</v>
      </c>
      <c r="G252" s="318"/>
      <c r="H252" s="143"/>
      <c r="I252" s="300"/>
      <c r="J252" s="300"/>
      <c r="K252" s="300"/>
      <c r="L252" s="300"/>
      <c r="M252" s="300"/>
      <c r="N252" s="318"/>
      <c r="O252" s="95"/>
      <c r="P252" s="143">
        <f t="shared" si="63"/>
        <v>1.032</v>
      </c>
      <c r="Q252" s="318">
        <f t="shared" si="64"/>
        <v>1.0349999999999999</v>
      </c>
      <c r="R252" s="96">
        <f t="shared" si="58"/>
        <v>1.0905505199999999</v>
      </c>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row>
    <row r="253" spans="1:247" x14ac:dyDescent="0.25">
      <c r="A253" s="310">
        <v>8601</v>
      </c>
      <c r="B253" s="299" t="s">
        <v>3179</v>
      </c>
      <c r="C253" s="239" t="s">
        <v>333</v>
      </c>
      <c r="D253" s="311" t="s">
        <v>2930</v>
      </c>
      <c r="E253" s="143"/>
      <c r="F253" s="90">
        <f t="shared" si="57"/>
        <v>1.0209999999999999</v>
      </c>
      <c r="G253" s="318">
        <f>+$G$3</f>
        <v>1.0269999999999999</v>
      </c>
      <c r="H253" s="143"/>
      <c r="I253" s="300"/>
      <c r="J253" s="300"/>
      <c r="K253" s="300"/>
      <c r="L253" s="300"/>
      <c r="M253" s="300"/>
      <c r="N253" s="318"/>
      <c r="O253" s="95"/>
      <c r="P253" s="143">
        <f t="shared" si="63"/>
        <v>1.032</v>
      </c>
      <c r="Q253" s="318">
        <f t="shared" si="64"/>
        <v>1.0349999999999999</v>
      </c>
      <c r="R253" s="96">
        <f t="shared" si="58"/>
        <v>1.1199953840399997</v>
      </c>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c r="EB253" s="83"/>
      <c r="EC253" s="83"/>
      <c r="ED253" s="83"/>
      <c r="EE253" s="83"/>
      <c r="EF253" s="83"/>
      <c r="EG253" s="83"/>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3"/>
      <c r="GV253" s="83"/>
      <c r="GW253" s="83"/>
      <c r="GX253" s="83"/>
      <c r="GY253" s="83"/>
      <c r="GZ253" s="83"/>
      <c r="HA253" s="83"/>
      <c r="HB253" s="83"/>
      <c r="HC253" s="83"/>
      <c r="HD253" s="83"/>
      <c r="HE253" s="83"/>
      <c r="HF253" s="83"/>
      <c r="HG253" s="83"/>
      <c r="HH253" s="83"/>
      <c r="HI253" s="83"/>
      <c r="HJ253" s="83"/>
      <c r="HK253" s="83"/>
      <c r="HL253" s="83"/>
      <c r="HM253" s="83"/>
      <c r="HN253" s="83"/>
      <c r="HO253" s="83"/>
      <c r="HP253" s="83"/>
      <c r="HQ253" s="83"/>
      <c r="HR253" s="83"/>
      <c r="HS253" s="83"/>
      <c r="HT253" s="83"/>
      <c r="HU253" s="83"/>
      <c r="HV253" s="83"/>
      <c r="HW253" s="83"/>
      <c r="HX253" s="83"/>
      <c r="HY253" s="83"/>
      <c r="HZ253" s="83"/>
      <c r="IA253" s="83"/>
      <c r="IB253" s="83"/>
      <c r="IC253" s="83"/>
      <c r="ID253" s="83"/>
      <c r="IE253" s="83"/>
      <c r="IF253" s="83"/>
      <c r="IG253" s="83"/>
      <c r="IH253" s="83"/>
      <c r="II253" s="83"/>
      <c r="IJ253" s="83"/>
      <c r="IK253" s="83"/>
      <c r="IL253" s="83"/>
      <c r="IM253" s="83"/>
    </row>
    <row r="254" spans="1:247" x14ac:dyDescent="0.25">
      <c r="A254" s="310">
        <v>8611</v>
      </c>
      <c r="B254" s="299" t="s">
        <v>3180</v>
      </c>
      <c r="C254" s="239" t="s">
        <v>40</v>
      </c>
      <c r="D254" s="311" t="s">
        <v>2927</v>
      </c>
      <c r="E254" s="143"/>
      <c r="F254" s="90">
        <f t="shared" si="57"/>
        <v>1.0209999999999999</v>
      </c>
      <c r="G254" s="318">
        <f>+$G$3</f>
        <v>1.0269999999999999</v>
      </c>
      <c r="H254" s="143"/>
      <c r="I254" s="300"/>
      <c r="J254" s="300"/>
      <c r="K254" s="300"/>
      <c r="L254" s="300"/>
      <c r="M254" s="300"/>
      <c r="N254" s="318"/>
      <c r="O254" s="95"/>
      <c r="P254" s="143">
        <f t="shared" si="63"/>
        <v>1.032</v>
      </c>
      <c r="Q254" s="318">
        <f t="shared" si="64"/>
        <v>1.0349999999999999</v>
      </c>
      <c r="R254" s="96">
        <f t="shared" si="58"/>
        <v>1.1199953840399997</v>
      </c>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c r="EB254" s="83"/>
      <c r="EC254" s="83"/>
      <c r="ED254" s="83"/>
      <c r="EE254" s="83"/>
      <c r="EF254" s="83"/>
      <c r="EG254" s="83"/>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c r="GG254" s="83"/>
      <c r="GH254" s="83"/>
      <c r="GI254" s="83"/>
      <c r="GJ254" s="83"/>
      <c r="GK254" s="83"/>
      <c r="GL254" s="83"/>
      <c r="GM254" s="83"/>
      <c r="GN254" s="83"/>
      <c r="GO254" s="83"/>
      <c r="GP254" s="83"/>
      <c r="GQ254" s="83"/>
      <c r="GR254" s="83"/>
      <c r="GS254" s="83"/>
      <c r="GT254" s="83"/>
      <c r="GU254" s="83"/>
      <c r="GV254" s="83"/>
      <c r="GW254" s="83"/>
      <c r="GX254" s="83"/>
      <c r="GY254" s="83"/>
      <c r="GZ254" s="83"/>
      <c r="HA254" s="83"/>
      <c r="HB254" s="83"/>
      <c r="HC254" s="83"/>
      <c r="HD254" s="83"/>
      <c r="HE254" s="83"/>
      <c r="HF254" s="83"/>
      <c r="HG254" s="83"/>
      <c r="HH254" s="83"/>
      <c r="HI254" s="83"/>
      <c r="HJ254" s="83"/>
      <c r="HK254" s="83"/>
      <c r="HL254" s="83"/>
      <c r="HM254" s="83"/>
      <c r="HN254" s="83"/>
      <c r="HO254" s="83"/>
      <c r="HP254" s="83"/>
      <c r="HQ254" s="83"/>
      <c r="HR254" s="83"/>
      <c r="HS254" s="83"/>
      <c r="HT254" s="83"/>
      <c r="HU254" s="83"/>
      <c r="HV254" s="83"/>
      <c r="HW254" s="83"/>
      <c r="HX254" s="83"/>
      <c r="HY254" s="83"/>
      <c r="HZ254" s="83"/>
      <c r="IA254" s="83"/>
      <c r="IB254" s="83"/>
      <c r="IC254" s="83"/>
      <c r="ID254" s="83"/>
      <c r="IE254" s="83"/>
      <c r="IF254" s="83"/>
      <c r="IG254" s="83"/>
      <c r="IH254" s="83"/>
      <c r="II254" s="83"/>
      <c r="IJ254" s="83"/>
      <c r="IK254" s="83"/>
      <c r="IL254" s="83"/>
      <c r="IM254" s="83"/>
    </row>
    <row r="255" spans="1:247" x14ac:dyDescent="0.25">
      <c r="A255" s="310">
        <v>8612</v>
      </c>
      <c r="B255" s="299" t="s">
        <v>3181</v>
      </c>
      <c r="C255" s="239" t="s">
        <v>76</v>
      </c>
      <c r="D255" s="311" t="s">
        <v>2927</v>
      </c>
      <c r="E255" s="143"/>
      <c r="F255" s="90">
        <f t="shared" si="57"/>
        <v>1.0209999999999999</v>
      </c>
      <c r="G255" s="318"/>
      <c r="H255" s="143"/>
      <c r="I255" s="300"/>
      <c r="J255" s="300"/>
      <c r="K255" s="300"/>
      <c r="L255" s="300"/>
      <c r="M255" s="300"/>
      <c r="N255" s="318"/>
      <c r="O255" s="95"/>
      <c r="P255" s="143">
        <f t="shared" si="63"/>
        <v>1.032</v>
      </c>
      <c r="Q255" s="318">
        <f t="shared" si="64"/>
        <v>1.0349999999999999</v>
      </c>
      <c r="R255" s="96">
        <f t="shared" si="58"/>
        <v>1.0905505199999999</v>
      </c>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c r="EB255" s="83"/>
      <c r="EC255" s="83"/>
      <c r="ED255" s="83"/>
      <c r="EE255" s="83"/>
      <c r="EF255" s="83"/>
      <c r="EG255" s="83"/>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3"/>
      <c r="GV255" s="83"/>
      <c r="GW255" s="83"/>
      <c r="GX255" s="83"/>
      <c r="GY255" s="83"/>
      <c r="GZ255" s="83"/>
      <c r="HA255" s="83"/>
      <c r="HB255" s="83"/>
      <c r="HC255" s="83"/>
      <c r="HD255" s="83"/>
      <c r="HE255" s="83"/>
      <c r="HF255" s="83"/>
      <c r="HG255" s="83"/>
      <c r="HH255" s="83"/>
      <c r="HI255" s="83"/>
      <c r="HJ255" s="83"/>
      <c r="HK255" s="83"/>
      <c r="HL255" s="83"/>
      <c r="HM255" s="83"/>
      <c r="HN255" s="83"/>
      <c r="HO255" s="83"/>
      <c r="HP255" s="83"/>
      <c r="HQ255" s="83"/>
      <c r="HR255" s="83"/>
      <c r="HS255" s="83"/>
      <c r="HT255" s="83"/>
      <c r="HU255" s="83"/>
      <c r="HV255" s="83"/>
      <c r="HW255" s="83"/>
      <c r="HX255" s="83"/>
      <c r="HY255" s="83"/>
      <c r="HZ255" s="83"/>
      <c r="IA255" s="83"/>
      <c r="IB255" s="83"/>
      <c r="IC255" s="83"/>
      <c r="ID255" s="83"/>
      <c r="IE255" s="83"/>
      <c r="IF255" s="83"/>
      <c r="IG255" s="83"/>
      <c r="IH255" s="83"/>
      <c r="II255" s="83"/>
      <c r="IJ255" s="83"/>
      <c r="IK255" s="83"/>
      <c r="IL255" s="83"/>
      <c r="IM255" s="83"/>
    </row>
    <row r="256" spans="1:247" x14ac:dyDescent="0.25">
      <c r="A256" s="310">
        <v>8711</v>
      </c>
      <c r="B256" s="299" t="s">
        <v>3182</v>
      </c>
      <c r="C256" s="239" t="s">
        <v>40</v>
      </c>
      <c r="D256" s="311" t="s">
        <v>2930</v>
      </c>
      <c r="E256" s="143"/>
      <c r="F256" s="90">
        <f t="shared" si="57"/>
        <v>1.0209999999999999</v>
      </c>
      <c r="G256" s="318"/>
      <c r="H256" s="143"/>
      <c r="I256" s="300"/>
      <c r="J256" s="300"/>
      <c r="K256" s="300"/>
      <c r="L256" s="300"/>
      <c r="M256" s="300"/>
      <c r="N256" s="318"/>
      <c r="O256" s="95"/>
      <c r="P256" s="143">
        <f t="shared" si="63"/>
        <v>1.032</v>
      </c>
      <c r="Q256" s="318">
        <f t="shared" si="64"/>
        <v>1.0349999999999999</v>
      </c>
      <c r="R256" s="96">
        <f t="shared" si="58"/>
        <v>1.0905505199999999</v>
      </c>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c r="EB256" s="83"/>
      <c r="EC256" s="83"/>
      <c r="ED256" s="83"/>
      <c r="EE256" s="83"/>
      <c r="EF256" s="83"/>
      <c r="EG256" s="83"/>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3"/>
      <c r="GV256" s="83"/>
      <c r="GW256" s="83"/>
      <c r="GX256" s="83"/>
      <c r="GY256" s="83"/>
      <c r="GZ256" s="83"/>
      <c r="HA256" s="83"/>
      <c r="HB256" s="83"/>
      <c r="HC256" s="83"/>
      <c r="HD256" s="83"/>
      <c r="HE256" s="83"/>
      <c r="HF256" s="83"/>
      <c r="HG256" s="83"/>
      <c r="HH256" s="83"/>
      <c r="HI256" s="83"/>
      <c r="HJ256" s="83"/>
      <c r="HK256" s="83"/>
      <c r="HL256" s="83"/>
      <c r="HM256" s="83"/>
      <c r="HN256" s="83"/>
      <c r="HO256" s="83"/>
      <c r="HP256" s="83"/>
      <c r="HQ256" s="83"/>
      <c r="HR256" s="83"/>
      <c r="HS256" s="83"/>
      <c r="HT256" s="83"/>
      <c r="HU256" s="83"/>
      <c r="HV256" s="83"/>
      <c r="HW256" s="83"/>
      <c r="HX256" s="83"/>
      <c r="HY256" s="83"/>
      <c r="HZ256" s="83"/>
      <c r="IA256" s="83"/>
      <c r="IB256" s="83"/>
      <c r="IC256" s="83"/>
      <c r="ID256" s="83"/>
      <c r="IE256" s="83"/>
      <c r="IF256" s="83"/>
      <c r="IG256" s="83"/>
      <c r="IH256" s="83"/>
      <c r="II256" s="83"/>
      <c r="IJ256" s="83"/>
      <c r="IK256" s="83"/>
      <c r="IL256" s="83"/>
      <c r="IM256" s="83"/>
    </row>
    <row r="257" spans="1:247" x14ac:dyDescent="0.25">
      <c r="A257" s="310">
        <v>8712</v>
      </c>
      <c r="B257" s="299" t="s">
        <v>3183</v>
      </c>
      <c r="C257" s="239" t="s">
        <v>40</v>
      </c>
      <c r="D257" s="311" t="s">
        <v>2927</v>
      </c>
      <c r="E257" s="143"/>
      <c r="F257" s="90">
        <f t="shared" si="57"/>
        <v>1.0209999999999999</v>
      </c>
      <c r="G257" s="318"/>
      <c r="H257" s="143"/>
      <c r="I257" s="300"/>
      <c r="J257" s="300"/>
      <c r="K257" s="300"/>
      <c r="L257" s="300"/>
      <c r="M257" s="300"/>
      <c r="N257" s="318"/>
      <c r="O257" s="95"/>
      <c r="P257" s="143"/>
      <c r="Q257" s="318"/>
      <c r="R257" s="96">
        <f t="shared" si="58"/>
        <v>1.0209999999999999</v>
      </c>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c r="EB257" s="83"/>
      <c r="EC257" s="83"/>
      <c r="ED257" s="83"/>
      <c r="EE257" s="83"/>
      <c r="EF257" s="83"/>
      <c r="EG257" s="83"/>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c r="GG257" s="83"/>
      <c r="GH257" s="83"/>
      <c r="GI257" s="83"/>
      <c r="GJ257" s="83"/>
      <c r="GK257" s="83"/>
      <c r="GL257" s="83"/>
      <c r="GM257" s="83"/>
      <c r="GN257" s="83"/>
      <c r="GO257" s="83"/>
      <c r="GP257" s="83"/>
      <c r="GQ257" s="83"/>
      <c r="GR257" s="83"/>
      <c r="GS257" s="83"/>
      <c r="GT257" s="83"/>
      <c r="GU257" s="83"/>
      <c r="GV257" s="83"/>
      <c r="GW257" s="83"/>
      <c r="GX257" s="83"/>
      <c r="GY257" s="83"/>
      <c r="GZ257" s="83"/>
      <c r="HA257" s="83"/>
      <c r="HB257" s="83"/>
      <c r="HC257" s="83"/>
      <c r="HD257" s="83"/>
      <c r="HE257" s="83"/>
      <c r="HF257" s="83"/>
      <c r="HG257" s="83"/>
      <c r="HH257" s="83"/>
      <c r="HI257" s="83"/>
      <c r="HJ257" s="83"/>
      <c r="HK257" s="83"/>
      <c r="HL257" s="83"/>
      <c r="HM257" s="83"/>
      <c r="HN257" s="83"/>
      <c r="HO257" s="83"/>
      <c r="HP257" s="83"/>
      <c r="HQ257" s="83"/>
      <c r="HR257" s="83"/>
      <c r="HS257" s="83"/>
      <c r="HT257" s="83"/>
      <c r="HU257" s="83"/>
      <c r="HV257" s="83"/>
      <c r="HW257" s="83"/>
      <c r="HX257" s="83"/>
      <c r="HY257" s="83"/>
      <c r="HZ257" s="83"/>
      <c r="IA257" s="83"/>
      <c r="IB257" s="83"/>
      <c r="IC257" s="83"/>
      <c r="ID257" s="83"/>
      <c r="IE257" s="83"/>
      <c r="IF257" s="83"/>
      <c r="IG257" s="83"/>
      <c r="IH257" s="83"/>
      <c r="II257" s="83"/>
      <c r="IJ257" s="83"/>
      <c r="IK257" s="83"/>
      <c r="IL257" s="83"/>
      <c r="IM257" s="83"/>
    </row>
    <row r="258" spans="1:247" x14ac:dyDescent="0.25">
      <c r="A258" s="310">
        <v>8714</v>
      </c>
      <c r="B258" s="299" t="s">
        <v>3184</v>
      </c>
      <c r="C258" s="239" t="s">
        <v>40</v>
      </c>
      <c r="D258" s="311" t="s">
        <v>2927</v>
      </c>
      <c r="E258" s="143"/>
      <c r="F258" s="90">
        <f t="shared" si="57"/>
        <v>1.0209999999999999</v>
      </c>
      <c r="G258" s="318"/>
      <c r="H258" s="143"/>
      <c r="I258" s="300"/>
      <c r="J258" s="300"/>
      <c r="K258" s="300"/>
      <c r="L258" s="300"/>
      <c r="M258" s="300"/>
      <c r="N258" s="318"/>
      <c r="O258" s="95"/>
      <c r="P258" s="143"/>
      <c r="Q258" s="318"/>
      <c r="R258" s="96">
        <f>PRODUCT(E258:Q258)</f>
        <v>1.0209999999999999</v>
      </c>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c r="EB258" s="83"/>
      <c r="EC258" s="83"/>
      <c r="ED258" s="83"/>
      <c r="EE258" s="83"/>
      <c r="EF258" s="83"/>
      <c r="EG258" s="83"/>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c r="GG258" s="83"/>
      <c r="GH258" s="83"/>
      <c r="GI258" s="83"/>
      <c r="GJ258" s="83"/>
      <c r="GK258" s="83"/>
      <c r="GL258" s="83"/>
      <c r="GM258" s="83"/>
      <c r="GN258" s="83"/>
      <c r="GO258" s="83"/>
      <c r="GP258" s="83"/>
      <c r="GQ258" s="83"/>
      <c r="GR258" s="83"/>
      <c r="GS258" s="83"/>
      <c r="GT258" s="83"/>
      <c r="GU258" s="83"/>
      <c r="GV258" s="83"/>
      <c r="GW258" s="83"/>
      <c r="GX258" s="83"/>
      <c r="GY258" s="83"/>
      <c r="GZ258" s="83"/>
      <c r="HA258" s="83"/>
      <c r="HB258" s="83"/>
      <c r="HC258" s="83"/>
      <c r="HD258" s="83"/>
      <c r="HE258" s="83"/>
      <c r="HF258" s="83"/>
      <c r="HG258" s="83"/>
      <c r="HH258" s="83"/>
      <c r="HI258" s="83"/>
      <c r="HJ258" s="83"/>
      <c r="HK258" s="83"/>
      <c r="HL258" s="83"/>
      <c r="HM258" s="83"/>
      <c r="HN258" s="83"/>
      <c r="HO258" s="83"/>
      <c r="HP258" s="83"/>
      <c r="HQ258" s="83"/>
      <c r="HR258" s="83"/>
      <c r="HS258" s="83"/>
      <c r="HT258" s="83"/>
      <c r="HU258" s="83"/>
      <c r="HV258" s="83"/>
      <c r="HW258" s="83"/>
      <c r="HX258" s="83"/>
      <c r="HY258" s="83"/>
      <c r="HZ258" s="83"/>
      <c r="IA258" s="83"/>
      <c r="IB258" s="83"/>
      <c r="IC258" s="83"/>
      <c r="ID258" s="83"/>
      <c r="IE258" s="83"/>
      <c r="IF258" s="83"/>
      <c r="IG258" s="83"/>
      <c r="IH258" s="83"/>
      <c r="II258" s="83"/>
      <c r="IJ258" s="83"/>
      <c r="IK258" s="83"/>
      <c r="IL258" s="83"/>
      <c r="IM258" s="83"/>
    </row>
    <row r="259" spans="1:247" x14ac:dyDescent="0.25">
      <c r="A259" s="310">
        <v>8716</v>
      </c>
      <c r="B259" s="299" t="s">
        <v>3185</v>
      </c>
      <c r="C259" s="239" t="s">
        <v>9</v>
      </c>
      <c r="D259" s="311" t="s">
        <v>2927</v>
      </c>
      <c r="E259" s="143"/>
      <c r="F259" s="90">
        <f t="shared" si="57"/>
        <v>1.0209999999999999</v>
      </c>
      <c r="G259" s="318">
        <f>+$G$3</f>
        <v>1.0269999999999999</v>
      </c>
      <c r="H259" s="143"/>
      <c r="I259" s="300"/>
      <c r="J259" s="300"/>
      <c r="K259" s="300"/>
      <c r="L259" s="300"/>
      <c r="M259" s="300"/>
      <c r="N259" s="318"/>
      <c r="O259" s="95"/>
      <c r="P259" s="143"/>
      <c r="Q259" s="318"/>
      <c r="R259" s="96">
        <f>PRODUCT(E259:Q259)</f>
        <v>1.0485669999999998</v>
      </c>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3"/>
      <c r="GV259" s="83"/>
      <c r="GW259" s="83"/>
      <c r="GX259" s="83"/>
      <c r="GY259" s="83"/>
      <c r="GZ259" s="83"/>
      <c r="HA259" s="83"/>
      <c r="HB259" s="83"/>
      <c r="HC259" s="83"/>
      <c r="HD259" s="83"/>
      <c r="HE259" s="83"/>
      <c r="HF259" s="83"/>
      <c r="HG259" s="83"/>
      <c r="HH259" s="83"/>
      <c r="HI259" s="83"/>
      <c r="HJ259" s="83"/>
      <c r="HK259" s="83"/>
      <c r="HL259" s="83"/>
      <c r="HM259" s="83"/>
      <c r="HN259" s="83"/>
      <c r="HO259" s="83"/>
      <c r="HP259" s="83"/>
      <c r="HQ259" s="83"/>
      <c r="HR259" s="83"/>
      <c r="HS259" s="83"/>
      <c r="HT259" s="83"/>
      <c r="HU259" s="83"/>
      <c r="HV259" s="83"/>
      <c r="HW259" s="83"/>
      <c r="HX259" s="83"/>
      <c r="HY259" s="83"/>
      <c r="HZ259" s="83"/>
      <c r="IA259" s="83"/>
      <c r="IB259" s="83"/>
      <c r="IC259" s="83"/>
      <c r="ID259" s="83"/>
      <c r="IE259" s="83"/>
      <c r="IF259" s="83"/>
      <c r="IG259" s="83"/>
      <c r="IH259" s="83"/>
      <c r="II259" s="83"/>
      <c r="IJ259" s="83"/>
      <c r="IK259" s="83"/>
      <c r="IL259" s="83"/>
      <c r="IM259" s="83"/>
    </row>
    <row r="260" spans="1:247" x14ac:dyDescent="0.25">
      <c r="A260" s="310">
        <v>8717</v>
      </c>
      <c r="B260" s="299" t="s">
        <v>3186</v>
      </c>
      <c r="C260" s="239" t="s">
        <v>267</v>
      </c>
      <c r="D260" s="311" t="s">
        <v>2927</v>
      </c>
      <c r="E260" s="143"/>
      <c r="F260" s="90">
        <f t="shared" si="57"/>
        <v>1.0209999999999999</v>
      </c>
      <c r="G260" s="318">
        <f>+$G$3</f>
        <v>1.0269999999999999</v>
      </c>
      <c r="H260" s="143"/>
      <c r="I260" s="300"/>
      <c r="J260" s="300"/>
      <c r="K260" s="300"/>
      <c r="L260" s="300"/>
      <c r="M260" s="300"/>
      <c r="N260" s="318"/>
      <c r="O260" s="95"/>
      <c r="P260" s="143"/>
      <c r="Q260" s="318"/>
      <c r="R260" s="96">
        <f>PRODUCT(E260:Q260)</f>
        <v>1.0485669999999998</v>
      </c>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c r="EB260" s="83"/>
      <c r="EC260" s="83"/>
      <c r="ED260" s="83"/>
      <c r="EE260" s="83"/>
      <c r="EF260" s="83"/>
      <c r="EG260" s="83"/>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3"/>
      <c r="GQ260" s="83"/>
      <c r="GR260" s="83"/>
      <c r="GS260" s="83"/>
      <c r="GT260" s="83"/>
      <c r="GU260" s="83"/>
      <c r="GV260" s="83"/>
      <c r="GW260" s="83"/>
      <c r="GX260" s="83"/>
      <c r="GY260" s="83"/>
      <c r="GZ260" s="83"/>
      <c r="HA260" s="83"/>
      <c r="HB260" s="83"/>
      <c r="HC260" s="83"/>
      <c r="HD260" s="83"/>
      <c r="HE260" s="83"/>
      <c r="HF260" s="83"/>
      <c r="HG260" s="83"/>
      <c r="HH260" s="83"/>
      <c r="HI260" s="83"/>
      <c r="HJ260" s="83"/>
      <c r="HK260" s="83"/>
      <c r="HL260" s="83"/>
      <c r="HM260" s="83"/>
      <c r="HN260" s="83"/>
      <c r="HO260" s="83"/>
      <c r="HP260" s="83"/>
      <c r="HQ260" s="83"/>
      <c r="HR260" s="83"/>
      <c r="HS260" s="83"/>
      <c r="HT260" s="83"/>
      <c r="HU260" s="83"/>
      <c r="HV260" s="83"/>
      <c r="HW260" s="83"/>
      <c r="HX260" s="83"/>
      <c r="HY260" s="83"/>
      <c r="HZ260" s="83"/>
      <c r="IA260" s="83"/>
      <c r="IB260" s="83"/>
      <c r="IC260" s="83"/>
      <c r="ID260" s="83"/>
      <c r="IE260" s="83"/>
      <c r="IF260" s="83"/>
      <c r="IG260" s="83"/>
      <c r="IH260" s="83"/>
      <c r="II260" s="83"/>
      <c r="IJ260" s="83"/>
      <c r="IK260" s="83"/>
      <c r="IL260" s="83"/>
      <c r="IM260" s="83"/>
    </row>
    <row r="261" spans="1:247" x14ac:dyDescent="0.25">
      <c r="A261" s="310">
        <v>8721</v>
      </c>
      <c r="B261" s="299" t="s">
        <v>3187</v>
      </c>
      <c r="C261" s="239" t="s">
        <v>40</v>
      </c>
      <c r="D261" s="311" t="s">
        <v>2930</v>
      </c>
      <c r="E261" s="143"/>
      <c r="F261" s="90">
        <f t="shared" si="57"/>
        <v>1.0209999999999999</v>
      </c>
      <c r="G261" s="318"/>
      <c r="H261" s="143"/>
      <c r="I261" s="300"/>
      <c r="J261" s="300"/>
      <c r="K261" s="300"/>
      <c r="L261" s="300"/>
      <c r="M261" s="300"/>
      <c r="N261" s="318"/>
      <c r="O261" s="95"/>
      <c r="P261" s="143">
        <f>+$P$3</f>
        <v>1.032</v>
      </c>
      <c r="Q261" s="318">
        <f>+$Q$3</f>
        <v>1.0349999999999999</v>
      </c>
      <c r="R261" s="96">
        <f t="shared" si="58"/>
        <v>1.0905505199999999</v>
      </c>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c r="EB261" s="83"/>
      <c r="EC261" s="83"/>
      <c r="ED261" s="83"/>
      <c r="EE261" s="83"/>
      <c r="EF261" s="83"/>
      <c r="EG261" s="83"/>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3"/>
      <c r="GV261" s="83"/>
      <c r="GW261" s="83"/>
      <c r="GX261" s="83"/>
      <c r="GY261" s="83"/>
      <c r="GZ261" s="83"/>
      <c r="HA261" s="83"/>
      <c r="HB261" s="83"/>
      <c r="HC261" s="83"/>
      <c r="HD261" s="83"/>
      <c r="HE261" s="83"/>
      <c r="HF261" s="83"/>
      <c r="HG261" s="83"/>
      <c r="HH261" s="83"/>
      <c r="HI261" s="83"/>
      <c r="HJ261" s="83"/>
      <c r="HK261" s="83"/>
      <c r="HL261" s="83"/>
      <c r="HM261" s="83"/>
      <c r="HN261" s="83"/>
      <c r="HO261" s="83"/>
      <c r="HP261" s="83"/>
      <c r="HQ261" s="83"/>
      <c r="HR261" s="83"/>
      <c r="HS261" s="83"/>
      <c r="HT261" s="83"/>
      <c r="HU261" s="83"/>
      <c r="HV261" s="83"/>
      <c r="HW261" s="83"/>
      <c r="HX261" s="83"/>
      <c r="HY261" s="83"/>
      <c r="HZ261" s="83"/>
      <c r="IA261" s="83"/>
      <c r="IB261" s="83"/>
      <c r="IC261" s="83"/>
      <c r="ID261" s="83"/>
      <c r="IE261" s="83"/>
      <c r="IF261" s="83"/>
      <c r="IG261" s="83"/>
      <c r="IH261" s="83"/>
      <c r="II261" s="83"/>
      <c r="IJ261" s="83"/>
      <c r="IK261" s="83"/>
      <c r="IL261" s="83"/>
      <c r="IM261" s="83"/>
    </row>
    <row r="262" spans="1:247" x14ac:dyDescent="0.25">
      <c r="A262" s="310">
        <v>8722</v>
      </c>
      <c r="B262" s="299" t="s">
        <v>3188</v>
      </c>
      <c r="C262" s="239" t="s">
        <v>40</v>
      </c>
      <c r="D262" s="311" t="s">
        <v>2930</v>
      </c>
      <c r="E262" s="143"/>
      <c r="F262" s="90">
        <f t="shared" si="57"/>
        <v>1.0209999999999999</v>
      </c>
      <c r="G262" s="318"/>
      <c r="H262" s="143"/>
      <c r="I262" s="300"/>
      <c r="J262" s="300"/>
      <c r="K262" s="300"/>
      <c r="L262" s="300"/>
      <c r="M262" s="300"/>
      <c r="N262" s="318"/>
      <c r="O262" s="95"/>
      <c r="P262" s="143">
        <f>+$P$3</f>
        <v>1.032</v>
      </c>
      <c r="Q262" s="318">
        <f>+$Q$3</f>
        <v>1.0349999999999999</v>
      </c>
      <c r="R262" s="96">
        <f t="shared" si="58"/>
        <v>1.0905505199999999</v>
      </c>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row>
    <row r="263" spans="1:247" x14ac:dyDescent="0.25">
      <c r="A263" s="310">
        <v>8813</v>
      </c>
      <c r="B263" s="299" t="s">
        <v>3189</v>
      </c>
      <c r="C263" s="239" t="s">
        <v>40</v>
      </c>
      <c r="D263" s="311" t="s">
        <v>2930</v>
      </c>
      <c r="E263" s="143"/>
      <c r="F263" s="90">
        <f t="shared" si="57"/>
        <v>1.0209999999999999</v>
      </c>
      <c r="G263" s="318"/>
      <c r="H263" s="143"/>
      <c r="I263" s="300"/>
      <c r="J263" s="300"/>
      <c r="K263" s="300"/>
      <c r="L263" s="300"/>
      <c r="M263" s="300"/>
      <c r="N263" s="318"/>
      <c r="O263" s="95"/>
      <c r="P263" s="143">
        <f>+$P$3</f>
        <v>1.032</v>
      </c>
      <c r="Q263" s="318">
        <f>+$Q$3</f>
        <v>1.0349999999999999</v>
      </c>
      <c r="R263" s="96">
        <f>PRODUCT(E263:Q263)</f>
        <v>1.0905505199999999</v>
      </c>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c r="DM263" s="83"/>
      <c r="DN263" s="83"/>
      <c r="DO263" s="83"/>
      <c r="DP263" s="83"/>
      <c r="DQ263" s="83"/>
      <c r="DR263" s="83"/>
      <c r="DS263" s="83"/>
      <c r="DT263" s="83"/>
      <c r="DU263" s="83"/>
      <c r="DV263" s="83"/>
      <c r="DW263" s="83"/>
      <c r="DX263" s="83"/>
      <c r="DY263" s="83"/>
      <c r="DZ263" s="83"/>
      <c r="EA263" s="83"/>
      <c r="EB263" s="83"/>
      <c r="EC263" s="83"/>
      <c r="ED263" s="83"/>
      <c r="EE263" s="83"/>
      <c r="EF263" s="83"/>
      <c r="EG263" s="83"/>
      <c r="EH263" s="83"/>
      <c r="EI263" s="83"/>
      <c r="EJ263" s="83"/>
      <c r="EK263" s="83"/>
      <c r="EL263" s="83"/>
      <c r="EM263" s="83"/>
      <c r="EN263" s="83"/>
      <c r="EO263" s="83"/>
      <c r="EP263" s="83"/>
      <c r="EQ263" s="83"/>
      <c r="ER263" s="83"/>
      <c r="ES263" s="83"/>
      <c r="ET263" s="83"/>
      <c r="EU263" s="83"/>
      <c r="EV263" s="83"/>
      <c r="EW263" s="83"/>
      <c r="EX263" s="83"/>
      <c r="EY263" s="83"/>
      <c r="EZ263" s="83"/>
      <c r="FA263" s="83"/>
      <c r="FB263" s="83"/>
      <c r="FC263" s="83"/>
      <c r="FD263" s="83"/>
      <c r="FE263" s="83"/>
      <c r="FF263" s="83"/>
      <c r="FG263" s="83"/>
      <c r="FH263" s="83"/>
      <c r="FI263" s="83"/>
      <c r="FJ263" s="83"/>
      <c r="FK263" s="83"/>
      <c r="FL263" s="83"/>
      <c r="FM263" s="83"/>
      <c r="FN263" s="83"/>
      <c r="FO263" s="83"/>
      <c r="FP263" s="83"/>
      <c r="FQ263" s="83"/>
      <c r="FR263" s="83"/>
      <c r="FS263" s="83"/>
      <c r="FT263" s="83"/>
      <c r="FU263" s="83"/>
      <c r="FV263" s="83"/>
      <c r="FW263" s="83"/>
      <c r="FX263" s="83"/>
      <c r="FY263" s="83"/>
      <c r="FZ263" s="83"/>
      <c r="GA263" s="83"/>
      <c r="GB263" s="83"/>
      <c r="GC263" s="83"/>
      <c r="GD263" s="83"/>
      <c r="GE263" s="83"/>
      <c r="GF263" s="83"/>
      <c r="GG263" s="83"/>
      <c r="GH263" s="83"/>
      <c r="GI263" s="83"/>
      <c r="GJ263" s="83"/>
      <c r="GK263" s="83"/>
      <c r="GL263" s="83"/>
      <c r="GM263" s="83"/>
      <c r="GN263" s="83"/>
      <c r="GO263" s="83"/>
      <c r="GP263" s="83"/>
      <c r="GQ263" s="83"/>
      <c r="GR263" s="83"/>
      <c r="GS263" s="83"/>
      <c r="GT263" s="83"/>
      <c r="GU263" s="83"/>
      <c r="GV263" s="83"/>
      <c r="GW263" s="83"/>
      <c r="GX263" s="83"/>
      <c r="GY263" s="83"/>
      <c r="GZ263" s="83"/>
      <c r="HA263" s="83"/>
      <c r="HB263" s="83"/>
      <c r="HC263" s="83"/>
      <c r="HD263" s="83"/>
      <c r="HE263" s="83"/>
      <c r="HF263" s="83"/>
      <c r="HG263" s="83"/>
      <c r="HH263" s="83"/>
      <c r="HI263" s="83"/>
      <c r="HJ263" s="83"/>
      <c r="HK263" s="83"/>
      <c r="HL263" s="83"/>
      <c r="HM263" s="83"/>
      <c r="HN263" s="83"/>
      <c r="HO263" s="83"/>
      <c r="HP263" s="83"/>
      <c r="HQ263" s="83"/>
      <c r="HR263" s="83"/>
      <c r="HS263" s="83"/>
      <c r="HT263" s="83"/>
      <c r="HU263" s="83"/>
      <c r="HV263" s="83"/>
      <c r="HW263" s="83"/>
      <c r="HX263" s="83"/>
      <c r="HY263" s="83"/>
      <c r="HZ263" s="83"/>
      <c r="IA263" s="83"/>
      <c r="IB263" s="83"/>
      <c r="IC263" s="83"/>
      <c r="ID263" s="83"/>
      <c r="IE263" s="83"/>
      <c r="IF263" s="83"/>
      <c r="IG263" s="83"/>
      <c r="IH263" s="83"/>
      <c r="II263" s="83"/>
      <c r="IJ263" s="83"/>
      <c r="IK263" s="83"/>
      <c r="IL263" s="83"/>
      <c r="IM263" s="83"/>
    </row>
    <row r="264" spans="1:247" x14ac:dyDescent="0.25">
      <c r="A264" s="310">
        <v>8840</v>
      </c>
      <c r="B264" s="299" t="s">
        <v>3190</v>
      </c>
      <c r="C264" s="239" t="s">
        <v>76</v>
      </c>
      <c r="D264" s="311" t="s">
        <v>2927</v>
      </c>
      <c r="E264" s="143"/>
      <c r="F264" s="90">
        <v>1.0209999999999999</v>
      </c>
      <c r="G264" s="318"/>
      <c r="H264" s="143"/>
      <c r="I264" s="300"/>
      <c r="J264" s="300"/>
      <c r="K264" s="300"/>
      <c r="L264" s="300"/>
      <c r="M264" s="300"/>
      <c r="N264" s="318"/>
      <c r="O264" s="95"/>
      <c r="P264" s="143"/>
      <c r="Q264" s="318"/>
      <c r="R264" s="96">
        <f>PRODUCT(E264:Q264)</f>
        <v>1.0209999999999999</v>
      </c>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c r="DM264" s="83"/>
      <c r="DN264" s="83"/>
      <c r="DO264" s="83"/>
      <c r="DP264" s="83"/>
      <c r="DQ264" s="83"/>
      <c r="DR264" s="83"/>
      <c r="DS264" s="83"/>
      <c r="DT264" s="83"/>
      <c r="DU264" s="83"/>
      <c r="DV264" s="83"/>
      <c r="DW264" s="83"/>
      <c r="DX264" s="83"/>
      <c r="DY264" s="83"/>
      <c r="DZ264" s="83"/>
      <c r="EA264" s="83"/>
      <c r="EB264" s="83"/>
      <c r="EC264" s="83"/>
      <c r="ED264" s="83"/>
      <c r="EE264" s="83"/>
      <c r="EF264" s="83"/>
      <c r="EG264" s="83"/>
      <c r="EH264" s="83"/>
      <c r="EI264" s="83"/>
      <c r="EJ264" s="83"/>
      <c r="EK264" s="83"/>
      <c r="EL264" s="83"/>
      <c r="EM264" s="83"/>
      <c r="EN264" s="83"/>
      <c r="EO264" s="83"/>
      <c r="EP264" s="83"/>
      <c r="EQ264" s="83"/>
      <c r="ER264" s="83"/>
      <c r="ES264" s="83"/>
      <c r="ET264" s="83"/>
      <c r="EU264" s="83"/>
      <c r="EV264" s="83"/>
      <c r="EW264" s="83"/>
      <c r="EX264" s="83"/>
      <c r="EY264" s="83"/>
      <c r="EZ264" s="83"/>
      <c r="FA264" s="83"/>
      <c r="FB264" s="83"/>
      <c r="FC264" s="83"/>
      <c r="FD264" s="83"/>
      <c r="FE264" s="83"/>
      <c r="FF264" s="83"/>
      <c r="FG264" s="83"/>
      <c r="FH264" s="83"/>
      <c r="FI264" s="83"/>
      <c r="FJ264" s="83"/>
      <c r="FK264" s="83"/>
      <c r="FL264" s="83"/>
      <c r="FM264" s="83"/>
      <c r="FN264" s="83"/>
      <c r="FO264" s="83"/>
      <c r="FP264" s="83"/>
      <c r="FQ264" s="83"/>
      <c r="FR264" s="83"/>
      <c r="FS264" s="83"/>
      <c r="FT264" s="83"/>
      <c r="FU264" s="83"/>
      <c r="FV264" s="83"/>
      <c r="FW264" s="83"/>
      <c r="FX264" s="83"/>
      <c r="FY264" s="83"/>
      <c r="FZ264" s="83"/>
      <c r="GA264" s="83"/>
      <c r="GB264" s="83"/>
      <c r="GC264" s="83"/>
      <c r="GD264" s="83"/>
      <c r="GE264" s="83"/>
      <c r="GF264" s="83"/>
      <c r="GG264" s="83"/>
      <c r="GH264" s="83"/>
      <c r="GI264" s="83"/>
      <c r="GJ264" s="83"/>
      <c r="GK264" s="83"/>
      <c r="GL264" s="83"/>
      <c r="GM264" s="83"/>
      <c r="GN264" s="83"/>
      <c r="GO264" s="83"/>
      <c r="GP264" s="83"/>
      <c r="GQ264" s="83"/>
      <c r="GR264" s="83"/>
      <c r="GS264" s="83"/>
      <c r="GT264" s="83"/>
      <c r="GU264" s="83"/>
      <c r="GV264" s="83"/>
      <c r="GW264" s="83"/>
      <c r="GX264" s="83"/>
      <c r="GY264" s="83"/>
      <c r="GZ264" s="83"/>
      <c r="HA264" s="83"/>
      <c r="HB264" s="83"/>
      <c r="HC264" s="83"/>
      <c r="HD264" s="83"/>
      <c r="HE264" s="83"/>
      <c r="HF264" s="83"/>
      <c r="HG264" s="83"/>
      <c r="HH264" s="83"/>
      <c r="HI264" s="83"/>
      <c r="HJ264" s="83"/>
      <c r="HK264" s="83"/>
      <c r="HL264" s="83"/>
      <c r="HM264" s="83"/>
      <c r="HN264" s="83"/>
      <c r="HO264" s="83"/>
      <c r="HP264" s="83"/>
      <c r="HQ264" s="83"/>
      <c r="HR264" s="83"/>
      <c r="HS264" s="83"/>
      <c r="HT264" s="83"/>
      <c r="HU264" s="83"/>
      <c r="HV264" s="83"/>
      <c r="HW264" s="83"/>
      <c r="HX264" s="83"/>
      <c r="HY264" s="83"/>
      <c r="HZ264" s="83"/>
      <c r="IA264" s="83"/>
      <c r="IB264" s="83"/>
      <c r="IC264" s="83"/>
      <c r="ID264" s="83"/>
      <c r="IE264" s="83"/>
      <c r="IF264" s="83"/>
      <c r="IG264" s="83"/>
      <c r="IH264" s="83"/>
      <c r="II264" s="83"/>
      <c r="IJ264" s="83"/>
      <c r="IK264" s="83"/>
      <c r="IL264" s="83"/>
      <c r="IM264" s="83"/>
    </row>
    <row r="265" spans="1:247" x14ac:dyDescent="0.25">
      <c r="A265" s="310">
        <v>8910</v>
      </c>
      <c r="B265" s="299" t="s">
        <v>3191</v>
      </c>
      <c r="C265" s="239" t="s">
        <v>205</v>
      </c>
      <c r="D265" s="311" t="s">
        <v>2935</v>
      </c>
      <c r="E265" s="143"/>
      <c r="F265" s="90">
        <f t="shared" si="57"/>
        <v>1.0209999999999999</v>
      </c>
      <c r="G265" s="318">
        <f>+$G$3</f>
        <v>1.0269999999999999</v>
      </c>
      <c r="H265" s="143">
        <f>+$H$3</f>
        <v>1.0029999999999999</v>
      </c>
      <c r="I265" s="300"/>
      <c r="J265" s="300">
        <f>+$J$3</f>
        <v>1.0049999999999999</v>
      </c>
      <c r="K265" s="300"/>
      <c r="L265" s="300"/>
      <c r="M265" s="300"/>
      <c r="N265" s="318">
        <f>+$N$3</f>
        <v>1.0029999999999999</v>
      </c>
      <c r="O265" s="95"/>
      <c r="P265" s="143">
        <f>+$P$3</f>
        <v>1.032</v>
      </c>
      <c r="Q265" s="318">
        <f>+$Q$3</f>
        <v>1.0349999999999999</v>
      </c>
      <c r="R265" s="96">
        <f t="shared" si="58"/>
        <v>1.1323590634842093</v>
      </c>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c r="DM265" s="83"/>
      <c r="DN265" s="83"/>
      <c r="DO265" s="83"/>
      <c r="DP265" s="83"/>
      <c r="DQ265" s="83"/>
      <c r="DR265" s="83"/>
      <c r="DS265" s="83"/>
      <c r="DT265" s="83"/>
      <c r="DU265" s="83"/>
      <c r="DV265" s="83"/>
      <c r="DW265" s="83"/>
      <c r="DX265" s="83"/>
      <c r="DY265" s="83"/>
      <c r="DZ265" s="83"/>
      <c r="EA265" s="83"/>
      <c r="EB265" s="83"/>
      <c r="EC265" s="83"/>
      <c r="ED265" s="83"/>
      <c r="EE265" s="83"/>
      <c r="EF265" s="83"/>
      <c r="EG265" s="83"/>
      <c r="EH265" s="83"/>
      <c r="EI265" s="83"/>
      <c r="EJ265" s="83"/>
      <c r="EK265" s="83"/>
      <c r="EL265" s="83"/>
      <c r="EM265" s="83"/>
      <c r="EN265" s="83"/>
      <c r="EO265" s="83"/>
      <c r="EP265" s="83"/>
      <c r="EQ265" s="83"/>
      <c r="ER265" s="83"/>
      <c r="ES265" s="83"/>
      <c r="ET265" s="83"/>
      <c r="EU265" s="83"/>
      <c r="EV265" s="83"/>
      <c r="EW265" s="83"/>
      <c r="EX265" s="83"/>
      <c r="EY265" s="83"/>
      <c r="EZ265" s="83"/>
      <c r="FA265" s="83"/>
      <c r="FB265" s="83"/>
      <c r="FC265" s="83"/>
      <c r="FD265" s="83"/>
      <c r="FE265" s="83"/>
      <c r="FF265" s="83"/>
      <c r="FG265" s="83"/>
      <c r="FH265" s="83"/>
      <c r="FI265" s="83"/>
      <c r="FJ265" s="83"/>
      <c r="FK265" s="83"/>
      <c r="FL265" s="83"/>
      <c r="FM265" s="83"/>
      <c r="FN265" s="83"/>
      <c r="FO265" s="83"/>
      <c r="FP265" s="83"/>
      <c r="FQ265" s="83"/>
      <c r="FR265" s="83"/>
      <c r="FS265" s="83"/>
      <c r="FT265" s="83"/>
      <c r="FU265" s="83"/>
      <c r="FV265" s="83"/>
      <c r="FW265" s="83"/>
      <c r="FX265" s="83"/>
      <c r="FY265" s="83"/>
      <c r="FZ265" s="83"/>
      <c r="GA265" s="83"/>
      <c r="GB265" s="83"/>
      <c r="GC265" s="83"/>
      <c r="GD265" s="83"/>
      <c r="GE265" s="83"/>
      <c r="GF265" s="83"/>
      <c r="GG265" s="83"/>
      <c r="GH265" s="83"/>
      <c r="GI265" s="83"/>
      <c r="GJ265" s="83"/>
      <c r="GK265" s="83"/>
      <c r="GL265" s="83"/>
      <c r="GM265" s="83"/>
      <c r="GN265" s="83"/>
      <c r="GO265" s="83"/>
      <c r="GP265" s="83"/>
      <c r="GQ265" s="83"/>
      <c r="GR265" s="83"/>
      <c r="GS265" s="83"/>
      <c r="GT265" s="83"/>
      <c r="GU265" s="83"/>
      <c r="GV265" s="83"/>
      <c r="GW265" s="83"/>
      <c r="GX265" s="83"/>
      <c r="GY265" s="83"/>
      <c r="GZ265" s="83"/>
      <c r="HA265" s="83"/>
      <c r="HB265" s="83"/>
      <c r="HC265" s="83"/>
      <c r="HD265" s="83"/>
      <c r="HE265" s="83"/>
      <c r="HF265" s="83"/>
      <c r="HG265" s="83"/>
      <c r="HH265" s="83"/>
      <c r="HI265" s="83"/>
      <c r="HJ265" s="83"/>
      <c r="HK265" s="83"/>
      <c r="HL265" s="83"/>
      <c r="HM265" s="83"/>
      <c r="HN265" s="83"/>
      <c r="HO265" s="83"/>
      <c r="HP265" s="83"/>
      <c r="HQ265" s="83"/>
      <c r="HR265" s="83"/>
      <c r="HS265" s="83"/>
      <c r="HT265" s="83"/>
      <c r="HU265" s="83"/>
      <c r="HV265" s="83"/>
      <c r="HW265" s="83"/>
      <c r="HX265" s="83"/>
      <c r="HY265" s="83"/>
      <c r="HZ265" s="83"/>
      <c r="IA265" s="83"/>
      <c r="IB265" s="83"/>
      <c r="IC265" s="83"/>
      <c r="ID265" s="83"/>
      <c r="IE265" s="83"/>
      <c r="IF265" s="83"/>
      <c r="IG265" s="83"/>
      <c r="IH265" s="83"/>
      <c r="II265" s="83"/>
      <c r="IJ265" s="83"/>
      <c r="IK265" s="83"/>
      <c r="IL265" s="83"/>
      <c r="IM265" s="83"/>
    </row>
    <row r="266" spans="1:247" x14ac:dyDescent="0.25">
      <c r="A266" s="310">
        <v>8921</v>
      </c>
      <c r="B266" s="299" t="s">
        <v>3192</v>
      </c>
      <c r="C266" s="239" t="s">
        <v>76</v>
      </c>
      <c r="D266" s="311" t="s">
        <v>2927</v>
      </c>
      <c r="E266" s="143"/>
      <c r="F266" s="90">
        <f t="shared" si="57"/>
        <v>1.0209999999999999</v>
      </c>
      <c r="G266" s="318">
        <f>+$G$3</f>
        <v>1.0269999999999999</v>
      </c>
      <c r="H266" s="143"/>
      <c r="I266" s="300"/>
      <c r="J266" s="300"/>
      <c r="K266" s="300"/>
      <c r="L266" s="300"/>
      <c r="M266" s="300"/>
      <c r="N266" s="318"/>
      <c r="O266" s="95"/>
      <c r="P266" s="143">
        <f>+$P$3</f>
        <v>1.032</v>
      </c>
      <c r="Q266" s="318">
        <f>+$Q$3</f>
        <v>1.0349999999999999</v>
      </c>
      <c r="R266" s="96">
        <f t="shared" si="58"/>
        <v>1.1199953840399997</v>
      </c>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3"/>
      <c r="DP266" s="83"/>
      <c r="DQ266" s="83"/>
      <c r="DR266" s="83"/>
      <c r="DS266" s="83"/>
      <c r="DT266" s="83"/>
      <c r="DU266" s="83"/>
      <c r="DV266" s="83"/>
      <c r="DW266" s="83"/>
      <c r="DX266" s="83"/>
      <c r="DY266" s="83"/>
      <c r="DZ266" s="83"/>
      <c r="EA266" s="83"/>
      <c r="EB266" s="83"/>
      <c r="EC266" s="83"/>
      <c r="ED266" s="83"/>
      <c r="EE266" s="83"/>
      <c r="EF266" s="83"/>
      <c r="EG266" s="83"/>
      <c r="EH266" s="83"/>
      <c r="EI266" s="83"/>
      <c r="EJ266" s="83"/>
      <c r="EK266" s="83"/>
      <c r="EL266" s="83"/>
      <c r="EM266" s="83"/>
      <c r="EN266" s="83"/>
      <c r="EO266" s="83"/>
      <c r="EP266" s="83"/>
      <c r="EQ266" s="83"/>
      <c r="ER266" s="83"/>
      <c r="ES266" s="83"/>
      <c r="ET266" s="83"/>
      <c r="EU266" s="83"/>
      <c r="EV266" s="83"/>
      <c r="EW266" s="83"/>
      <c r="EX266" s="83"/>
      <c r="EY266" s="83"/>
      <c r="EZ266" s="83"/>
      <c r="FA266" s="83"/>
      <c r="FB266" s="83"/>
      <c r="FC266" s="83"/>
      <c r="FD266" s="83"/>
      <c r="FE266" s="83"/>
      <c r="FF266" s="83"/>
      <c r="FG266" s="83"/>
      <c r="FH266" s="83"/>
      <c r="FI266" s="83"/>
      <c r="FJ266" s="83"/>
      <c r="FK266" s="83"/>
      <c r="FL266" s="83"/>
      <c r="FM266" s="83"/>
      <c r="FN266" s="83"/>
      <c r="FO266" s="83"/>
      <c r="FP266" s="83"/>
      <c r="FQ266" s="83"/>
      <c r="FR266" s="83"/>
      <c r="FS266" s="83"/>
      <c r="FT266" s="83"/>
      <c r="FU266" s="83"/>
      <c r="FV266" s="83"/>
      <c r="FW266" s="83"/>
      <c r="FX266" s="83"/>
      <c r="FY266" s="83"/>
      <c r="FZ266" s="83"/>
      <c r="GA266" s="83"/>
      <c r="GB266" s="83"/>
      <c r="GC266" s="83"/>
      <c r="GD266" s="83"/>
      <c r="GE266" s="83"/>
      <c r="GF266" s="83"/>
      <c r="GG266" s="83"/>
      <c r="GH266" s="83"/>
      <c r="GI266" s="83"/>
      <c r="GJ266" s="83"/>
      <c r="GK266" s="83"/>
      <c r="GL266" s="83"/>
      <c r="GM266" s="83"/>
      <c r="GN266" s="83"/>
      <c r="GO266" s="83"/>
      <c r="GP266" s="83"/>
      <c r="GQ266" s="83"/>
      <c r="GR266" s="83"/>
      <c r="GS266" s="83"/>
      <c r="GT266" s="83"/>
      <c r="GU266" s="83"/>
      <c r="GV266" s="83"/>
      <c r="GW266" s="83"/>
      <c r="GX266" s="83"/>
      <c r="GY266" s="83"/>
      <c r="GZ266" s="83"/>
      <c r="HA266" s="83"/>
      <c r="HB266" s="83"/>
      <c r="HC266" s="83"/>
      <c r="HD266" s="83"/>
      <c r="HE266" s="83"/>
      <c r="HF266" s="83"/>
      <c r="HG266" s="83"/>
      <c r="HH266" s="83"/>
      <c r="HI266" s="83"/>
      <c r="HJ266" s="83"/>
      <c r="HK266" s="83"/>
      <c r="HL266" s="83"/>
      <c r="HM266" s="83"/>
      <c r="HN266" s="83"/>
      <c r="HO266" s="83"/>
      <c r="HP266" s="83"/>
      <c r="HQ266" s="83"/>
      <c r="HR266" s="83"/>
      <c r="HS266" s="83"/>
      <c r="HT266" s="83"/>
      <c r="HU266" s="83"/>
      <c r="HV266" s="83"/>
      <c r="HW266" s="83"/>
      <c r="HX266" s="83"/>
      <c r="HY266" s="83"/>
      <c r="HZ266" s="83"/>
      <c r="IA266" s="83"/>
      <c r="IB266" s="83"/>
      <c r="IC266" s="83"/>
      <c r="ID266" s="83"/>
      <c r="IE266" s="83"/>
      <c r="IF266" s="83"/>
      <c r="IG266" s="83"/>
      <c r="IH266" s="83"/>
      <c r="II266" s="83"/>
      <c r="IJ266" s="83"/>
      <c r="IK266" s="83"/>
      <c r="IL266" s="83"/>
      <c r="IM266" s="83"/>
    </row>
    <row r="267" spans="1:247" x14ac:dyDescent="0.25">
      <c r="A267" s="310">
        <v>8922</v>
      </c>
      <c r="B267" s="299" t="s">
        <v>3193</v>
      </c>
      <c r="C267" s="239" t="s">
        <v>76</v>
      </c>
      <c r="D267" s="311" t="s">
        <v>2927</v>
      </c>
      <c r="E267" s="143"/>
      <c r="F267" s="90">
        <f t="shared" si="57"/>
        <v>1.0209999999999999</v>
      </c>
      <c r="G267" s="318"/>
      <c r="H267" s="143"/>
      <c r="I267" s="300"/>
      <c r="J267" s="300"/>
      <c r="K267" s="300"/>
      <c r="L267" s="300"/>
      <c r="M267" s="300"/>
      <c r="N267" s="318"/>
      <c r="O267" s="95"/>
      <c r="P267" s="143"/>
      <c r="Q267" s="318"/>
      <c r="R267" s="96">
        <f t="shared" si="58"/>
        <v>1.0209999999999999</v>
      </c>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c r="DM267" s="83"/>
      <c r="DN267" s="83"/>
      <c r="DO267" s="83"/>
      <c r="DP267" s="83"/>
      <c r="DQ267" s="83"/>
      <c r="DR267" s="83"/>
      <c r="DS267" s="83"/>
      <c r="DT267" s="83"/>
      <c r="DU267" s="83"/>
      <c r="DV267" s="83"/>
      <c r="DW267" s="83"/>
      <c r="DX267" s="83"/>
      <c r="DY267" s="83"/>
      <c r="DZ267" s="83"/>
      <c r="EA267" s="83"/>
      <c r="EB267" s="83"/>
      <c r="EC267" s="83"/>
      <c r="ED267" s="83"/>
      <c r="EE267" s="83"/>
      <c r="EF267" s="83"/>
      <c r="EG267" s="83"/>
      <c r="EH267" s="83"/>
      <c r="EI267" s="83"/>
      <c r="EJ267" s="83"/>
      <c r="EK267" s="83"/>
      <c r="EL267" s="83"/>
      <c r="EM267" s="83"/>
      <c r="EN267" s="83"/>
      <c r="EO267" s="83"/>
      <c r="EP267" s="83"/>
      <c r="EQ267" s="83"/>
      <c r="ER267" s="83"/>
      <c r="ES267" s="83"/>
      <c r="ET267" s="83"/>
      <c r="EU267" s="83"/>
      <c r="EV267" s="83"/>
      <c r="EW267" s="83"/>
      <c r="EX267" s="83"/>
      <c r="EY267" s="83"/>
      <c r="EZ267" s="83"/>
      <c r="FA267" s="83"/>
      <c r="FB267" s="83"/>
      <c r="FC267" s="83"/>
      <c r="FD267" s="83"/>
      <c r="FE267" s="83"/>
      <c r="FF267" s="83"/>
      <c r="FG267" s="83"/>
      <c r="FH267" s="83"/>
      <c r="FI267" s="83"/>
      <c r="FJ267" s="83"/>
      <c r="FK267" s="83"/>
      <c r="FL267" s="83"/>
      <c r="FM267" s="83"/>
      <c r="FN267" s="83"/>
      <c r="FO267" s="83"/>
      <c r="FP267" s="83"/>
      <c r="FQ267" s="83"/>
      <c r="FR267" s="83"/>
      <c r="FS267" s="83"/>
      <c r="FT267" s="83"/>
      <c r="FU267" s="83"/>
      <c r="FV267" s="83"/>
      <c r="FW267" s="83"/>
      <c r="FX267" s="83"/>
      <c r="FY267" s="83"/>
      <c r="FZ267" s="83"/>
      <c r="GA267" s="83"/>
      <c r="GB267" s="83"/>
      <c r="GC267" s="83"/>
      <c r="GD267" s="83"/>
      <c r="GE267" s="83"/>
      <c r="GF267" s="83"/>
      <c r="GG267" s="83"/>
      <c r="GH267" s="83"/>
      <c r="GI267" s="83"/>
      <c r="GJ267" s="83"/>
      <c r="GK267" s="83"/>
      <c r="GL267" s="83"/>
      <c r="GM267" s="83"/>
      <c r="GN267" s="83"/>
      <c r="GO267" s="83"/>
      <c r="GP267" s="83"/>
      <c r="GQ267" s="83"/>
      <c r="GR267" s="83"/>
      <c r="GS267" s="83"/>
      <c r="GT267" s="83"/>
      <c r="GU267" s="83"/>
      <c r="GV267" s="83"/>
      <c r="GW267" s="83"/>
      <c r="GX267" s="83"/>
      <c r="GY267" s="83"/>
      <c r="GZ267" s="83"/>
      <c r="HA267" s="83"/>
      <c r="HB267" s="83"/>
      <c r="HC267" s="83"/>
      <c r="HD267" s="83"/>
      <c r="HE267" s="83"/>
      <c r="HF267" s="83"/>
      <c r="HG267" s="83"/>
      <c r="HH267" s="83"/>
      <c r="HI267" s="83"/>
      <c r="HJ267" s="83"/>
      <c r="HK267" s="83"/>
      <c r="HL267" s="83"/>
      <c r="HM267" s="83"/>
      <c r="HN267" s="83"/>
      <c r="HO267" s="83"/>
      <c r="HP267" s="83"/>
      <c r="HQ267" s="83"/>
      <c r="HR267" s="83"/>
      <c r="HS267" s="83"/>
      <c r="HT267" s="83"/>
      <c r="HU267" s="83"/>
      <c r="HV267" s="83"/>
      <c r="HW267" s="83"/>
      <c r="HX267" s="83"/>
      <c r="HY267" s="83"/>
      <c r="HZ267" s="83"/>
      <c r="IA267" s="83"/>
      <c r="IB267" s="83"/>
      <c r="IC267" s="83"/>
      <c r="ID267" s="83"/>
      <c r="IE267" s="83"/>
      <c r="IF267" s="83"/>
      <c r="IG267" s="83"/>
      <c r="IH267" s="83"/>
      <c r="II267" s="83"/>
      <c r="IJ267" s="83"/>
      <c r="IK267" s="83"/>
      <c r="IL267" s="83"/>
      <c r="IM267" s="83"/>
    </row>
    <row r="268" spans="1:247" x14ac:dyDescent="0.25">
      <c r="A268" s="310">
        <v>8923</v>
      </c>
      <c r="B268" s="299" t="s">
        <v>3194</v>
      </c>
      <c r="C268" s="239" t="s">
        <v>76</v>
      </c>
      <c r="D268" s="311" t="s">
        <v>2927</v>
      </c>
      <c r="E268" s="143"/>
      <c r="F268" s="90">
        <f t="shared" si="57"/>
        <v>1.0209999999999999</v>
      </c>
      <c r="G268" s="318"/>
      <c r="H268" s="143"/>
      <c r="I268" s="300"/>
      <c r="J268" s="300"/>
      <c r="K268" s="300"/>
      <c r="L268" s="300"/>
      <c r="M268" s="300"/>
      <c r="N268" s="318">
        <f>+$N$3</f>
        <v>1.0029999999999999</v>
      </c>
      <c r="O268" s="95"/>
      <c r="P268" s="143"/>
      <c r="Q268" s="318"/>
      <c r="R268" s="96">
        <f t="shared" si="58"/>
        <v>1.0240629999999997</v>
      </c>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c r="DM268" s="83"/>
      <c r="DN268" s="83"/>
      <c r="DO268" s="83"/>
      <c r="DP268" s="83"/>
      <c r="DQ268" s="83"/>
      <c r="DR268" s="83"/>
      <c r="DS268" s="83"/>
      <c r="DT268" s="83"/>
      <c r="DU268" s="83"/>
      <c r="DV268" s="83"/>
      <c r="DW268" s="83"/>
      <c r="DX268" s="83"/>
      <c r="DY268" s="83"/>
      <c r="DZ268" s="83"/>
      <c r="EA268" s="83"/>
      <c r="EB268" s="83"/>
      <c r="EC268" s="83"/>
      <c r="ED268" s="83"/>
      <c r="EE268" s="83"/>
      <c r="EF268" s="83"/>
      <c r="EG268" s="83"/>
      <c r="EH268" s="83"/>
      <c r="EI268" s="83"/>
      <c r="EJ268" s="83"/>
      <c r="EK268" s="83"/>
      <c r="EL268" s="83"/>
      <c r="EM268" s="83"/>
      <c r="EN268" s="83"/>
      <c r="EO268" s="83"/>
      <c r="EP268" s="83"/>
      <c r="EQ268" s="83"/>
      <c r="ER268" s="83"/>
      <c r="ES268" s="83"/>
      <c r="ET268" s="83"/>
      <c r="EU268" s="83"/>
      <c r="EV268" s="83"/>
      <c r="EW268" s="83"/>
      <c r="EX268" s="83"/>
      <c r="EY268" s="83"/>
      <c r="EZ268" s="83"/>
      <c r="FA268" s="83"/>
      <c r="FB268" s="83"/>
      <c r="FC268" s="83"/>
      <c r="FD268" s="83"/>
      <c r="FE268" s="83"/>
      <c r="FF268" s="83"/>
      <c r="FG268" s="83"/>
      <c r="FH268" s="83"/>
      <c r="FI268" s="83"/>
      <c r="FJ268" s="83"/>
      <c r="FK268" s="83"/>
      <c r="FL268" s="83"/>
      <c r="FM268" s="83"/>
      <c r="FN268" s="83"/>
      <c r="FO268" s="83"/>
      <c r="FP268" s="83"/>
      <c r="FQ268" s="83"/>
      <c r="FR268" s="83"/>
      <c r="FS268" s="83"/>
      <c r="FT268" s="83"/>
      <c r="FU268" s="83"/>
      <c r="FV268" s="83"/>
      <c r="FW268" s="83"/>
      <c r="FX268" s="83"/>
      <c r="FY268" s="83"/>
      <c r="FZ268" s="83"/>
      <c r="GA268" s="83"/>
      <c r="GB268" s="83"/>
      <c r="GC268" s="83"/>
      <c r="GD268" s="83"/>
      <c r="GE268" s="83"/>
      <c r="GF268" s="83"/>
      <c r="GG268" s="83"/>
      <c r="GH268" s="83"/>
      <c r="GI268" s="83"/>
      <c r="GJ268" s="83"/>
      <c r="GK268" s="83"/>
      <c r="GL268" s="83"/>
      <c r="GM268" s="83"/>
      <c r="GN268" s="83"/>
      <c r="GO268" s="83"/>
      <c r="GP268" s="83"/>
      <c r="GQ268" s="83"/>
      <c r="GR268" s="83"/>
      <c r="GS268" s="83"/>
      <c r="GT268" s="83"/>
      <c r="GU268" s="83"/>
      <c r="GV268" s="83"/>
      <c r="GW268" s="83"/>
      <c r="GX268" s="83"/>
      <c r="GY268" s="83"/>
      <c r="GZ268" s="83"/>
      <c r="HA268" s="83"/>
      <c r="HB268" s="83"/>
      <c r="HC268" s="83"/>
      <c r="HD268" s="83"/>
      <c r="HE268" s="83"/>
      <c r="HF268" s="83"/>
      <c r="HG268" s="83"/>
      <c r="HH268" s="83"/>
      <c r="HI268" s="83"/>
      <c r="HJ268" s="83"/>
      <c r="HK268" s="83"/>
      <c r="HL268" s="83"/>
      <c r="HM268" s="83"/>
      <c r="HN268" s="83"/>
      <c r="HO268" s="83"/>
      <c r="HP268" s="83"/>
      <c r="HQ268" s="83"/>
      <c r="HR268" s="83"/>
      <c r="HS268" s="83"/>
      <c r="HT268" s="83"/>
      <c r="HU268" s="83"/>
      <c r="HV268" s="83"/>
      <c r="HW268" s="83"/>
      <c r="HX268" s="83"/>
      <c r="HY268" s="83"/>
      <c r="HZ268" s="83"/>
      <c r="IA268" s="83"/>
      <c r="IB268" s="83"/>
      <c r="IC268" s="83"/>
      <c r="ID268" s="83"/>
      <c r="IE268" s="83"/>
      <c r="IF268" s="83"/>
      <c r="IG268" s="83"/>
      <c r="IH268" s="83"/>
      <c r="II268" s="83"/>
      <c r="IJ268" s="83"/>
      <c r="IK268" s="83"/>
      <c r="IL268" s="83"/>
      <c r="IM268" s="83"/>
    </row>
    <row r="269" spans="1:247" x14ac:dyDescent="0.25">
      <c r="A269" s="310">
        <v>8924</v>
      </c>
      <c r="B269" s="299" t="s">
        <v>3195</v>
      </c>
      <c r="C269" s="239" t="s">
        <v>76</v>
      </c>
      <c r="D269" s="311" t="s">
        <v>2927</v>
      </c>
      <c r="E269" s="143"/>
      <c r="F269" s="90">
        <f t="shared" si="57"/>
        <v>1.0209999999999999</v>
      </c>
      <c r="G269" s="318"/>
      <c r="H269" s="143"/>
      <c r="I269" s="300"/>
      <c r="J269" s="300"/>
      <c r="K269" s="300"/>
      <c r="L269" s="300"/>
      <c r="M269" s="300"/>
      <c r="N269" s="318">
        <f>+$N$3</f>
        <v>1.0029999999999999</v>
      </c>
      <c r="O269" s="95"/>
      <c r="P269" s="143"/>
      <c r="Q269" s="318"/>
      <c r="R269" s="96">
        <f t="shared" si="58"/>
        <v>1.0240629999999997</v>
      </c>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c r="DM269" s="83"/>
      <c r="DN269" s="83"/>
      <c r="DO269" s="83"/>
      <c r="DP269" s="83"/>
      <c r="DQ269" s="83"/>
      <c r="DR269" s="83"/>
      <c r="DS269" s="83"/>
      <c r="DT269" s="83"/>
      <c r="DU269" s="83"/>
      <c r="DV269" s="83"/>
      <c r="DW269" s="83"/>
      <c r="DX269" s="83"/>
      <c r="DY269" s="83"/>
      <c r="DZ269" s="83"/>
      <c r="EA269" s="83"/>
      <c r="EB269" s="83"/>
      <c r="EC269" s="83"/>
      <c r="ED269" s="83"/>
      <c r="EE269" s="83"/>
      <c r="EF269" s="83"/>
      <c r="EG269" s="83"/>
      <c r="EH269" s="83"/>
      <c r="EI269" s="83"/>
      <c r="EJ269" s="83"/>
      <c r="EK269" s="83"/>
      <c r="EL269" s="83"/>
      <c r="EM269" s="83"/>
      <c r="EN269" s="83"/>
      <c r="EO269" s="83"/>
      <c r="EP269" s="83"/>
      <c r="EQ269" s="83"/>
      <c r="ER269" s="83"/>
      <c r="ES269" s="83"/>
      <c r="ET269" s="83"/>
      <c r="EU269" s="83"/>
      <c r="EV269" s="83"/>
      <c r="EW269" s="83"/>
      <c r="EX269" s="83"/>
      <c r="EY269" s="83"/>
      <c r="EZ269" s="83"/>
      <c r="FA269" s="83"/>
      <c r="FB269" s="83"/>
      <c r="FC269" s="83"/>
      <c r="FD269" s="83"/>
      <c r="FE269" s="83"/>
      <c r="FF269" s="83"/>
      <c r="FG269" s="83"/>
      <c r="FH269" s="83"/>
      <c r="FI269" s="83"/>
      <c r="FJ269" s="83"/>
      <c r="FK269" s="83"/>
      <c r="FL269" s="83"/>
      <c r="FM269" s="83"/>
      <c r="FN269" s="83"/>
      <c r="FO269" s="83"/>
      <c r="FP269" s="83"/>
      <c r="FQ269" s="83"/>
      <c r="FR269" s="83"/>
      <c r="FS269" s="83"/>
      <c r="FT269" s="83"/>
      <c r="FU269" s="83"/>
      <c r="FV269" s="83"/>
      <c r="FW269" s="83"/>
      <c r="FX269" s="83"/>
      <c r="FY269" s="83"/>
      <c r="FZ269" s="83"/>
      <c r="GA269" s="83"/>
      <c r="GB269" s="83"/>
      <c r="GC269" s="83"/>
      <c r="GD269" s="83"/>
      <c r="GE269" s="83"/>
      <c r="GF269" s="83"/>
      <c r="GG269" s="83"/>
      <c r="GH269" s="83"/>
      <c r="GI269" s="83"/>
      <c r="GJ269" s="83"/>
      <c r="GK269" s="83"/>
      <c r="GL269" s="83"/>
      <c r="GM269" s="83"/>
      <c r="GN269" s="83"/>
      <c r="GO269" s="83"/>
      <c r="GP269" s="83"/>
      <c r="GQ269" s="83"/>
      <c r="GR269" s="83"/>
      <c r="GS269" s="83"/>
      <c r="GT269" s="83"/>
      <c r="GU269" s="83"/>
      <c r="GV269" s="83"/>
      <c r="GW269" s="83"/>
      <c r="GX269" s="83"/>
      <c r="GY269" s="83"/>
      <c r="GZ269" s="83"/>
      <c r="HA269" s="83"/>
      <c r="HB269" s="83"/>
      <c r="HC269" s="83"/>
      <c r="HD269" s="83"/>
      <c r="HE269" s="83"/>
      <c r="HF269" s="83"/>
      <c r="HG269" s="83"/>
      <c r="HH269" s="83"/>
      <c r="HI269" s="83"/>
      <c r="HJ269" s="83"/>
      <c r="HK269" s="83"/>
      <c r="HL269" s="83"/>
      <c r="HM269" s="83"/>
      <c r="HN269" s="83"/>
      <c r="HO269" s="83"/>
      <c r="HP269" s="83"/>
      <c r="HQ269" s="83"/>
      <c r="HR269" s="83"/>
      <c r="HS269" s="83"/>
      <c r="HT269" s="83"/>
      <c r="HU269" s="83"/>
      <c r="HV269" s="83"/>
      <c r="HW269" s="83"/>
      <c r="HX269" s="83"/>
      <c r="HY269" s="83"/>
      <c r="HZ269" s="83"/>
      <c r="IA269" s="83"/>
      <c r="IB269" s="83"/>
      <c r="IC269" s="83"/>
      <c r="ID269" s="83"/>
      <c r="IE269" s="83"/>
      <c r="IF269" s="83"/>
      <c r="IG269" s="83"/>
      <c r="IH269" s="83"/>
      <c r="II269" s="83"/>
      <c r="IJ269" s="83"/>
      <c r="IK269" s="83"/>
      <c r="IL269" s="83"/>
      <c r="IM269" s="83"/>
    </row>
    <row r="270" spans="1:247" x14ac:dyDescent="0.25">
      <c r="A270" s="310">
        <v>8926</v>
      </c>
      <c r="B270" s="299" t="s">
        <v>3196</v>
      </c>
      <c r="C270" s="239" t="s">
        <v>76</v>
      </c>
      <c r="D270" s="311" t="s">
        <v>2927</v>
      </c>
      <c r="E270" s="143"/>
      <c r="F270" s="90">
        <f t="shared" si="57"/>
        <v>1.0209999999999999</v>
      </c>
      <c r="G270" s="318">
        <f>+$G$3</f>
        <v>1.0269999999999999</v>
      </c>
      <c r="H270" s="143"/>
      <c r="I270" s="300"/>
      <c r="J270" s="300"/>
      <c r="K270" s="300"/>
      <c r="L270" s="300"/>
      <c r="M270" s="300"/>
      <c r="N270" s="318">
        <f>+$N$3</f>
        <v>1.0029999999999999</v>
      </c>
      <c r="O270" s="95"/>
      <c r="P270" s="143"/>
      <c r="Q270" s="318"/>
      <c r="R270" s="96">
        <f t="shared" si="58"/>
        <v>1.0517127009999996</v>
      </c>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c r="DM270" s="83"/>
      <c r="DN270" s="83"/>
      <c r="DO270" s="83"/>
      <c r="DP270" s="83"/>
      <c r="DQ270" s="83"/>
      <c r="DR270" s="83"/>
      <c r="DS270" s="83"/>
      <c r="DT270" s="83"/>
      <c r="DU270" s="83"/>
      <c r="DV270" s="83"/>
      <c r="DW270" s="83"/>
      <c r="DX270" s="83"/>
      <c r="DY270" s="83"/>
      <c r="DZ270" s="83"/>
      <c r="EA270" s="83"/>
      <c r="EB270" s="83"/>
      <c r="EC270" s="83"/>
      <c r="ED270" s="83"/>
      <c r="EE270" s="83"/>
      <c r="EF270" s="83"/>
      <c r="EG270" s="83"/>
      <c r="EH270" s="83"/>
      <c r="EI270" s="83"/>
      <c r="EJ270" s="83"/>
      <c r="EK270" s="83"/>
      <c r="EL270" s="83"/>
      <c r="EM270" s="83"/>
      <c r="EN270" s="83"/>
      <c r="EO270" s="83"/>
      <c r="EP270" s="83"/>
      <c r="EQ270" s="83"/>
      <c r="ER270" s="83"/>
      <c r="ES270" s="83"/>
      <c r="ET270" s="83"/>
      <c r="EU270" s="83"/>
      <c r="EV270" s="83"/>
      <c r="EW270" s="83"/>
      <c r="EX270" s="83"/>
      <c r="EY270" s="83"/>
      <c r="EZ270" s="83"/>
      <c r="FA270" s="83"/>
      <c r="FB270" s="83"/>
      <c r="FC270" s="83"/>
      <c r="FD270" s="83"/>
      <c r="FE270" s="83"/>
      <c r="FF270" s="83"/>
      <c r="FG270" s="83"/>
      <c r="FH270" s="83"/>
      <c r="FI270" s="83"/>
      <c r="FJ270" s="83"/>
      <c r="FK270" s="83"/>
      <c r="FL270" s="83"/>
      <c r="FM270" s="83"/>
      <c r="FN270" s="83"/>
      <c r="FO270" s="83"/>
      <c r="FP270" s="83"/>
      <c r="FQ270" s="83"/>
      <c r="FR270" s="83"/>
      <c r="FS270" s="83"/>
      <c r="FT270" s="83"/>
      <c r="FU270" s="83"/>
      <c r="FV270" s="83"/>
      <c r="FW270" s="83"/>
      <c r="FX270" s="83"/>
      <c r="FY270" s="83"/>
      <c r="FZ270" s="83"/>
      <c r="GA270" s="83"/>
      <c r="GB270" s="83"/>
      <c r="GC270" s="83"/>
      <c r="GD270" s="83"/>
      <c r="GE270" s="83"/>
      <c r="GF270" s="83"/>
      <c r="GG270" s="83"/>
      <c r="GH270" s="83"/>
      <c r="GI270" s="83"/>
      <c r="GJ270" s="83"/>
      <c r="GK270" s="83"/>
      <c r="GL270" s="83"/>
      <c r="GM270" s="83"/>
      <c r="GN270" s="83"/>
      <c r="GO270" s="83"/>
      <c r="GP270" s="83"/>
      <c r="GQ270" s="83"/>
      <c r="GR270" s="83"/>
      <c r="GS270" s="83"/>
      <c r="GT270" s="83"/>
      <c r="GU270" s="83"/>
      <c r="GV270" s="83"/>
      <c r="GW270" s="83"/>
      <c r="GX270" s="83"/>
      <c r="GY270" s="83"/>
      <c r="GZ270" s="83"/>
      <c r="HA270" s="83"/>
      <c r="HB270" s="83"/>
      <c r="HC270" s="83"/>
      <c r="HD270" s="83"/>
      <c r="HE270" s="83"/>
      <c r="HF270" s="83"/>
      <c r="HG270" s="83"/>
      <c r="HH270" s="83"/>
      <c r="HI270" s="83"/>
      <c r="HJ270" s="83"/>
      <c r="HK270" s="83"/>
      <c r="HL270" s="83"/>
      <c r="HM270" s="83"/>
      <c r="HN270" s="83"/>
      <c r="HO270" s="83"/>
      <c r="HP270" s="83"/>
      <c r="HQ270" s="83"/>
      <c r="HR270" s="83"/>
      <c r="HS270" s="83"/>
      <c r="HT270" s="83"/>
      <c r="HU270" s="83"/>
      <c r="HV270" s="83"/>
      <c r="HW270" s="83"/>
      <c r="HX270" s="83"/>
      <c r="HY270" s="83"/>
      <c r="HZ270" s="83"/>
      <c r="IA270" s="83"/>
      <c r="IB270" s="83"/>
      <c r="IC270" s="83"/>
      <c r="ID270" s="83"/>
      <c r="IE270" s="83"/>
      <c r="IF270" s="83"/>
      <c r="IG270" s="83"/>
      <c r="IH270" s="83"/>
      <c r="II270" s="83"/>
      <c r="IJ270" s="83"/>
      <c r="IK270" s="83"/>
      <c r="IL270" s="83"/>
      <c r="IM270" s="83"/>
    </row>
    <row r="271" spans="1:247" x14ac:dyDescent="0.25">
      <c r="A271" s="310">
        <v>8927</v>
      </c>
      <c r="B271" s="299" t="s">
        <v>3197</v>
      </c>
      <c r="C271" s="239" t="s">
        <v>76</v>
      </c>
      <c r="D271" s="311" t="s">
        <v>2927</v>
      </c>
      <c r="E271" s="143"/>
      <c r="F271" s="90">
        <f t="shared" si="57"/>
        <v>1.0209999999999999</v>
      </c>
      <c r="G271" s="318"/>
      <c r="H271" s="143"/>
      <c r="I271" s="300"/>
      <c r="J271" s="300"/>
      <c r="K271" s="300"/>
      <c r="L271" s="300"/>
      <c r="M271" s="300"/>
      <c r="N271" s="318"/>
      <c r="O271" s="95"/>
      <c r="P271" s="143"/>
      <c r="Q271" s="318"/>
      <c r="R271" s="96">
        <f t="shared" si="58"/>
        <v>1.0209999999999999</v>
      </c>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c r="DM271" s="83"/>
      <c r="DN271" s="83"/>
      <c r="DO271" s="83"/>
      <c r="DP271" s="83"/>
      <c r="DQ271" s="83"/>
      <c r="DR271" s="83"/>
      <c r="DS271" s="83"/>
      <c r="DT271" s="83"/>
      <c r="DU271" s="83"/>
      <c r="DV271" s="83"/>
      <c r="DW271" s="83"/>
      <c r="DX271" s="83"/>
      <c r="DY271" s="83"/>
      <c r="DZ271" s="83"/>
      <c r="EA271" s="83"/>
      <c r="EB271" s="83"/>
      <c r="EC271" s="83"/>
      <c r="ED271" s="83"/>
      <c r="EE271" s="83"/>
      <c r="EF271" s="83"/>
      <c r="EG271" s="83"/>
      <c r="EH271" s="83"/>
      <c r="EI271" s="83"/>
      <c r="EJ271" s="83"/>
      <c r="EK271" s="83"/>
      <c r="EL271" s="83"/>
      <c r="EM271" s="83"/>
      <c r="EN271" s="83"/>
      <c r="EO271" s="83"/>
      <c r="EP271" s="83"/>
      <c r="EQ271" s="83"/>
      <c r="ER271" s="83"/>
      <c r="ES271" s="83"/>
      <c r="ET271" s="83"/>
      <c r="EU271" s="83"/>
      <c r="EV271" s="83"/>
      <c r="EW271" s="83"/>
      <c r="EX271" s="83"/>
      <c r="EY271" s="83"/>
      <c r="EZ271" s="83"/>
      <c r="FA271" s="83"/>
      <c r="FB271" s="83"/>
      <c r="FC271" s="83"/>
      <c r="FD271" s="83"/>
      <c r="FE271" s="83"/>
      <c r="FF271" s="83"/>
      <c r="FG271" s="83"/>
      <c r="FH271" s="83"/>
      <c r="FI271" s="83"/>
      <c r="FJ271" s="83"/>
      <c r="FK271" s="83"/>
      <c r="FL271" s="83"/>
      <c r="FM271" s="83"/>
      <c r="FN271" s="83"/>
      <c r="FO271" s="83"/>
      <c r="FP271" s="83"/>
      <c r="FQ271" s="83"/>
      <c r="FR271" s="83"/>
      <c r="FS271" s="83"/>
      <c r="FT271" s="83"/>
      <c r="FU271" s="83"/>
      <c r="FV271" s="83"/>
      <c r="FW271" s="83"/>
      <c r="FX271" s="83"/>
      <c r="FY271" s="83"/>
      <c r="FZ271" s="83"/>
      <c r="GA271" s="83"/>
      <c r="GB271" s="83"/>
      <c r="GC271" s="83"/>
      <c r="GD271" s="83"/>
      <c r="GE271" s="83"/>
      <c r="GF271" s="83"/>
      <c r="GG271" s="83"/>
      <c r="GH271" s="83"/>
      <c r="GI271" s="83"/>
      <c r="GJ271" s="83"/>
      <c r="GK271" s="83"/>
      <c r="GL271" s="83"/>
      <c r="GM271" s="83"/>
      <c r="GN271" s="83"/>
      <c r="GO271" s="83"/>
      <c r="GP271" s="83"/>
      <c r="GQ271" s="83"/>
      <c r="GR271" s="83"/>
      <c r="GS271" s="83"/>
      <c r="GT271" s="83"/>
      <c r="GU271" s="83"/>
      <c r="GV271" s="83"/>
      <c r="GW271" s="83"/>
      <c r="GX271" s="83"/>
      <c r="GY271" s="83"/>
      <c r="GZ271" s="83"/>
      <c r="HA271" s="83"/>
      <c r="HB271" s="83"/>
      <c r="HC271" s="83"/>
      <c r="HD271" s="83"/>
      <c r="HE271" s="83"/>
      <c r="HF271" s="83"/>
      <c r="HG271" s="83"/>
      <c r="HH271" s="83"/>
      <c r="HI271" s="83"/>
      <c r="HJ271" s="83"/>
      <c r="HK271" s="83"/>
      <c r="HL271" s="83"/>
      <c r="HM271" s="83"/>
      <c r="HN271" s="83"/>
      <c r="HO271" s="83"/>
      <c r="HP271" s="83"/>
      <c r="HQ271" s="83"/>
      <c r="HR271" s="83"/>
      <c r="HS271" s="83"/>
      <c r="HT271" s="83"/>
      <c r="HU271" s="83"/>
      <c r="HV271" s="83"/>
      <c r="HW271" s="83"/>
      <c r="HX271" s="83"/>
      <c r="HY271" s="83"/>
      <c r="HZ271" s="83"/>
      <c r="IA271" s="83"/>
      <c r="IB271" s="83"/>
      <c r="IC271" s="83"/>
      <c r="ID271" s="83"/>
      <c r="IE271" s="83"/>
      <c r="IF271" s="83"/>
      <c r="IG271" s="83"/>
      <c r="IH271" s="83"/>
      <c r="II271" s="83"/>
      <c r="IJ271" s="83"/>
      <c r="IK271" s="83"/>
      <c r="IL271" s="83"/>
      <c r="IM271" s="83"/>
    </row>
    <row r="272" spans="1:247" x14ac:dyDescent="0.25">
      <c r="A272" s="310">
        <v>8928</v>
      </c>
      <c r="B272" s="299" t="s">
        <v>3198</v>
      </c>
      <c r="C272" s="239" t="s">
        <v>76</v>
      </c>
      <c r="D272" s="311" t="s">
        <v>2927</v>
      </c>
      <c r="E272" s="143"/>
      <c r="F272" s="90">
        <f t="shared" si="57"/>
        <v>1.0209999999999999</v>
      </c>
      <c r="G272" s="318"/>
      <c r="H272" s="143"/>
      <c r="I272" s="300"/>
      <c r="J272" s="300"/>
      <c r="K272" s="300"/>
      <c r="L272" s="300"/>
      <c r="M272" s="300"/>
      <c r="N272" s="318"/>
      <c r="O272" s="95"/>
      <c r="P272" s="143"/>
      <c r="Q272" s="318"/>
      <c r="R272" s="96">
        <f t="shared" si="58"/>
        <v>1.0209999999999999</v>
      </c>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c r="DM272" s="83"/>
      <c r="DN272" s="83"/>
      <c r="DO272" s="83"/>
      <c r="DP272" s="83"/>
      <c r="DQ272" s="83"/>
      <c r="DR272" s="83"/>
      <c r="DS272" s="83"/>
      <c r="DT272" s="83"/>
      <c r="DU272" s="83"/>
      <c r="DV272" s="83"/>
      <c r="DW272" s="83"/>
      <c r="DX272" s="83"/>
      <c r="DY272" s="83"/>
      <c r="DZ272" s="83"/>
      <c r="EA272" s="83"/>
      <c r="EB272" s="83"/>
      <c r="EC272" s="83"/>
      <c r="ED272" s="83"/>
      <c r="EE272" s="83"/>
      <c r="EF272" s="83"/>
      <c r="EG272" s="83"/>
      <c r="EH272" s="83"/>
      <c r="EI272" s="83"/>
      <c r="EJ272" s="83"/>
      <c r="EK272" s="83"/>
      <c r="EL272" s="83"/>
      <c r="EM272" s="83"/>
      <c r="EN272" s="83"/>
      <c r="EO272" s="83"/>
      <c r="EP272" s="83"/>
      <c r="EQ272" s="83"/>
      <c r="ER272" s="83"/>
      <c r="ES272" s="83"/>
      <c r="ET272" s="83"/>
      <c r="EU272" s="83"/>
      <c r="EV272" s="83"/>
      <c r="EW272" s="83"/>
      <c r="EX272" s="83"/>
      <c r="EY272" s="83"/>
      <c r="EZ272" s="83"/>
      <c r="FA272" s="83"/>
      <c r="FB272" s="83"/>
      <c r="FC272" s="83"/>
      <c r="FD272" s="83"/>
      <c r="FE272" s="83"/>
      <c r="FF272" s="83"/>
      <c r="FG272" s="83"/>
      <c r="FH272" s="83"/>
      <c r="FI272" s="83"/>
      <c r="FJ272" s="83"/>
      <c r="FK272" s="83"/>
      <c r="FL272" s="83"/>
      <c r="FM272" s="83"/>
      <c r="FN272" s="83"/>
      <c r="FO272" s="83"/>
      <c r="FP272" s="83"/>
      <c r="FQ272" s="83"/>
      <c r="FR272" s="83"/>
      <c r="FS272" s="83"/>
      <c r="FT272" s="83"/>
      <c r="FU272" s="83"/>
      <c r="FV272" s="83"/>
      <c r="FW272" s="83"/>
      <c r="FX272" s="83"/>
      <c r="FY272" s="83"/>
      <c r="FZ272" s="83"/>
      <c r="GA272" s="83"/>
      <c r="GB272" s="83"/>
      <c r="GC272" s="83"/>
      <c r="GD272" s="83"/>
      <c r="GE272" s="83"/>
      <c r="GF272" s="83"/>
      <c r="GG272" s="83"/>
      <c r="GH272" s="83"/>
      <c r="GI272" s="83"/>
      <c r="GJ272" s="83"/>
      <c r="GK272" s="83"/>
      <c r="GL272" s="83"/>
      <c r="GM272" s="83"/>
      <c r="GN272" s="83"/>
      <c r="GO272" s="83"/>
      <c r="GP272" s="83"/>
      <c r="GQ272" s="83"/>
      <c r="GR272" s="83"/>
      <c r="GS272" s="83"/>
      <c r="GT272" s="83"/>
      <c r="GU272" s="83"/>
      <c r="GV272" s="83"/>
      <c r="GW272" s="83"/>
      <c r="GX272" s="83"/>
      <c r="GY272" s="83"/>
      <c r="GZ272" s="83"/>
      <c r="HA272" s="83"/>
      <c r="HB272" s="83"/>
      <c r="HC272" s="83"/>
      <c r="HD272" s="83"/>
      <c r="HE272" s="83"/>
      <c r="HF272" s="83"/>
      <c r="HG272" s="83"/>
      <c r="HH272" s="83"/>
      <c r="HI272" s="83"/>
      <c r="HJ272" s="83"/>
      <c r="HK272" s="83"/>
      <c r="HL272" s="83"/>
      <c r="HM272" s="83"/>
      <c r="HN272" s="83"/>
      <c r="HO272" s="83"/>
      <c r="HP272" s="83"/>
      <c r="HQ272" s="83"/>
      <c r="HR272" s="83"/>
      <c r="HS272" s="83"/>
      <c r="HT272" s="83"/>
      <c r="HU272" s="83"/>
      <c r="HV272" s="83"/>
      <c r="HW272" s="83"/>
      <c r="HX272" s="83"/>
      <c r="HY272" s="83"/>
      <c r="HZ272" s="83"/>
      <c r="IA272" s="83"/>
      <c r="IB272" s="83"/>
      <c r="IC272" s="83"/>
      <c r="ID272" s="83"/>
      <c r="IE272" s="83"/>
      <c r="IF272" s="83"/>
      <c r="IG272" s="83"/>
      <c r="IH272" s="83"/>
      <c r="II272" s="83"/>
      <c r="IJ272" s="83"/>
      <c r="IK272" s="83"/>
      <c r="IL272" s="83"/>
      <c r="IM272" s="83"/>
    </row>
    <row r="273" spans="1:247" x14ac:dyDescent="0.25">
      <c r="A273" s="310">
        <v>8929</v>
      </c>
      <c r="B273" s="299" t="s">
        <v>3199</v>
      </c>
      <c r="C273" s="239" t="s">
        <v>76</v>
      </c>
      <c r="D273" s="311" t="s">
        <v>2927</v>
      </c>
      <c r="E273" s="143"/>
      <c r="F273" s="90">
        <f t="shared" si="57"/>
        <v>1.0209999999999999</v>
      </c>
      <c r="G273" s="318"/>
      <c r="H273" s="143"/>
      <c r="I273" s="300"/>
      <c r="J273" s="300"/>
      <c r="K273" s="300"/>
      <c r="L273" s="300"/>
      <c r="M273" s="300"/>
      <c r="N273" s="318"/>
      <c r="O273" s="95"/>
      <c r="P273" s="143"/>
      <c r="Q273" s="318"/>
      <c r="R273" s="96">
        <f t="shared" si="58"/>
        <v>1.0209999999999999</v>
      </c>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c r="DM273" s="83"/>
      <c r="DN273" s="83"/>
      <c r="DO273" s="83"/>
      <c r="DP273" s="83"/>
      <c r="DQ273" s="83"/>
      <c r="DR273" s="83"/>
      <c r="DS273" s="83"/>
      <c r="DT273" s="83"/>
      <c r="DU273" s="83"/>
      <c r="DV273" s="83"/>
      <c r="DW273" s="83"/>
      <c r="DX273" s="83"/>
      <c r="DY273" s="83"/>
      <c r="DZ273" s="83"/>
      <c r="EA273" s="83"/>
      <c r="EB273" s="83"/>
      <c r="EC273" s="83"/>
      <c r="ED273" s="83"/>
      <c r="EE273" s="83"/>
      <c r="EF273" s="83"/>
      <c r="EG273" s="83"/>
      <c r="EH273" s="83"/>
      <c r="EI273" s="83"/>
      <c r="EJ273" s="83"/>
      <c r="EK273" s="83"/>
      <c r="EL273" s="83"/>
      <c r="EM273" s="83"/>
      <c r="EN273" s="83"/>
      <c r="EO273" s="83"/>
      <c r="EP273" s="83"/>
      <c r="EQ273" s="83"/>
      <c r="ER273" s="83"/>
      <c r="ES273" s="83"/>
      <c r="ET273" s="83"/>
      <c r="EU273" s="83"/>
      <c r="EV273" s="83"/>
      <c r="EW273" s="83"/>
      <c r="EX273" s="83"/>
      <c r="EY273" s="83"/>
      <c r="EZ273" s="83"/>
      <c r="FA273" s="83"/>
      <c r="FB273" s="83"/>
      <c r="FC273" s="83"/>
      <c r="FD273" s="83"/>
      <c r="FE273" s="83"/>
      <c r="FF273" s="83"/>
      <c r="FG273" s="83"/>
      <c r="FH273" s="83"/>
      <c r="FI273" s="83"/>
      <c r="FJ273" s="83"/>
      <c r="FK273" s="83"/>
      <c r="FL273" s="83"/>
      <c r="FM273" s="83"/>
      <c r="FN273" s="83"/>
      <c r="FO273" s="83"/>
      <c r="FP273" s="83"/>
      <c r="FQ273" s="83"/>
      <c r="FR273" s="83"/>
      <c r="FS273" s="83"/>
      <c r="FT273" s="83"/>
      <c r="FU273" s="83"/>
      <c r="FV273" s="83"/>
      <c r="FW273" s="83"/>
      <c r="FX273" s="83"/>
      <c r="FY273" s="83"/>
      <c r="FZ273" s="83"/>
      <c r="GA273" s="83"/>
      <c r="GB273" s="83"/>
      <c r="GC273" s="83"/>
      <c r="GD273" s="83"/>
      <c r="GE273" s="83"/>
      <c r="GF273" s="83"/>
      <c r="GG273" s="83"/>
      <c r="GH273" s="83"/>
      <c r="GI273" s="83"/>
      <c r="GJ273" s="83"/>
      <c r="GK273" s="83"/>
      <c r="GL273" s="83"/>
      <c r="GM273" s="83"/>
      <c r="GN273" s="83"/>
      <c r="GO273" s="83"/>
      <c r="GP273" s="83"/>
      <c r="GQ273" s="83"/>
      <c r="GR273" s="83"/>
      <c r="GS273" s="83"/>
      <c r="GT273" s="83"/>
      <c r="GU273" s="83"/>
      <c r="GV273" s="83"/>
      <c r="GW273" s="83"/>
      <c r="GX273" s="83"/>
      <c r="GY273" s="83"/>
      <c r="GZ273" s="83"/>
      <c r="HA273" s="83"/>
      <c r="HB273" s="83"/>
      <c r="HC273" s="83"/>
      <c r="HD273" s="83"/>
      <c r="HE273" s="83"/>
      <c r="HF273" s="83"/>
      <c r="HG273" s="83"/>
      <c r="HH273" s="83"/>
      <c r="HI273" s="83"/>
      <c r="HJ273" s="83"/>
      <c r="HK273" s="83"/>
      <c r="HL273" s="83"/>
      <c r="HM273" s="83"/>
      <c r="HN273" s="83"/>
      <c r="HO273" s="83"/>
      <c r="HP273" s="83"/>
      <c r="HQ273" s="83"/>
      <c r="HR273" s="83"/>
      <c r="HS273" s="83"/>
      <c r="HT273" s="83"/>
      <c r="HU273" s="83"/>
      <c r="HV273" s="83"/>
      <c r="HW273" s="83"/>
      <c r="HX273" s="83"/>
      <c r="HY273" s="83"/>
      <c r="HZ273" s="83"/>
      <c r="IA273" s="83"/>
      <c r="IB273" s="83"/>
      <c r="IC273" s="83"/>
      <c r="ID273" s="83"/>
      <c r="IE273" s="83"/>
      <c r="IF273" s="83"/>
      <c r="IG273" s="83"/>
      <c r="IH273" s="83"/>
      <c r="II273" s="83"/>
      <c r="IJ273" s="83"/>
      <c r="IK273" s="83"/>
      <c r="IL273" s="83"/>
      <c r="IM273" s="83"/>
    </row>
    <row r="274" spans="1:247" x14ac:dyDescent="0.25">
      <c r="A274" s="310">
        <v>8930</v>
      </c>
      <c r="B274" s="299" t="s">
        <v>3200</v>
      </c>
      <c r="C274" s="239" t="s">
        <v>40</v>
      </c>
      <c r="D274" s="311" t="s">
        <v>2930</v>
      </c>
      <c r="E274" s="143"/>
      <c r="F274" s="90">
        <f t="shared" si="57"/>
        <v>1.0209999999999999</v>
      </c>
      <c r="G274" s="318"/>
      <c r="H274" s="143"/>
      <c r="I274" s="300"/>
      <c r="J274" s="300"/>
      <c r="K274" s="300"/>
      <c r="L274" s="300"/>
      <c r="M274" s="300"/>
      <c r="N274" s="318"/>
      <c r="O274" s="95"/>
      <c r="P274" s="143">
        <f>+$P$3</f>
        <v>1.032</v>
      </c>
      <c r="Q274" s="318">
        <f>+$Q$3</f>
        <v>1.0349999999999999</v>
      </c>
      <c r="R274" s="96">
        <f t="shared" si="58"/>
        <v>1.0905505199999999</v>
      </c>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c r="DM274" s="83"/>
      <c r="DN274" s="83"/>
      <c r="DO274" s="83"/>
      <c r="DP274" s="83"/>
      <c r="DQ274" s="83"/>
      <c r="DR274" s="83"/>
      <c r="DS274" s="83"/>
      <c r="DT274" s="83"/>
      <c r="DU274" s="83"/>
      <c r="DV274" s="83"/>
      <c r="DW274" s="83"/>
      <c r="DX274" s="83"/>
      <c r="DY274" s="83"/>
      <c r="DZ274" s="83"/>
      <c r="EA274" s="83"/>
      <c r="EB274" s="83"/>
      <c r="EC274" s="83"/>
      <c r="ED274" s="83"/>
      <c r="EE274" s="83"/>
      <c r="EF274" s="83"/>
      <c r="EG274" s="83"/>
      <c r="EH274" s="83"/>
      <c r="EI274" s="83"/>
      <c r="EJ274" s="83"/>
      <c r="EK274" s="83"/>
      <c r="EL274" s="83"/>
      <c r="EM274" s="83"/>
      <c r="EN274" s="83"/>
      <c r="EO274" s="83"/>
      <c r="EP274" s="83"/>
      <c r="EQ274" s="83"/>
      <c r="ER274" s="83"/>
      <c r="ES274" s="83"/>
      <c r="ET274" s="83"/>
      <c r="EU274" s="83"/>
      <c r="EV274" s="83"/>
      <c r="EW274" s="83"/>
      <c r="EX274" s="83"/>
      <c r="EY274" s="83"/>
      <c r="EZ274" s="83"/>
      <c r="FA274" s="83"/>
      <c r="FB274" s="83"/>
      <c r="FC274" s="83"/>
      <c r="FD274" s="83"/>
      <c r="FE274" s="83"/>
      <c r="FF274" s="83"/>
      <c r="FG274" s="83"/>
      <c r="FH274" s="83"/>
      <c r="FI274" s="83"/>
      <c r="FJ274" s="83"/>
      <c r="FK274" s="83"/>
      <c r="FL274" s="83"/>
      <c r="FM274" s="83"/>
      <c r="FN274" s="83"/>
      <c r="FO274" s="83"/>
      <c r="FP274" s="83"/>
      <c r="FQ274" s="83"/>
      <c r="FR274" s="83"/>
      <c r="FS274" s="83"/>
      <c r="FT274" s="83"/>
      <c r="FU274" s="83"/>
      <c r="FV274" s="83"/>
      <c r="FW274" s="83"/>
      <c r="FX274" s="83"/>
      <c r="FY274" s="83"/>
      <c r="FZ274" s="83"/>
      <c r="GA274" s="83"/>
      <c r="GB274" s="83"/>
      <c r="GC274" s="83"/>
      <c r="GD274" s="83"/>
      <c r="GE274" s="83"/>
      <c r="GF274" s="83"/>
      <c r="GG274" s="83"/>
      <c r="GH274" s="83"/>
      <c r="GI274" s="83"/>
      <c r="GJ274" s="83"/>
      <c r="GK274" s="83"/>
      <c r="GL274" s="83"/>
      <c r="GM274" s="83"/>
      <c r="GN274" s="83"/>
      <c r="GO274" s="83"/>
      <c r="GP274" s="83"/>
      <c r="GQ274" s="83"/>
      <c r="GR274" s="83"/>
      <c r="GS274" s="83"/>
      <c r="GT274" s="83"/>
      <c r="GU274" s="83"/>
      <c r="GV274" s="83"/>
      <c r="GW274" s="83"/>
      <c r="GX274" s="83"/>
      <c r="GY274" s="83"/>
      <c r="GZ274" s="83"/>
      <c r="HA274" s="83"/>
      <c r="HB274" s="83"/>
      <c r="HC274" s="83"/>
      <c r="HD274" s="83"/>
      <c r="HE274" s="83"/>
      <c r="HF274" s="83"/>
      <c r="HG274" s="83"/>
      <c r="HH274" s="83"/>
      <c r="HI274" s="83"/>
      <c r="HJ274" s="83"/>
      <c r="HK274" s="83"/>
      <c r="HL274" s="83"/>
      <c r="HM274" s="83"/>
      <c r="HN274" s="83"/>
      <c r="HO274" s="83"/>
      <c r="HP274" s="83"/>
      <c r="HQ274" s="83"/>
      <c r="HR274" s="83"/>
      <c r="HS274" s="83"/>
      <c r="HT274" s="83"/>
      <c r="HU274" s="83"/>
      <c r="HV274" s="83"/>
      <c r="HW274" s="83"/>
      <c r="HX274" s="83"/>
      <c r="HY274" s="83"/>
      <c r="HZ274" s="83"/>
      <c r="IA274" s="83"/>
      <c r="IB274" s="83"/>
      <c r="IC274" s="83"/>
      <c r="ID274" s="83"/>
      <c r="IE274" s="83"/>
      <c r="IF274" s="83"/>
      <c r="IG274" s="83"/>
      <c r="IH274" s="83"/>
      <c r="II274" s="83"/>
      <c r="IJ274" s="83"/>
      <c r="IK274" s="83"/>
      <c r="IL274" s="83"/>
      <c r="IM274" s="83"/>
    </row>
    <row r="275" spans="1:247" x14ac:dyDescent="0.25">
      <c r="A275" s="310">
        <v>8931</v>
      </c>
      <c r="B275" s="299" t="s">
        <v>3201</v>
      </c>
      <c r="C275" s="239" t="s">
        <v>40</v>
      </c>
      <c r="D275" s="311" t="s">
        <v>2930</v>
      </c>
      <c r="E275" s="143"/>
      <c r="F275" s="90">
        <f t="shared" si="57"/>
        <v>1.0209999999999999</v>
      </c>
      <c r="G275" s="318"/>
      <c r="H275" s="143"/>
      <c r="I275" s="300"/>
      <c r="J275" s="300"/>
      <c r="K275" s="300"/>
      <c r="L275" s="300"/>
      <c r="M275" s="300"/>
      <c r="N275" s="318"/>
      <c r="O275" s="95"/>
      <c r="P275" s="143">
        <f>+$P$3</f>
        <v>1.032</v>
      </c>
      <c r="Q275" s="318">
        <f>+$Q$3</f>
        <v>1.0349999999999999</v>
      </c>
      <c r="R275" s="96">
        <f t="shared" si="58"/>
        <v>1.0905505199999999</v>
      </c>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c r="DM275" s="83"/>
      <c r="DN275" s="83"/>
      <c r="DO275" s="83"/>
      <c r="DP275" s="83"/>
      <c r="DQ275" s="83"/>
      <c r="DR275" s="83"/>
      <c r="DS275" s="83"/>
      <c r="DT275" s="83"/>
      <c r="DU275" s="83"/>
      <c r="DV275" s="83"/>
      <c r="DW275" s="83"/>
      <c r="DX275" s="83"/>
      <c r="DY275" s="83"/>
      <c r="DZ275" s="83"/>
      <c r="EA275" s="83"/>
      <c r="EB275" s="83"/>
      <c r="EC275" s="83"/>
      <c r="ED275" s="83"/>
      <c r="EE275" s="83"/>
      <c r="EF275" s="83"/>
      <c r="EG275" s="83"/>
      <c r="EH275" s="83"/>
      <c r="EI275" s="83"/>
      <c r="EJ275" s="83"/>
      <c r="EK275" s="83"/>
      <c r="EL275" s="83"/>
      <c r="EM275" s="83"/>
      <c r="EN275" s="83"/>
      <c r="EO275" s="83"/>
      <c r="EP275" s="83"/>
      <c r="EQ275" s="83"/>
      <c r="ER275" s="83"/>
      <c r="ES275" s="83"/>
      <c r="ET275" s="83"/>
      <c r="EU275" s="83"/>
      <c r="EV275" s="83"/>
      <c r="EW275" s="83"/>
      <c r="EX275" s="83"/>
      <c r="EY275" s="83"/>
      <c r="EZ275" s="83"/>
      <c r="FA275" s="83"/>
      <c r="FB275" s="83"/>
      <c r="FC275" s="83"/>
      <c r="FD275" s="83"/>
      <c r="FE275" s="83"/>
      <c r="FF275" s="83"/>
      <c r="FG275" s="83"/>
      <c r="FH275" s="83"/>
      <c r="FI275" s="83"/>
      <c r="FJ275" s="83"/>
      <c r="FK275" s="83"/>
      <c r="FL275" s="83"/>
      <c r="FM275" s="83"/>
      <c r="FN275" s="83"/>
      <c r="FO275" s="83"/>
      <c r="FP275" s="83"/>
      <c r="FQ275" s="83"/>
      <c r="FR275" s="83"/>
      <c r="FS275" s="83"/>
      <c r="FT275" s="83"/>
      <c r="FU275" s="83"/>
      <c r="FV275" s="83"/>
      <c r="FW275" s="83"/>
      <c r="FX275" s="83"/>
      <c r="FY275" s="83"/>
      <c r="FZ275" s="83"/>
      <c r="GA275" s="83"/>
      <c r="GB275" s="83"/>
      <c r="GC275" s="83"/>
      <c r="GD275" s="83"/>
      <c r="GE275" s="83"/>
      <c r="GF275" s="83"/>
      <c r="GG275" s="83"/>
      <c r="GH275" s="83"/>
      <c r="GI275" s="83"/>
      <c r="GJ275" s="83"/>
      <c r="GK275" s="83"/>
      <c r="GL275" s="83"/>
      <c r="GM275" s="83"/>
      <c r="GN275" s="83"/>
      <c r="GO275" s="83"/>
      <c r="GP275" s="83"/>
      <c r="GQ275" s="83"/>
      <c r="GR275" s="83"/>
      <c r="GS275" s="83"/>
      <c r="GT275" s="83"/>
      <c r="GU275" s="83"/>
      <c r="GV275" s="83"/>
      <c r="GW275" s="83"/>
      <c r="GX275" s="83"/>
      <c r="GY275" s="83"/>
      <c r="GZ275" s="83"/>
      <c r="HA275" s="83"/>
      <c r="HB275" s="83"/>
      <c r="HC275" s="83"/>
      <c r="HD275" s="83"/>
      <c r="HE275" s="83"/>
      <c r="HF275" s="83"/>
      <c r="HG275" s="83"/>
      <c r="HH275" s="83"/>
      <c r="HI275" s="83"/>
      <c r="HJ275" s="83"/>
      <c r="HK275" s="83"/>
      <c r="HL275" s="83"/>
      <c r="HM275" s="83"/>
      <c r="HN275" s="83"/>
      <c r="HO275" s="83"/>
      <c r="HP275" s="83"/>
      <c r="HQ275" s="83"/>
      <c r="HR275" s="83"/>
      <c r="HS275" s="83"/>
      <c r="HT275" s="83"/>
      <c r="HU275" s="83"/>
      <c r="HV275" s="83"/>
      <c r="HW275" s="83"/>
      <c r="HX275" s="83"/>
      <c r="HY275" s="83"/>
      <c r="HZ275" s="83"/>
      <c r="IA275" s="83"/>
      <c r="IB275" s="83"/>
      <c r="IC275" s="83"/>
      <c r="ID275" s="83"/>
      <c r="IE275" s="83"/>
      <c r="IF275" s="83"/>
      <c r="IG275" s="83"/>
      <c r="IH275" s="83"/>
      <c r="II275" s="83"/>
      <c r="IJ275" s="83"/>
      <c r="IK275" s="83"/>
      <c r="IL275" s="83"/>
      <c r="IM275" s="83"/>
    </row>
    <row r="276" spans="1:247" x14ac:dyDescent="0.25">
      <c r="A276" s="310">
        <v>8932</v>
      </c>
      <c r="B276" s="299" t="s">
        <v>3202</v>
      </c>
      <c r="C276" s="239" t="s">
        <v>40</v>
      </c>
      <c r="D276" s="311" t="s">
        <v>2930</v>
      </c>
      <c r="E276" s="143"/>
      <c r="F276" s="90">
        <f>+$F$3</f>
        <v>1.0209999999999999</v>
      </c>
      <c r="G276" s="318"/>
      <c r="H276" s="143"/>
      <c r="I276" s="300"/>
      <c r="J276" s="300"/>
      <c r="K276" s="300"/>
      <c r="L276" s="300"/>
      <c r="M276" s="300"/>
      <c r="N276" s="318"/>
      <c r="O276" s="95"/>
      <c r="P276" s="143">
        <f>+$P$3</f>
        <v>1.032</v>
      </c>
      <c r="Q276" s="318">
        <f>+$Q$3</f>
        <v>1.0349999999999999</v>
      </c>
      <c r="R276" s="96">
        <f>PRODUCT(E276:Q276)</f>
        <v>1.0905505199999999</v>
      </c>
      <c r="S276" s="107"/>
      <c r="AS276" s="9"/>
    </row>
    <row r="277" spans="1:247" x14ac:dyDescent="0.25">
      <c r="A277" s="310">
        <v>8951</v>
      </c>
      <c r="B277" s="299" t="s">
        <v>3203</v>
      </c>
      <c r="C277" s="239" t="s">
        <v>214</v>
      </c>
      <c r="D277" s="311" t="s">
        <v>2927</v>
      </c>
      <c r="E277" s="143"/>
      <c r="F277" s="90">
        <f>+$F$3</f>
        <v>1.0209999999999999</v>
      </c>
      <c r="G277" s="318"/>
      <c r="H277" s="143"/>
      <c r="I277" s="300"/>
      <c r="J277" s="300"/>
      <c r="K277" s="300"/>
      <c r="L277" s="300"/>
      <c r="M277" s="300"/>
      <c r="N277" s="318"/>
      <c r="O277" s="95"/>
      <c r="P277" s="143"/>
      <c r="Q277" s="318"/>
      <c r="R277" s="96">
        <f>PRODUCT(E277:Q277)</f>
        <v>1.0209999999999999</v>
      </c>
      <c r="AS277" s="109">
        <v>2251</v>
      </c>
    </row>
    <row r="278" spans="1:247" ht="30" customHeight="1" x14ac:dyDescent="0.25">
      <c r="Q278" s="107"/>
      <c r="R278" s="107"/>
      <c r="S278" s="107"/>
      <c r="AS278" s="9"/>
    </row>
    <row r="279" spans="1:247" ht="45" customHeight="1" x14ac:dyDescent="0.25">
      <c r="A279" s="9" t="s">
        <v>3204</v>
      </c>
      <c r="AS279" s="109">
        <v>2261</v>
      </c>
    </row>
    <row r="280" spans="1:247" ht="15" customHeight="1" x14ac:dyDescent="0.25">
      <c r="A280" s="1708" t="s">
        <v>3205</v>
      </c>
      <c r="B280" s="1708"/>
      <c r="C280" s="1708"/>
      <c r="D280" s="1708"/>
      <c r="E280" s="1708"/>
      <c r="F280" s="1708"/>
      <c r="G280" s="1708"/>
      <c r="H280" s="1708"/>
      <c r="I280" s="1708"/>
      <c r="J280" s="1708"/>
      <c r="K280" s="1708"/>
      <c r="L280" s="1708"/>
      <c r="M280" s="1708"/>
      <c r="N280" s="1708"/>
      <c r="O280" s="1708"/>
      <c r="P280" s="1708"/>
      <c r="Q280" s="1708"/>
      <c r="R280" s="16"/>
      <c r="AS280" s="109">
        <v>2264</v>
      </c>
    </row>
    <row r="281" spans="1:247" ht="30" customHeight="1" x14ac:dyDescent="0.25">
      <c r="A281" s="1708" t="s">
        <v>3206</v>
      </c>
      <c r="B281" s="1708"/>
      <c r="C281" s="1708"/>
      <c r="D281" s="1708"/>
      <c r="E281" s="1708"/>
      <c r="F281" s="1708"/>
      <c r="G281" s="1708"/>
      <c r="H281" s="1708"/>
      <c r="I281" s="1708"/>
      <c r="J281" s="1708"/>
      <c r="K281" s="1708"/>
      <c r="L281" s="1708"/>
      <c r="M281" s="1708"/>
      <c r="N281" s="1708"/>
      <c r="O281" s="1708"/>
      <c r="P281" s="1708"/>
      <c r="Q281" s="1708"/>
      <c r="AS281" s="109">
        <v>2265</v>
      </c>
    </row>
    <row r="282" spans="1:247" ht="15" customHeight="1" x14ac:dyDescent="0.25">
      <c r="A282" s="1708" t="s">
        <v>3207</v>
      </c>
      <c r="B282" s="1708"/>
      <c r="C282" s="1708"/>
      <c r="D282" s="1708"/>
      <c r="E282" s="1708"/>
      <c r="F282" s="1708"/>
      <c r="G282" s="1708"/>
      <c r="H282" s="1708"/>
      <c r="I282" s="1708"/>
      <c r="J282" s="1708"/>
      <c r="K282" s="1708"/>
      <c r="L282" s="1708"/>
      <c r="M282" s="1708"/>
      <c r="N282" s="1708"/>
      <c r="O282" s="1708"/>
      <c r="P282" s="1708"/>
      <c r="Q282" s="1708"/>
      <c r="AS282" s="109">
        <v>2271</v>
      </c>
    </row>
    <row r="283" spans="1:247" ht="30" customHeight="1" x14ac:dyDescent="0.25">
      <c r="A283" s="1708" t="s">
        <v>3208</v>
      </c>
      <c r="B283" s="1708"/>
      <c r="C283" s="1708"/>
      <c r="D283" s="1708"/>
      <c r="E283" s="1708"/>
      <c r="F283" s="1708"/>
      <c r="G283" s="1708"/>
      <c r="H283" s="1708"/>
      <c r="I283" s="1708"/>
      <c r="J283" s="1708"/>
      <c r="K283" s="1708"/>
      <c r="L283" s="1708"/>
      <c r="M283" s="1708"/>
      <c r="N283" s="1708"/>
      <c r="O283" s="1708"/>
      <c r="P283" s="1708"/>
      <c r="Q283" s="1708"/>
      <c r="AS283" s="109">
        <v>2281</v>
      </c>
    </row>
    <row r="284" spans="1:247" ht="30" customHeight="1" x14ac:dyDescent="0.25">
      <c r="A284" s="1717" t="s">
        <v>3209</v>
      </c>
      <c r="B284" s="1717"/>
      <c r="C284" s="1717"/>
      <c r="D284" s="1717"/>
      <c r="E284" s="1717"/>
      <c r="F284" s="1717"/>
      <c r="G284" s="1717"/>
      <c r="H284" s="1717"/>
      <c r="I284" s="1717"/>
      <c r="J284" s="1717"/>
      <c r="K284" s="1717"/>
      <c r="L284" s="1717"/>
      <c r="M284" s="1717"/>
      <c r="N284" s="1717"/>
      <c r="O284" s="1717"/>
      <c r="P284" s="1717"/>
      <c r="Q284" s="1717"/>
      <c r="AS284" s="109">
        <v>2291</v>
      </c>
    </row>
    <row r="285" spans="1:247" ht="30" customHeight="1" x14ac:dyDescent="0.25">
      <c r="A285" s="1708" t="s">
        <v>3210</v>
      </c>
      <c r="B285" s="1708"/>
      <c r="C285" s="1708"/>
      <c r="D285" s="1708"/>
      <c r="E285" s="1708"/>
      <c r="F285" s="1708"/>
      <c r="G285" s="1708"/>
      <c r="H285" s="1708"/>
      <c r="I285" s="1708"/>
      <c r="J285" s="1708"/>
      <c r="K285" s="1708"/>
      <c r="L285" s="1708"/>
      <c r="M285" s="1708"/>
      <c r="N285" s="1708"/>
      <c r="O285" s="1708"/>
      <c r="P285" s="1708"/>
      <c r="Q285" s="1708"/>
      <c r="AS285" s="109">
        <v>3101</v>
      </c>
    </row>
    <row r="286" spans="1:247" ht="45" customHeight="1" x14ac:dyDescent="0.25">
      <c r="A286" s="1708" t="s">
        <v>3211</v>
      </c>
      <c r="B286" s="1708"/>
      <c r="C286" s="1708"/>
      <c r="D286" s="1708"/>
      <c r="E286" s="1708"/>
      <c r="F286" s="1708"/>
      <c r="G286" s="1708"/>
      <c r="H286" s="1708"/>
      <c r="I286" s="1708"/>
      <c r="J286" s="1708"/>
      <c r="K286" s="1708"/>
      <c r="L286" s="1708"/>
      <c r="M286" s="1708"/>
      <c r="N286" s="1708"/>
      <c r="O286" s="1708"/>
      <c r="P286" s="1708"/>
      <c r="Q286" s="1708"/>
      <c r="AS286" s="109">
        <v>3102</v>
      </c>
    </row>
    <row r="287" spans="1:247" ht="30" customHeight="1" x14ac:dyDescent="0.25">
      <c r="A287" s="1708" t="s">
        <v>3212</v>
      </c>
      <c r="B287" s="1708"/>
      <c r="C287" s="1708"/>
      <c r="D287" s="1708"/>
      <c r="E287" s="1708"/>
      <c r="F287" s="1708"/>
      <c r="G287" s="1708"/>
      <c r="H287" s="1708"/>
      <c r="I287" s="1708"/>
      <c r="J287" s="1708"/>
      <c r="K287" s="1708"/>
      <c r="L287" s="1708"/>
      <c r="M287" s="1708"/>
      <c r="N287" s="1708"/>
      <c r="O287" s="1708"/>
      <c r="P287" s="1708"/>
      <c r="Q287" s="1708"/>
      <c r="AS287" s="109">
        <v>3103</v>
      </c>
    </row>
    <row r="288" spans="1:247" ht="30" customHeight="1" x14ac:dyDescent="0.25">
      <c r="A288" s="1708" t="s">
        <v>3213</v>
      </c>
      <c r="B288" s="1708"/>
      <c r="C288" s="1708"/>
      <c r="D288" s="1708"/>
      <c r="E288" s="1708"/>
      <c r="F288" s="1708"/>
      <c r="G288" s="1708"/>
      <c r="H288" s="1708"/>
      <c r="I288" s="1708"/>
      <c r="J288" s="1708"/>
      <c r="K288" s="1708"/>
      <c r="L288" s="1708"/>
      <c r="M288" s="1708"/>
      <c r="N288" s="1708"/>
      <c r="O288" s="1708"/>
      <c r="P288" s="1708"/>
      <c r="Q288" s="1708"/>
      <c r="AS288" s="109">
        <v>3104</v>
      </c>
    </row>
    <row r="289" spans="1:45" ht="45" customHeight="1" x14ac:dyDescent="0.25">
      <c r="A289" s="1708" t="s">
        <v>3214</v>
      </c>
      <c r="B289" s="1708"/>
      <c r="C289" s="1708"/>
      <c r="D289" s="1708"/>
      <c r="E289" s="1708"/>
      <c r="F289" s="1708"/>
      <c r="G289" s="1708"/>
      <c r="H289" s="1708"/>
      <c r="I289" s="1708"/>
      <c r="J289" s="1708"/>
      <c r="K289" s="1708"/>
      <c r="L289" s="1708"/>
      <c r="M289" s="1708"/>
      <c r="N289" s="1708"/>
      <c r="O289" s="1708"/>
      <c r="P289" s="1708"/>
      <c r="Q289" s="1708"/>
      <c r="AS289" s="109">
        <v>3111</v>
      </c>
    </row>
    <row r="290" spans="1:45" ht="15" customHeight="1" x14ac:dyDescent="0.25">
      <c r="A290" s="1708" t="s">
        <v>3215</v>
      </c>
      <c r="B290" s="1708"/>
      <c r="C290" s="1708"/>
      <c r="D290" s="1708"/>
      <c r="E290" s="1708"/>
      <c r="F290" s="1708"/>
      <c r="G290" s="1708"/>
      <c r="H290" s="1708"/>
      <c r="I290" s="1708"/>
      <c r="J290" s="1708"/>
      <c r="K290" s="1708"/>
      <c r="L290" s="1708"/>
      <c r="M290" s="1708"/>
      <c r="N290" s="1708"/>
      <c r="O290" s="1708"/>
      <c r="P290" s="1708"/>
      <c r="Q290" s="1708"/>
      <c r="AS290" s="109">
        <v>3121</v>
      </c>
    </row>
    <row r="291" spans="1:45" ht="45" customHeight="1" x14ac:dyDescent="0.25">
      <c r="A291" s="1708" t="s">
        <v>3216</v>
      </c>
      <c r="B291" s="1708"/>
      <c r="C291" s="1708"/>
      <c r="D291" s="1708"/>
      <c r="E291" s="1708"/>
      <c r="F291" s="1708"/>
      <c r="G291" s="1708"/>
      <c r="H291" s="1708"/>
      <c r="I291" s="1708"/>
      <c r="J291" s="1708"/>
      <c r="K291" s="1708"/>
      <c r="L291" s="1708"/>
      <c r="M291" s="1708"/>
      <c r="N291" s="1708"/>
      <c r="O291" s="1708"/>
      <c r="P291" s="1708"/>
      <c r="Q291" s="1708"/>
      <c r="AS291" s="109">
        <v>3131</v>
      </c>
    </row>
    <row r="292" spans="1:45" ht="45" customHeight="1" x14ac:dyDescent="0.25">
      <c r="A292" s="1708" t="s">
        <v>3217</v>
      </c>
      <c r="B292" s="1708"/>
      <c r="C292" s="1708"/>
      <c r="D292" s="1708"/>
      <c r="E292" s="1708"/>
      <c r="F292" s="1708"/>
      <c r="G292" s="1708"/>
      <c r="H292" s="1708"/>
      <c r="I292" s="1708"/>
      <c r="J292" s="1708"/>
      <c r="K292" s="1708"/>
      <c r="L292" s="1708"/>
      <c r="M292" s="1708"/>
      <c r="N292" s="1708"/>
      <c r="O292" s="1708"/>
      <c r="P292" s="1708"/>
      <c r="Q292" s="1708"/>
      <c r="AS292" s="109">
        <v>3141</v>
      </c>
    </row>
    <row r="293" spans="1:45" ht="45" customHeight="1" x14ac:dyDescent="0.25">
      <c r="A293" s="1708" t="s">
        <v>3218</v>
      </c>
      <c r="B293" s="1708"/>
      <c r="C293" s="1708"/>
      <c r="D293" s="1708"/>
      <c r="E293" s="1708"/>
      <c r="F293" s="1708"/>
      <c r="G293" s="1708"/>
      <c r="H293" s="1708"/>
      <c r="I293" s="1708"/>
      <c r="J293" s="1708"/>
      <c r="K293" s="1708"/>
      <c r="L293" s="1708"/>
      <c r="M293" s="1708"/>
      <c r="N293" s="1708"/>
      <c r="O293" s="1708"/>
      <c r="P293" s="1708"/>
      <c r="Q293" s="1708"/>
      <c r="AS293" s="109">
        <v>3151</v>
      </c>
    </row>
    <row r="294" spans="1:45" ht="45" customHeight="1" x14ac:dyDescent="0.25">
      <c r="A294" s="1708" t="s">
        <v>3219</v>
      </c>
      <c r="B294" s="1708"/>
      <c r="C294" s="1708"/>
      <c r="D294" s="1708"/>
      <c r="E294" s="1708"/>
      <c r="F294" s="1708"/>
      <c r="G294" s="1708"/>
      <c r="H294" s="1708"/>
      <c r="I294" s="1708"/>
      <c r="J294" s="1708"/>
      <c r="K294" s="1708"/>
      <c r="L294" s="1708"/>
      <c r="M294" s="1708"/>
      <c r="N294" s="1708"/>
      <c r="O294" s="1708"/>
      <c r="P294" s="1708"/>
      <c r="Q294" s="1708"/>
      <c r="AS294" s="109">
        <v>3161</v>
      </c>
    </row>
    <row r="295" spans="1:45" ht="45" customHeight="1" x14ac:dyDescent="0.25">
      <c r="A295" s="1708" t="s">
        <v>3220</v>
      </c>
      <c r="B295" s="1708"/>
      <c r="C295" s="1708"/>
      <c r="D295" s="1708"/>
      <c r="E295" s="1708"/>
      <c r="F295" s="1708"/>
      <c r="G295" s="1708"/>
      <c r="H295" s="1708"/>
      <c r="I295" s="1708"/>
      <c r="J295" s="1708"/>
      <c r="K295" s="1708"/>
      <c r="L295" s="1708"/>
      <c r="M295" s="1708"/>
      <c r="N295" s="1708"/>
      <c r="O295" s="1708"/>
      <c r="P295" s="1708"/>
      <c r="Q295" s="1708"/>
      <c r="AS295" s="109">
        <v>3171</v>
      </c>
    </row>
    <row r="296" spans="1:45" ht="30" customHeight="1" x14ac:dyDescent="0.25">
      <c r="A296" s="1708" t="s">
        <v>3221</v>
      </c>
      <c r="B296" s="1708"/>
      <c r="C296" s="1708"/>
      <c r="D296" s="1708"/>
      <c r="E296" s="1708"/>
      <c r="F296" s="1708"/>
      <c r="G296" s="1708"/>
      <c r="H296" s="1708"/>
      <c r="I296" s="1708"/>
      <c r="J296" s="1708"/>
      <c r="K296" s="1708"/>
      <c r="L296" s="1708"/>
      <c r="M296" s="1708"/>
      <c r="N296" s="1708"/>
      <c r="O296" s="1708"/>
      <c r="P296" s="1708"/>
      <c r="Q296" s="1708"/>
      <c r="AS296" s="109">
        <v>3181</v>
      </c>
    </row>
    <row r="297" spans="1:45" ht="30" customHeight="1" x14ac:dyDescent="0.25">
      <c r="A297" s="1708" t="s">
        <v>3222</v>
      </c>
      <c r="B297" s="1708"/>
      <c r="C297" s="1708"/>
      <c r="D297" s="1708"/>
      <c r="E297" s="1708"/>
      <c r="F297" s="1708"/>
      <c r="G297" s="1708"/>
      <c r="H297" s="1708"/>
      <c r="I297" s="1708"/>
      <c r="J297" s="1708"/>
      <c r="K297" s="1708"/>
      <c r="L297" s="1708"/>
      <c r="M297" s="1708"/>
      <c r="N297" s="1708"/>
      <c r="O297" s="1708"/>
      <c r="P297" s="1708"/>
      <c r="Q297" s="1708"/>
      <c r="AS297" s="109">
        <v>3191</v>
      </c>
    </row>
    <row r="298" spans="1:45" ht="36" customHeight="1" x14ac:dyDescent="0.25">
      <c r="A298" s="1708" t="s">
        <v>3223</v>
      </c>
      <c r="B298" s="1708"/>
      <c r="C298" s="1708"/>
      <c r="D298" s="1708"/>
      <c r="E298" s="1708"/>
      <c r="F298" s="1708"/>
      <c r="G298" s="1708"/>
      <c r="H298" s="1708"/>
      <c r="I298" s="1708"/>
      <c r="J298" s="1708"/>
      <c r="K298" s="1708"/>
      <c r="L298" s="1708"/>
      <c r="M298" s="1708"/>
      <c r="N298" s="1708"/>
      <c r="O298" s="1708"/>
      <c r="P298" s="1708"/>
      <c r="Q298" s="1708"/>
      <c r="AR298" s="109">
        <v>3201</v>
      </c>
      <c r="AS298" s="9"/>
    </row>
    <row r="299" spans="1:45" x14ac:dyDescent="0.25">
      <c r="A299" s="1708" t="s">
        <v>3224</v>
      </c>
      <c r="B299" s="1708"/>
      <c r="C299" s="1708"/>
      <c r="D299" s="1708"/>
      <c r="E299" s="1708"/>
      <c r="F299" s="1708"/>
      <c r="G299" s="1708"/>
      <c r="H299" s="1708"/>
      <c r="I299" s="1708"/>
      <c r="J299" s="1708"/>
      <c r="K299" s="1708"/>
      <c r="L299" s="1708"/>
      <c r="M299" s="1708"/>
      <c r="N299" s="1708"/>
      <c r="O299" s="1708"/>
      <c r="P299" s="1708"/>
      <c r="Q299" s="1708"/>
      <c r="AS299" s="109">
        <v>3211</v>
      </c>
    </row>
    <row r="300" spans="1:45" x14ac:dyDescent="0.25">
      <c r="A300" s="15"/>
      <c r="B300" s="15"/>
      <c r="C300" s="15"/>
      <c r="D300" s="15"/>
      <c r="E300" s="15"/>
      <c r="F300" s="15"/>
      <c r="G300" s="15"/>
      <c r="H300" s="15"/>
      <c r="I300" s="15"/>
      <c r="J300" s="15"/>
      <c r="K300" s="15"/>
      <c r="L300" s="15"/>
      <c r="M300" s="15"/>
      <c r="N300" s="15"/>
      <c r="O300" s="15"/>
      <c r="P300" s="15"/>
      <c r="Q300" s="108"/>
      <c r="R300" s="9"/>
      <c r="AS300" s="109">
        <v>3711</v>
      </c>
    </row>
    <row r="301" spans="1:45" x14ac:dyDescent="0.25">
      <c r="A301" s="15"/>
      <c r="B301" s="15"/>
      <c r="C301" s="15"/>
      <c r="D301" s="15"/>
      <c r="E301" s="15"/>
      <c r="F301" s="15"/>
      <c r="G301" s="15"/>
      <c r="H301" s="15"/>
      <c r="I301" s="15"/>
      <c r="J301" s="15"/>
      <c r="K301" s="15"/>
      <c r="L301" s="15"/>
      <c r="M301" s="15"/>
      <c r="N301" s="15"/>
      <c r="O301" s="15"/>
      <c r="P301" s="15"/>
      <c r="Q301" s="15"/>
      <c r="AS301" s="109">
        <v>3712</v>
      </c>
    </row>
    <row r="302" spans="1:45" x14ac:dyDescent="0.25">
      <c r="A302" s="15"/>
      <c r="B302" s="15"/>
      <c r="C302" s="15"/>
      <c r="D302" s="15"/>
      <c r="E302" s="15"/>
      <c r="F302" s="15"/>
      <c r="G302" s="15"/>
      <c r="H302" s="15"/>
      <c r="I302" s="15"/>
      <c r="J302" s="15"/>
      <c r="K302" s="15"/>
      <c r="L302" s="15"/>
      <c r="M302" s="15"/>
      <c r="N302" s="15"/>
      <c r="O302" s="15"/>
      <c r="P302" s="15"/>
      <c r="Q302" s="15"/>
      <c r="AS302" s="109">
        <v>3713</v>
      </c>
    </row>
    <row r="303" spans="1:45" x14ac:dyDescent="0.25">
      <c r="A303" s="15"/>
      <c r="B303" s="15"/>
      <c r="C303" s="15"/>
      <c r="D303" s="15"/>
      <c r="E303" s="15"/>
      <c r="F303" s="15"/>
      <c r="G303" s="15"/>
      <c r="H303" s="15"/>
      <c r="I303" s="15"/>
      <c r="J303" s="15"/>
      <c r="K303" s="15"/>
      <c r="L303" s="15"/>
      <c r="M303" s="15"/>
      <c r="N303" s="15"/>
      <c r="O303" s="15"/>
      <c r="P303" s="15"/>
      <c r="Q303" s="15"/>
      <c r="AS303" s="109">
        <v>3901</v>
      </c>
    </row>
    <row r="304" spans="1:45" x14ac:dyDescent="0.25">
      <c r="A304" s="15"/>
      <c r="B304" s="15"/>
      <c r="C304" s="15"/>
      <c r="D304" s="15"/>
      <c r="E304" s="15"/>
      <c r="F304" s="15"/>
      <c r="G304" s="15"/>
      <c r="H304" s="15"/>
      <c r="I304" s="15"/>
      <c r="J304" s="15"/>
      <c r="K304" s="15"/>
      <c r="L304" s="15"/>
      <c r="M304" s="15"/>
      <c r="N304" s="15"/>
      <c r="O304" s="15"/>
      <c r="P304" s="15"/>
      <c r="Q304" s="15"/>
      <c r="AS304" s="109">
        <v>3902</v>
      </c>
    </row>
    <row r="305" spans="1:45" x14ac:dyDescent="0.25">
      <c r="A305" s="15"/>
      <c r="B305" s="15"/>
      <c r="C305" s="15"/>
      <c r="D305" s="15"/>
      <c r="E305" s="15"/>
      <c r="F305" s="15"/>
      <c r="G305" s="15"/>
      <c r="H305" s="15"/>
      <c r="I305" s="15"/>
      <c r="J305" s="15"/>
      <c r="K305" s="15"/>
      <c r="L305" s="15"/>
      <c r="M305" s="15"/>
      <c r="N305" s="15"/>
      <c r="O305" s="15"/>
      <c r="P305" s="15"/>
      <c r="Q305" s="15"/>
      <c r="AS305" s="109">
        <v>3903</v>
      </c>
    </row>
    <row r="306" spans="1:45" x14ac:dyDescent="0.25">
      <c r="A306" s="15"/>
      <c r="B306" s="15"/>
      <c r="C306" s="15"/>
      <c r="D306" s="15"/>
      <c r="E306" s="15"/>
      <c r="F306" s="15"/>
      <c r="G306" s="15"/>
      <c r="H306" s="15"/>
      <c r="I306" s="15"/>
      <c r="J306" s="15"/>
      <c r="K306" s="15"/>
      <c r="L306" s="15"/>
      <c r="M306" s="15"/>
      <c r="N306" s="15"/>
      <c r="O306" s="15"/>
      <c r="P306" s="15"/>
      <c r="Q306" s="15"/>
      <c r="AS306" s="109">
        <v>3904</v>
      </c>
    </row>
    <row r="307" spans="1:45" x14ac:dyDescent="0.25">
      <c r="A307" s="15"/>
      <c r="B307" s="15"/>
      <c r="C307" s="15"/>
      <c r="D307" s="15"/>
      <c r="E307" s="15"/>
      <c r="F307" s="15"/>
      <c r="G307" s="15"/>
      <c r="H307" s="15"/>
      <c r="I307" s="15"/>
      <c r="J307" s="15"/>
      <c r="K307" s="15"/>
      <c r="L307" s="15"/>
      <c r="M307" s="15"/>
      <c r="N307" s="15"/>
      <c r="O307" s="15"/>
      <c r="P307" s="15"/>
      <c r="Q307" s="15"/>
      <c r="AS307" s="109">
        <v>4111</v>
      </c>
    </row>
    <row r="308" spans="1:45" x14ac:dyDescent="0.25">
      <c r="A308" s="15"/>
      <c r="B308" s="15"/>
      <c r="C308" s="15"/>
      <c r="D308" s="15"/>
      <c r="E308" s="15"/>
      <c r="F308" s="15"/>
      <c r="G308" s="15"/>
      <c r="H308" s="15"/>
      <c r="I308" s="15"/>
      <c r="J308" s="15"/>
      <c r="K308" s="15"/>
      <c r="L308" s="15"/>
      <c r="M308" s="15"/>
      <c r="N308" s="15"/>
      <c r="O308" s="15"/>
      <c r="P308" s="15"/>
      <c r="Q308" s="15"/>
      <c r="AS308" s="109">
        <v>4112</v>
      </c>
    </row>
    <row r="309" spans="1:45" x14ac:dyDescent="0.25">
      <c r="A309" s="15"/>
      <c r="B309" s="15"/>
      <c r="C309" s="15"/>
      <c r="D309" s="15"/>
      <c r="E309" s="15"/>
      <c r="F309" s="15"/>
      <c r="G309" s="15"/>
      <c r="H309" s="15"/>
      <c r="I309" s="15"/>
      <c r="J309" s="15"/>
      <c r="K309" s="15"/>
      <c r="L309" s="15"/>
      <c r="M309" s="15"/>
      <c r="N309" s="15"/>
      <c r="O309" s="15"/>
      <c r="P309" s="15"/>
      <c r="Q309" s="15"/>
      <c r="AS309" s="109">
        <v>4113</v>
      </c>
    </row>
    <row r="310" spans="1:45" x14ac:dyDescent="0.25">
      <c r="A310" s="15"/>
      <c r="B310" s="15"/>
      <c r="C310" s="15"/>
      <c r="D310" s="15"/>
      <c r="E310" s="15"/>
      <c r="F310" s="15"/>
      <c r="G310" s="15"/>
      <c r="H310" s="15"/>
      <c r="I310" s="15"/>
      <c r="J310" s="15"/>
      <c r="K310" s="15"/>
      <c r="L310" s="15"/>
      <c r="M310" s="15"/>
      <c r="N310" s="15"/>
      <c r="O310" s="15"/>
      <c r="P310" s="15"/>
      <c r="Q310" s="15"/>
      <c r="AS310" s="109">
        <v>4114</v>
      </c>
    </row>
    <row r="311" spans="1:45" x14ac:dyDescent="0.25">
      <c r="A311" s="15"/>
      <c r="B311" s="15"/>
      <c r="C311" s="15"/>
      <c r="D311" s="15"/>
      <c r="E311" s="15"/>
      <c r="F311" s="15"/>
      <c r="G311" s="15"/>
      <c r="H311" s="15"/>
      <c r="I311" s="15"/>
      <c r="J311" s="15"/>
      <c r="K311" s="15"/>
      <c r="L311" s="15"/>
      <c r="M311" s="15"/>
      <c r="N311" s="15"/>
      <c r="O311" s="15"/>
      <c r="P311" s="15"/>
      <c r="Q311" s="15"/>
      <c r="AS311" s="109">
        <v>4121</v>
      </c>
    </row>
    <row r="312" spans="1:45" x14ac:dyDescent="0.25">
      <c r="A312" s="15"/>
      <c r="B312" s="15"/>
      <c r="C312" s="15"/>
      <c r="D312" s="15"/>
      <c r="E312" s="15"/>
      <c r="F312" s="15"/>
      <c r="G312" s="15"/>
      <c r="H312" s="15"/>
      <c r="I312" s="15"/>
      <c r="J312" s="15"/>
      <c r="K312" s="15"/>
      <c r="L312" s="15"/>
      <c r="M312" s="15"/>
      <c r="N312" s="15"/>
      <c r="O312" s="15"/>
      <c r="P312" s="15"/>
      <c r="Q312" s="15"/>
      <c r="AS312" s="109">
        <v>4122</v>
      </c>
    </row>
    <row r="313" spans="1:45" x14ac:dyDescent="0.25">
      <c r="A313" s="15"/>
      <c r="B313" s="15"/>
      <c r="C313" s="15"/>
      <c r="D313" s="15"/>
      <c r="E313" s="15"/>
      <c r="F313" s="15"/>
      <c r="G313" s="15"/>
      <c r="H313" s="15"/>
      <c r="I313" s="15"/>
      <c r="J313" s="15"/>
      <c r="K313" s="15"/>
      <c r="L313" s="15"/>
      <c r="M313" s="15"/>
      <c r="N313" s="15"/>
      <c r="O313" s="15"/>
      <c r="P313" s="15"/>
      <c r="Q313" s="15"/>
      <c r="AS313" s="109">
        <v>4211</v>
      </c>
    </row>
    <row r="314" spans="1:45" x14ac:dyDescent="0.25">
      <c r="A314" s="15"/>
      <c r="B314" s="15"/>
      <c r="C314" s="15"/>
      <c r="D314" s="15"/>
      <c r="E314" s="15"/>
      <c r="F314" s="15"/>
      <c r="G314" s="15"/>
      <c r="H314" s="15"/>
      <c r="I314" s="15"/>
      <c r="J314" s="15"/>
      <c r="K314" s="15"/>
      <c r="L314" s="15"/>
      <c r="M314" s="15"/>
      <c r="N314" s="15"/>
      <c r="O314" s="15"/>
      <c r="P314" s="15"/>
      <c r="Q314" s="15"/>
      <c r="AS314" s="109">
        <v>4212</v>
      </c>
    </row>
    <row r="315" spans="1:45" x14ac:dyDescent="0.25">
      <c r="A315" s="15"/>
      <c r="B315" s="15"/>
      <c r="C315" s="15"/>
      <c r="D315" s="15"/>
      <c r="E315" s="15"/>
      <c r="F315" s="15"/>
      <c r="G315" s="15"/>
      <c r="H315" s="15"/>
      <c r="I315" s="15"/>
      <c r="J315" s="15"/>
      <c r="K315" s="15"/>
      <c r="L315" s="15"/>
      <c r="M315" s="15"/>
      <c r="N315" s="15"/>
      <c r="O315" s="15"/>
      <c r="P315" s="15"/>
      <c r="Q315" s="15"/>
      <c r="AS315" s="109">
        <v>4221</v>
      </c>
    </row>
    <row r="316" spans="1:45" x14ac:dyDescent="0.25">
      <c r="A316" s="15"/>
      <c r="B316" s="15"/>
      <c r="C316" s="15"/>
      <c r="D316" s="15"/>
      <c r="E316" s="15"/>
      <c r="F316" s="15"/>
      <c r="G316" s="15"/>
      <c r="H316" s="15"/>
      <c r="I316" s="15"/>
      <c r="J316" s="15"/>
      <c r="K316" s="15"/>
      <c r="L316" s="15"/>
      <c r="M316" s="15"/>
      <c r="N316" s="15"/>
      <c r="O316" s="15"/>
      <c r="P316" s="15"/>
      <c r="Q316" s="15"/>
      <c r="AS316" s="109">
        <v>4222</v>
      </c>
    </row>
    <row r="317" spans="1:45" x14ac:dyDescent="0.25">
      <c r="A317" s="15"/>
      <c r="B317" s="15"/>
      <c r="C317" s="15"/>
      <c r="D317" s="15"/>
      <c r="E317" s="15"/>
      <c r="F317" s="15"/>
      <c r="G317" s="15"/>
      <c r="H317" s="15"/>
      <c r="I317" s="15"/>
      <c r="J317" s="15"/>
      <c r="K317" s="15"/>
      <c r="L317" s="15"/>
      <c r="M317" s="15"/>
      <c r="N317" s="15"/>
      <c r="O317" s="15"/>
      <c r="P317" s="15"/>
      <c r="Q317" s="15"/>
      <c r="AS317" s="109">
        <v>4231</v>
      </c>
    </row>
    <row r="318" spans="1:45" x14ac:dyDescent="0.25">
      <c r="A318" s="15"/>
      <c r="B318" s="15"/>
      <c r="C318" s="15"/>
      <c r="D318" s="15"/>
      <c r="E318" s="15"/>
      <c r="F318" s="15"/>
      <c r="G318" s="15"/>
      <c r="H318" s="15"/>
      <c r="I318" s="15"/>
      <c r="J318" s="15"/>
      <c r="K318" s="15"/>
      <c r="L318" s="15"/>
      <c r="M318" s="15"/>
      <c r="N318" s="15"/>
      <c r="O318" s="15"/>
      <c r="P318" s="15"/>
      <c r="Q318" s="15"/>
      <c r="AS318" s="109">
        <v>4241</v>
      </c>
    </row>
    <row r="319" spans="1:45" x14ac:dyDescent="0.25">
      <c r="A319" s="15"/>
      <c r="B319" s="15"/>
      <c r="C319" s="15"/>
      <c r="D319" s="15"/>
      <c r="E319" s="15"/>
      <c r="F319" s="15"/>
      <c r="G319" s="15"/>
      <c r="H319" s="15"/>
      <c r="I319" s="15"/>
      <c r="J319" s="15"/>
      <c r="K319" s="15"/>
      <c r="L319" s="15"/>
      <c r="M319" s="15"/>
      <c r="N319" s="15"/>
      <c r="O319" s="15"/>
      <c r="P319" s="15"/>
      <c r="Q319" s="15"/>
      <c r="AS319" s="109">
        <v>4251</v>
      </c>
    </row>
    <row r="320" spans="1:45" x14ac:dyDescent="0.25">
      <c r="A320" s="15"/>
      <c r="B320" s="15"/>
      <c r="C320" s="15"/>
      <c r="D320" s="15"/>
      <c r="E320" s="15"/>
      <c r="F320" s="15"/>
      <c r="G320" s="15"/>
      <c r="H320" s="15"/>
      <c r="I320" s="15"/>
      <c r="J320" s="15"/>
      <c r="K320" s="15"/>
      <c r="L320" s="15"/>
      <c r="M320" s="15"/>
      <c r="N320" s="15"/>
      <c r="O320" s="15"/>
      <c r="P320" s="15"/>
      <c r="Q320" s="15"/>
      <c r="AS320" s="109">
        <v>4311</v>
      </c>
    </row>
    <row r="321" spans="1:45" x14ac:dyDescent="0.25">
      <c r="A321" s="15"/>
      <c r="B321" s="15"/>
      <c r="C321" s="15"/>
      <c r="D321" s="15"/>
      <c r="E321" s="15"/>
      <c r="F321" s="15"/>
      <c r="G321" s="15"/>
      <c r="H321" s="15"/>
      <c r="I321" s="15"/>
      <c r="J321" s="15"/>
      <c r="K321" s="15"/>
      <c r="L321" s="15"/>
      <c r="M321" s="15"/>
      <c r="N321" s="15"/>
      <c r="O321" s="15"/>
      <c r="P321" s="15"/>
      <c r="Q321" s="15"/>
      <c r="AS321" s="109">
        <v>4321</v>
      </c>
    </row>
    <row r="322" spans="1:45" x14ac:dyDescent="0.25">
      <c r="A322" s="15"/>
      <c r="B322" s="15"/>
      <c r="C322" s="15"/>
      <c r="D322" s="15"/>
      <c r="E322" s="15"/>
      <c r="F322" s="15"/>
      <c r="G322" s="15"/>
      <c r="H322" s="15"/>
      <c r="I322" s="15"/>
      <c r="J322" s="15"/>
      <c r="K322" s="15"/>
      <c r="L322" s="15"/>
      <c r="M322" s="15"/>
      <c r="N322" s="15"/>
      <c r="O322" s="15"/>
      <c r="P322" s="15"/>
      <c r="Q322" s="15"/>
      <c r="AS322" s="109">
        <v>4411</v>
      </c>
    </row>
    <row r="323" spans="1:45" x14ac:dyDescent="0.25">
      <c r="A323" s="15"/>
      <c r="B323" s="15"/>
      <c r="C323" s="15"/>
      <c r="D323" s="15"/>
      <c r="E323" s="15"/>
      <c r="F323" s="15"/>
      <c r="G323" s="15"/>
      <c r="H323" s="15"/>
      <c r="I323" s="15"/>
      <c r="J323" s="15"/>
      <c r="K323" s="15"/>
      <c r="L323" s="15"/>
      <c r="M323" s="15"/>
      <c r="N323" s="15"/>
      <c r="O323" s="15"/>
      <c r="P323" s="15"/>
      <c r="Q323" s="15"/>
      <c r="AS323" s="109">
        <v>4412</v>
      </c>
    </row>
    <row r="324" spans="1:45" x14ac:dyDescent="0.25">
      <c r="A324" s="15"/>
      <c r="B324" s="15"/>
      <c r="C324" s="15"/>
      <c r="D324" s="15"/>
      <c r="E324" s="15"/>
      <c r="F324" s="15"/>
      <c r="G324" s="15"/>
      <c r="H324" s="15"/>
      <c r="I324" s="15"/>
      <c r="J324" s="15"/>
      <c r="K324" s="15"/>
      <c r="L324" s="15"/>
      <c r="M324" s="15"/>
      <c r="N324" s="15"/>
      <c r="O324" s="15"/>
      <c r="P324" s="15"/>
      <c r="Q324" s="15"/>
      <c r="AS324" s="109">
        <v>4413</v>
      </c>
    </row>
    <row r="325" spans="1:45" x14ac:dyDescent="0.25">
      <c r="A325" s="15"/>
      <c r="B325" s="15"/>
      <c r="C325" s="15"/>
      <c r="D325" s="15"/>
      <c r="E325" s="15"/>
      <c r="F325" s="15"/>
      <c r="G325" s="15"/>
      <c r="H325" s="15"/>
      <c r="I325" s="15"/>
      <c r="J325" s="15"/>
      <c r="K325" s="15"/>
      <c r="L325" s="15"/>
      <c r="M325" s="15"/>
      <c r="N325" s="15"/>
      <c r="O325" s="15"/>
      <c r="P325" s="15"/>
      <c r="Q325" s="15"/>
      <c r="AS325" s="109">
        <v>4414</v>
      </c>
    </row>
    <row r="326" spans="1:45" x14ac:dyDescent="0.25">
      <c r="A326" s="15"/>
      <c r="B326" s="15"/>
      <c r="C326" s="15"/>
      <c r="D326" s="15"/>
      <c r="E326" s="15"/>
      <c r="F326" s="15"/>
      <c r="G326" s="15"/>
      <c r="H326" s="15"/>
      <c r="I326" s="15"/>
      <c r="J326" s="15"/>
      <c r="K326" s="15"/>
      <c r="L326" s="15"/>
      <c r="M326" s="15"/>
      <c r="N326" s="15"/>
      <c r="O326" s="15"/>
      <c r="P326" s="15"/>
      <c r="Q326" s="15"/>
      <c r="AS326" s="109">
        <v>4421</v>
      </c>
    </row>
    <row r="327" spans="1:45" x14ac:dyDescent="0.25">
      <c r="A327" s="15"/>
      <c r="B327" s="15"/>
      <c r="C327" s="15"/>
      <c r="D327" s="15"/>
      <c r="E327" s="15"/>
      <c r="F327" s="15"/>
      <c r="G327" s="15"/>
      <c r="H327" s="15"/>
      <c r="I327" s="15"/>
      <c r="J327" s="15"/>
      <c r="K327" s="15"/>
      <c r="L327" s="15"/>
      <c r="M327" s="15"/>
      <c r="N327" s="15"/>
      <c r="O327" s="15"/>
      <c r="P327" s="15"/>
      <c r="Q327" s="15"/>
      <c r="AS327" s="109">
        <v>4422</v>
      </c>
    </row>
    <row r="328" spans="1:45" x14ac:dyDescent="0.25">
      <c r="A328" s="15"/>
      <c r="B328" s="15"/>
      <c r="C328" s="15"/>
      <c r="D328" s="15"/>
      <c r="E328" s="15"/>
      <c r="F328" s="15"/>
      <c r="G328" s="15"/>
      <c r="H328" s="15"/>
      <c r="I328" s="15"/>
      <c r="J328" s="15"/>
      <c r="K328" s="15"/>
      <c r="L328" s="15"/>
      <c r="M328" s="15"/>
      <c r="N328" s="15"/>
      <c r="O328" s="15"/>
      <c r="P328" s="15"/>
      <c r="Q328" s="15"/>
      <c r="AS328" s="109">
        <v>4423</v>
      </c>
    </row>
    <row r="329" spans="1:45" x14ac:dyDescent="0.25">
      <c r="A329" s="15"/>
      <c r="B329" s="15"/>
      <c r="C329" s="15"/>
      <c r="D329" s="15"/>
      <c r="E329" s="15"/>
      <c r="F329" s="15"/>
      <c r="G329" s="15"/>
      <c r="H329" s="15"/>
      <c r="I329" s="15"/>
      <c r="J329" s="15"/>
      <c r="K329" s="15"/>
      <c r="L329" s="15"/>
      <c r="M329" s="15"/>
      <c r="N329" s="15"/>
      <c r="O329" s="15"/>
      <c r="P329" s="15"/>
      <c r="Q329" s="15"/>
      <c r="AS329" s="109">
        <v>4424</v>
      </c>
    </row>
    <row r="330" spans="1:45" x14ac:dyDescent="0.25">
      <c r="A330" s="15"/>
      <c r="B330" s="15"/>
      <c r="C330" s="15"/>
      <c r="D330" s="15"/>
      <c r="E330" s="15"/>
      <c r="F330" s="15"/>
      <c r="G330" s="15"/>
      <c r="H330" s="15"/>
      <c r="I330" s="15"/>
      <c r="J330" s="15"/>
      <c r="K330" s="15"/>
      <c r="L330" s="15"/>
      <c r="M330" s="15"/>
      <c r="N330" s="15"/>
      <c r="O330" s="15"/>
      <c r="P330" s="15"/>
      <c r="Q330" s="15"/>
      <c r="AS330" s="109">
        <v>4425</v>
      </c>
    </row>
    <row r="331" spans="1:45" x14ac:dyDescent="0.25">
      <c r="A331" s="15"/>
      <c r="B331" s="15"/>
      <c r="C331" s="15"/>
      <c r="D331" s="15"/>
      <c r="E331" s="15"/>
      <c r="F331" s="15"/>
      <c r="G331" s="15"/>
      <c r="H331" s="15"/>
      <c r="I331" s="15"/>
      <c r="J331" s="15"/>
      <c r="K331" s="15"/>
      <c r="L331" s="15"/>
      <c r="M331" s="15"/>
      <c r="N331" s="15"/>
      <c r="O331" s="15"/>
      <c r="P331" s="15"/>
      <c r="Q331" s="15"/>
      <c r="AS331" s="109">
        <v>4426</v>
      </c>
    </row>
    <row r="332" spans="1:45" x14ac:dyDescent="0.25">
      <c r="A332" s="15"/>
      <c r="B332" s="15"/>
      <c r="C332" s="15"/>
      <c r="D332" s="15"/>
      <c r="E332" s="15"/>
      <c r="F332" s="15"/>
      <c r="G332" s="15"/>
      <c r="H332" s="15"/>
      <c r="I332" s="15"/>
      <c r="J332" s="15"/>
      <c r="K332" s="15"/>
      <c r="L332" s="15"/>
      <c r="M332" s="15"/>
      <c r="N332" s="15"/>
      <c r="O332" s="15"/>
      <c r="P332" s="15"/>
      <c r="Q332" s="15"/>
      <c r="AS332" s="109">
        <v>4427</v>
      </c>
    </row>
    <row r="333" spans="1:45" x14ac:dyDescent="0.25">
      <c r="A333" s="15"/>
      <c r="B333" s="15"/>
      <c r="C333" s="15"/>
      <c r="D333" s="15"/>
      <c r="E333" s="15"/>
      <c r="F333" s="15"/>
      <c r="G333" s="15"/>
      <c r="H333" s="15"/>
      <c r="I333" s="15"/>
      <c r="J333" s="15"/>
      <c r="K333" s="15"/>
      <c r="L333" s="15"/>
      <c r="M333" s="15"/>
      <c r="N333" s="15"/>
      <c r="O333" s="15"/>
      <c r="P333" s="15"/>
      <c r="Q333" s="15"/>
      <c r="AS333" s="109">
        <v>4428</v>
      </c>
    </row>
    <row r="334" spans="1:45" x14ac:dyDescent="0.25">
      <c r="A334" s="15"/>
      <c r="B334" s="15"/>
      <c r="C334" s="15"/>
      <c r="D334" s="15"/>
      <c r="E334" s="15"/>
      <c r="F334" s="15"/>
      <c r="G334" s="15"/>
      <c r="H334" s="15"/>
      <c r="I334" s="15"/>
      <c r="J334" s="15"/>
      <c r="K334" s="15"/>
      <c r="L334" s="15"/>
      <c r="M334" s="15"/>
      <c r="N334" s="15"/>
      <c r="O334" s="15"/>
      <c r="P334" s="15"/>
      <c r="Q334" s="15"/>
      <c r="AS334" s="109">
        <v>4511</v>
      </c>
    </row>
    <row r="335" spans="1:45" x14ac:dyDescent="0.25">
      <c r="A335" s="15"/>
      <c r="B335" s="15"/>
      <c r="C335" s="15"/>
      <c r="D335" s="15"/>
      <c r="E335" s="15"/>
      <c r="F335" s="15"/>
      <c r="G335" s="15"/>
      <c r="H335" s="15"/>
      <c r="I335" s="15"/>
      <c r="J335" s="15"/>
      <c r="K335" s="15"/>
      <c r="L335" s="15"/>
      <c r="M335" s="15"/>
      <c r="N335" s="15"/>
      <c r="O335" s="15"/>
      <c r="P335" s="15"/>
      <c r="Q335" s="15"/>
      <c r="AS335" s="109">
        <v>4521</v>
      </c>
    </row>
    <row r="336" spans="1:45" x14ac:dyDescent="0.25">
      <c r="A336" s="15"/>
      <c r="B336" s="15"/>
      <c r="C336" s="15"/>
      <c r="D336" s="15"/>
      <c r="E336" s="15"/>
      <c r="F336" s="15"/>
      <c r="G336" s="15"/>
      <c r="H336" s="15"/>
      <c r="I336" s="15"/>
      <c r="J336" s="15"/>
      <c r="K336" s="15"/>
      <c r="L336" s="15"/>
      <c r="M336" s="15"/>
      <c r="N336" s="15"/>
      <c r="O336" s="15"/>
      <c r="P336" s="15"/>
      <c r="Q336" s="15"/>
      <c r="AS336" s="109">
        <v>5100</v>
      </c>
    </row>
    <row r="337" spans="1:45" x14ac:dyDescent="0.25">
      <c r="A337" s="15"/>
      <c r="B337" s="15"/>
      <c r="C337" s="15"/>
      <c r="D337" s="15"/>
      <c r="E337" s="15"/>
      <c r="F337" s="15"/>
      <c r="G337" s="15"/>
      <c r="H337" s="15"/>
      <c r="I337" s="15"/>
      <c r="J337" s="15"/>
      <c r="K337" s="15"/>
      <c r="L337" s="15"/>
      <c r="M337" s="15"/>
      <c r="N337" s="15"/>
      <c r="O337" s="15"/>
      <c r="P337" s="15"/>
      <c r="Q337" s="15"/>
      <c r="AS337" s="109">
        <v>5302</v>
      </c>
    </row>
    <row r="338" spans="1:45" x14ac:dyDescent="0.25">
      <c r="A338" s="15"/>
      <c r="B338" s="15"/>
      <c r="C338" s="15"/>
      <c r="D338" s="15"/>
      <c r="E338" s="15"/>
      <c r="F338" s="15"/>
      <c r="G338" s="15"/>
      <c r="H338" s="15"/>
      <c r="I338" s="15"/>
      <c r="J338" s="15"/>
      <c r="K338" s="15"/>
      <c r="L338" s="15"/>
      <c r="M338" s="15"/>
      <c r="N338" s="15"/>
      <c r="O338" s="15"/>
      <c r="P338" s="15"/>
      <c r="Q338" s="15"/>
      <c r="AS338" s="109">
        <v>5303</v>
      </c>
    </row>
    <row r="339" spans="1:45" x14ac:dyDescent="0.25">
      <c r="A339" s="15"/>
      <c r="B339" s="15"/>
      <c r="C339" s="15"/>
      <c r="D339" s="15"/>
      <c r="E339" s="15"/>
      <c r="F339" s="15"/>
      <c r="G339" s="15"/>
      <c r="H339" s="15"/>
      <c r="I339" s="15"/>
      <c r="J339" s="15"/>
      <c r="K339" s="15"/>
      <c r="L339" s="15"/>
      <c r="M339" s="15"/>
      <c r="N339" s="15"/>
      <c r="O339" s="15"/>
      <c r="P339" s="15"/>
      <c r="Q339" s="15"/>
      <c r="AS339" s="109">
        <v>5304</v>
      </c>
    </row>
    <row r="340" spans="1:45" x14ac:dyDescent="0.25">
      <c r="A340" s="15"/>
      <c r="B340" s="15"/>
      <c r="C340" s="15"/>
      <c r="D340" s="15"/>
      <c r="E340" s="15"/>
      <c r="F340" s="15"/>
      <c r="G340" s="15"/>
      <c r="H340" s="15"/>
      <c r="I340" s="15"/>
      <c r="J340" s="15"/>
      <c r="K340" s="15"/>
      <c r="L340" s="15"/>
      <c r="M340" s="15"/>
      <c r="N340" s="15"/>
      <c r="O340" s="15"/>
      <c r="P340" s="15"/>
      <c r="Q340" s="15"/>
      <c r="AS340" s="109">
        <v>5306</v>
      </c>
    </row>
    <row r="341" spans="1:45" x14ac:dyDescent="0.25">
      <c r="A341" s="15"/>
      <c r="B341" s="15"/>
      <c r="C341" s="15"/>
      <c r="D341" s="15"/>
      <c r="E341" s="15"/>
      <c r="F341" s="15"/>
      <c r="G341" s="15"/>
      <c r="H341" s="15"/>
      <c r="I341" s="15"/>
      <c r="J341" s="15"/>
      <c r="K341" s="15"/>
      <c r="L341" s="15"/>
      <c r="M341" s="15"/>
      <c r="N341" s="15"/>
      <c r="O341" s="15"/>
      <c r="P341" s="15"/>
      <c r="Q341" s="15"/>
      <c r="AS341" s="109">
        <v>5307</v>
      </c>
    </row>
    <row r="342" spans="1:45" x14ac:dyDescent="0.25">
      <c r="A342" s="15"/>
      <c r="B342" s="15"/>
      <c r="C342" s="15"/>
      <c r="D342" s="15"/>
      <c r="E342" s="15"/>
      <c r="F342" s="15"/>
      <c r="G342" s="15"/>
      <c r="H342" s="15"/>
      <c r="I342" s="15"/>
      <c r="J342" s="15"/>
      <c r="K342" s="15"/>
      <c r="L342" s="15"/>
      <c r="M342" s="15"/>
      <c r="N342" s="15"/>
      <c r="O342" s="15"/>
      <c r="P342" s="15"/>
      <c r="Q342" s="15"/>
      <c r="AS342" s="109">
        <v>5400</v>
      </c>
    </row>
    <row r="343" spans="1:45" x14ac:dyDescent="0.25">
      <c r="A343" s="15"/>
      <c r="B343" s="15"/>
      <c r="C343" s="15"/>
      <c r="D343" s="15"/>
      <c r="E343" s="15"/>
      <c r="F343" s="15"/>
      <c r="G343" s="15"/>
      <c r="H343" s="15"/>
      <c r="I343" s="15"/>
      <c r="J343" s="15"/>
      <c r="K343" s="15"/>
      <c r="L343" s="15"/>
      <c r="M343" s="15"/>
      <c r="N343" s="15"/>
      <c r="O343" s="15"/>
      <c r="P343" s="15"/>
      <c r="Q343" s="15"/>
      <c r="AS343" s="109">
        <v>5500</v>
      </c>
    </row>
    <row r="344" spans="1:45" x14ac:dyDescent="0.25">
      <c r="A344" s="15"/>
      <c r="B344" s="15"/>
      <c r="C344" s="15"/>
      <c r="D344" s="15"/>
      <c r="E344" s="15"/>
      <c r="F344" s="15"/>
      <c r="G344" s="15"/>
      <c r="H344" s="15"/>
      <c r="I344" s="15"/>
      <c r="J344" s="15"/>
      <c r="K344" s="15"/>
      <c r="L344" s="15"/>
      <c r="M344" s="15"/>
      <c r="N344" s="15"/>
      <c r="O344" s="15"/>
      <c r="P344" s="15"/>
      <c r="Q344" s="15"/>
      <c r="AS344" s="109">
        <v>5501</v>
      </c>
    </row>
    <row r="345" spans="1:45" x14ac:dyDescent="0.25">
      <c r="A345" s="15"/>
      <c r="B345" s="15"/>
      <c r="C345" s="15"/>
      <c r="D345" s="15"/>
      <c r="E345" s="15"/>
      <c r="F345" s="15"/>
      <c r="G345" s="15"/>
      <c r="H345" s="15"/>
      <c r="I345" s="15"/>
      <c r="J345" s="15"/>
      <c r="K345" s="15"/>
      <c r="L345" s="15"/>
      <c r="M345" s="15"/>
      <c r="N345" s="15"/>
      <c r="O345" s="15"/>
      <c r="P345" s="15"/>
      <c r="Q345" s="15"/>
      <c r="AS345" s="109">
        <v>6100</v>
      </c>
    </row>
    <row r="346" spans="1:45" x14ac:dyDescent="0.25">
      <c r="A346" s="15"/>
      <c r="B346" s="15"/>
      <c r="C346" s="15"/>
      <c r="D346" s="15"/>
      <c r="E346" s="15"/>
      <c r="F346" s="15"/>
      <c r="G346" s="15"/>
      <c r="H346" s="15"/>
      <c r="I346" s="15"/>
      <c r="J346" s="15"/>
      <c r="K346" s="15"/>
      <c r="L346" s="15"/>
      <c r="M346" s="15"/>
      <c r="N346" s="15"/>
      <c r="O346" s="15"/>
      <c r="P346" s="15"/>
      <c r="Q346" s="15"/>
      <c r="AS346" s="109">
        <v>6101</v>
      </c>
    </row>
    <row r="347" spans="1:45" x14ac:dyDescent="0.25">
      <c r="A347" s="15"/>
      <c r="B347" s="15"/>
      <c r="C347" s="15"/>
      <c r="D347" s="15"/>
      <c r="E347" s="15"/>
      <c r="F347" s="15"/>
      <c r="G347" s="15"/>
      <c r="H347" s="15"/>
      <c r="I347" s="15"/>
      <c r="J347" s="15"/>
      <c r="K347" s="15"/>
      <c r="L347" s="15"/>
      <c r="M347" s="15"/>
      <c r="N347" s="15"/>
      <c r="O347" s="15"/>
      <c r="P347" s="15"/>
      <c r="Q347" s="15"/>
      <c r="AS347" s="109">
        <v>6102</v>
      </c>
    </row>
    <row r="348" spans="1:45" x14ac:dyDescent="0.25">
      <c r="A348" s="15"/>
      <c r="B348" s="15"/>
      <c r="C348" s="15"/>
      <c r="D348" s="15"/>
      <c r="E348" s="15"/>
      <c r="F348" s="15"/>
      <c r="G348" s="15"/>
      <c r="H348" s="15"/>
      <c r="I348" s="15"/>
      <c r="J348" s="15"/>
      <c r="K348" s="15"/>
      <c r="L348" s="15"/>
      <c r="M348" s="15"/>
      <c r="N348" s="15"/>
      <c r="O348" s="15"/>
      <c r="P348" s="15"/>
      <c r="Q348" s="15"/>
      <c r="AS348" s="109">
        <v>6103</v>
      </c>
    </row>
    <row r="349" spans="1:45" x14ac:dyDescent="0.25">
      <c r="A349" s="15"/>
      <c r="B349" s="15"/>
      <c r="C349" s="15"/>
      <c r="D349" s="15"/>
      <c r="E349" s="15"/>
      <c r="F349" s="15"/>
      <c r="G349" s="15"/>
      <c r="H349" s="15"/>
      <c r="I349" s="15"/>
      <c r="J349" s="15"/>
      <c r="K349" s="15"/>
      <c r="L349" s="15"/>
      <c r="M349" s="15"/>
      <c r="N349" s="15"/>
      <c r="O349" s="15"/>
      <c r="P349" s="15"/>
      <c r="Q349" s="15"/>
      <c r="AS349" s="109">
        <v>6104</v>
      </c>
    </row>
    <row r="350" spans="1:45" x14ac:dyDescent="0.25">
      <c r="A350" s="15"/>
      <c r="B350" s="15"/>
      <c r="C350" s="15"/>
      <c r="D350" s="15"/>
      <c r="E350" s="15"/>
      <c r="F350" s="15"/>
      <c r="G350" s="15"/>
      <c r="H350" s="15"/>
      <c r="I350" s="15"/>
      <c r="J350" s="15"/>
      <c r="K350" s="15"/>
      <c r="L350" s="15"/>
      <c r="M350" s="15"/>
      <c r="N350" s="15"/>
      <c r="O350" s="15"/>
      <c r="P350" s="15"/>
      <c r="Q350" s="15"/>
      <c r="AS350" s="109">
        <v>6105</v>
      </c>
    </row>
    <row r="351" spans="1:45" x14ac:dyDescent="0.25">
      <c r="A351" s="15"/>
      <c r="B351" s="15"/>
      <c r="C351" s="15"/>
      <c r="D351" s="15"/>
      <c r="E351" s="15"/>
      <c r="F351" s="15"/>
      <c r="G351" s="15"/>
      <c r="H351" s="15"/>
      <c r="I351" s="15"/>
      <c r="J351" s="15"/>
      <c r="K351" s="15"/>
      <c r="L351" s="15"/>
      <c r="M351" s="15"/>
      <c r="N351" s="15"/>
      <c r="O351" s="15"/>
      <c r="P351" s="15"/>
      <c r="Q351" s="15"/>
      <c r="AS351" s="109">
        <v>6106</v>
      </c>
    </row>
    <row r="352" spans="1:45" x14ac:dyDescent="0.25">
      <c r="A352" s="15"/>
      <c r="B352" s="15"/>
      <c r="C352" s="15"/>
      <c r="D352" s="15"/>
      <c r="E352" s="15"/>
      <c r="F352" s="15"/>
      <c r="G352" s="15"/>
      <c r="H352" s="15"/>
      <c r="I352" s="15"/>
      <c r="J352" s="15"/>
      <c r="K352" s="15"/>
      <c r="L352" s="15"/>
      <c r="M352" s="15"/>
      <c r="N352" s="15"/>
      <c r="O352" s="15"/>
      <c r="P352" s="15"/>
      <c r="Q352" s="15"/>
      <c r="AS352" s="109">
        <v>6200</v>
      </c>
    </row>
    <row r="353" spans="1:45" x14ac:dyDescent="0.25">
      <c r="A353" s="15"/>
      <c r="B353" s="15"/>
      <c r="C353" s="15"/>
      <c r="D353" s="15"/>
      <c r="E353" s="15"/>
      <c r="F353" s="15"/>
      <c r="G353" s="15"/>
      <c r="H353" s="15"/>
      <c r="I353" s="15"/>
      <c r="J353" s="15"/>
      <c r="K353" s="15"/>
      <c r="L353" s="15"/>
      <c r="M353" s="15"/>
      <c r="N353" s="15"/>
      <c r="O353" s="15"/>
      <c r="P353" s="15"/>
      <c r="Q353" s="15"/>
      <c r="AS353" s="109">
        <v>6201</v>
      </c>
    </row>
    <row r="354" spans="1:45" x14ac:dyDescent="0.25">
      <c r="A354" s="15"/>
      <c r="B354" s="15"/>
      <c r="C354" s="15"/>
      <c r="D354" s="15"/>
      <c r="E354" s="15"/>
      <c r="F354" s="15"/>
      <c r="G354" s="15"/>
      <c r="H354" s="15"/>
      <c r="I354" s="15"/>
      <c r="J354" s="15"/>
      <c r="K354" s="15"/>
      <c r="L354" s="15"/>
      <c r="M354" s="15"/>
      <c r="N354" s="15"/>
      <c r="O354" s="15"/>
      <c r="P354" s="15"/>
      <c r="Q354" s="15"/>
      <c r="AS354" s="109">
        <v>6900</v>
      </c>
    </row>
    <row r="355" spans="1:45" x14ac:dyDescent="0.25">
      <c r="A355" s="15"/>
      <c r="B355" s="15"/>
      <c r="C355" s="15"/>
      <c r="D355" s="15"/>
      <c r="E355" s="15"/>
      <c r="F355" s="15"/>
      <c r="G355" s="15"/>
      <c r="H355" s="15"/>
      <c r="I355" s="15"/>
      <c r="J355" s="15"/>
      <c r="K355" s="15"/>
      <c r="L355" s="15"/>
      <c r="M355" s="15"/>
      <c r="N355" s="15"/>
      <c r="O355" s="15"/>
      <c r="P355" s="15"/>
      <c r="Q355" s="15"/>
      <c r="AS355" s="109">
        <v>7110</v>
      </c>
    </row>
    <row r="356" spans="1:45" x14ac:dyDescent="0.25">
      <c r="A356" s="15"/>
      <c r="B356" s="15"/>
      <c r="C356" s="15"/>
      <c r="D356" s="15"/>
      <c r="E356" s="15"/>
      <c r="F356" s="15"/>
      <c r="G356" s="15"/>
      <c r="H356" s="15"/>
      <c r="I356" s="15"/>
      <c r="J356" s="15"/>
      <c r="K356" s="15"/>
      <c r="L356" s="15"/>
      <c r="M356" s="15"/>
      <c r="N356" s="15"/>
      <c r="O356" s="15"/>
      <c r="P356" s="15"/>
      <c r="Q356" s="15"/>
      <c r="AS356" s="109">
        <v>7120</v>
      </c>
    </row>
    <row r="357" spans="1:45" x14ac:dyDescent="0.25">
      <c r="A357" s="15"/>
      <c r="B357" s="15"/>
      <c r="C357" s="15"/>
      <c r="D357" s="15"/>
      <c r="E357" s="15"/>
      <c r="F357" s="15"/>
      <c r="G357" s="15"/>
      <c r="H357" s="15"/>
      <c r="I357" s="15"/>
      <c r="J357" s="15"/>
      <c r="K357" s="15"/>
      <c r="L357" s="15"/>
      <c r="M357" s="15"/>
      <c r="N357" s="15"/>
      <c r="O357" s="15"/>
      <c r="P357" s="15"/>
      <c r="Q357" s="15"/>
      <c r="AS357" s="109">
        <v>7130</v>
      </c>
    </row>
    <row r="358" spans="1:45" x14ac:dyDescent="0.25">
      <c r="A358" s="15"/>
      <c r="B358" s="15"/>
      <c r="C358" s="15"/>
      <c r="D358" s="15"/>
      <c r="E358" s="15"/>
      <c r="F358" s="15"/>
      <c r="G358" s="15"/>
      <c r="H358" s="15"/>
      <c r="I358" s="15"/>
      <c r="J358" s="15"/>
      <c r="K358" s="15"/>
      <c r="L358" s="15"/>
      <c r="M358" s="15"/>
      <c r="N358" s="15"/>
      <c r="O358" s="15"/>
      <c r="P358" s="15"/>
      <c r="Q358" s="15"/>
      <c r="AS358" s="109">
        <v>7141</v>
      </c>
    </row>
    <row r="359" spans="1:45" x14ac:dyDescent="0.25">
      <c r="A359" s="15"/>
      <c r="B359" s="15"/>
      <c r="C359" s="15"/>
      <c r="D359" s="15"/>
      <c r="E359" s="15"/>
      <c r="F359" s="15"/>
      <c r="G359" s="15"/>
      <c r="H359" s="15"/>
      <c r="I359" s="15"/>
      <c r="J359" s="15"/>
      <c r="K359" s="15"/>
      <c r="L359" s="15"/>
      <c r="M359" s="15"/>
      <c r="N359" s="15"/>
      <c r="O359" s="15"/>
      <c r="P359" s="15"/>
      <c r="Q359" s="15"/>
      <c r="AS359" s="109">
        <v>7142</v>
      </c>
    </row>
    <row r="360" spans="1:45" x14ac:dyDescent="0.25">
      <c r="A360" s="15"/>
      <c r="B360" s="15"/>
      <c r="C360" s="15"/>
      <c r="D360" s="15"/>
      <c r="E360" s="15"/>
      <c r="F360" s="15"/>
      <c r="G360" s="15"/>
      <c r="H360" s="15"/>
      <c r="I360" s="15"/>
      <c r="J360" s="15"/>
      <c r="K360" s="15"/>
      <c r="L360" s="15"/>
      <c r="M360" s="15"/>
      <c r="N360" s="15"/>
      <c r="O360" s="15"/>
      <c r="P360" s="15"/>
      <c r="Q360" s="15"/>
      <c r="AS360" s="109">
        <v>7143</v>
      </c>
    </row>
    <row r="361" spans="1:45" x14ac:dyDescent="0.25">
      <c r="A361" s="15"/>
      <c r="B361" s="15"/>
      <c r="C361" s="15"/>
      <c r="D361" s="15"/>
      <c r="E361" s="15"/>
      <c r="F361" s="15"/>
      <c r="G361" s="15"/>
      <c r="H361" s="15"/>
      <c r="I361" s="15"/>
      <c r="J361" s="15"/>
      <c r="K361" s="15"/>
      <c r="L361" s="15"/>
      <c r="M361" s="15"/>
      <c r="N361" s="15"/>
      <c r="O361" s="15"/>
      <c r="P361" s="15"/>
      <c r="Q361" s="15"/>
      <c r="AS361" s="109">
        <v>7145</v>
      </c>
    </row>
    <row r="362" spans="1:45" x14ac:dyDescent="0.25">
      <c r="A362" s="15"/>
      <c r="B362" s="15"/>
      <c r="C362" s="15"/>
      <c r="D362" s="15"/>
      <c r="E362" s="15"/>
      <c r="F362" s="15"/>
      <c r="G362" s="15"/>
      <c r="H362" s="15"/>
      <c r="I362" s="15"/>
      <c r="J362" s="15"/>
      <c r="K362" s="15"/>
      <c r="L362" s="15"/>
      <c r="M362" s="15"/>
      <c r="N362" s="15"/>
      <c r="O362" s="15"/>
      <c r="P362" s="15"/>
      <c r="Q362" s="15"/>
      <c r="AS362" s="109">
        <v>7147</v>
      </c>
    </row>
    <row r="363" spans="1:45" x14ac:dyDescent="0.25">
      <c r="A363" s="15"/>
      <c r="B363" s="15"/>
      <c r="C363" s="15"/>
      <c r="D363" s="15"/>
      <c r="E363" s="15"/>
      <c r="F363" s="15"/>
      <c r="G363" s="15"/>
      <c r="H363" s="15"/>
      <c r="I363" s="15"/>
      <c r="J363" s="15"/>
      <c r="K363" s="15"/>
      <c r="L363" s="15"/>
      <c r="M363" s="15"/>
      <c r="N363" s="15"/>
      <c r="O363" s="15"/>
      <c r="P363" s="15"/>
      <c r="Q363" s="15"/>
      <c r="AS363" s="109">
        <v>7210</v>
      </c>
    </row>
    <row r="364" spans="1:45" x14ac:dyDescent="0.25">
      <c r="A364" s="15"/>
      <c r="B364" s="15"/>
      <c r="C364" s="15"/>
      <c r="D364" s="15"/>
      <c r="E364" s="15"/>
      <c r="F364" s="15"/>
      <c r="G364" s="15"/>
      <c r="H364" s="15"/>
      <c r="I364" s="15"/>
      <c r="J364" s="15"/>
      <c r="K364" s="15"/>
      <c r="L364" s="15"/>
      <c r="M364" s="15"/>
      <c r="N364" s="15"/>
      <c r="O364" s="15"/>
      <c r="P364" s="15"/>
      <c r="Q364" s="15"/>
      <c r="AS364" s="109">
        <v>7212</v>
      </c>
    </row>
    <row r="365" spans="1:45" x14ac:dyDescent="0.25">
      <c r="A365" s="15"/>
      <c r="B365" s="15"/>
      <c r="C365" s="15"/>
      <c r="D365" s="15"/>
      <c r="E365" s="15"/>
      <c r="F365" s="15"/>
      <c r="G365" s="15"/>
      <c r="H365" s="15"/>
      <c r="I365" s="15"/>
      <c r="J365" s="15"/>
      <c r="K365" s="15"/>
      <c r="L365" s="15"/>
      <c r="M365" s="15"/>
      <c r="N365" s="15"/>
      <c r="O365" s="15"/>
      <c r="P365" s="15"/>
      <c r="Q365" s="15"/>
      <c r="AS365" s="109">
        <v>7213</v>
      </c>
    </row>
    <row r="366" spans="1:45" x14ac:dyDescent="0.25">
      <c r="A366" s="15"/>
      <c r="B366" s="15"/>
      <c r="C366" s="15"/>
      <c r="D366" s="15"/>
      <c r="E366" s="15"/>
      <c r="F366" s="15"/>
      <c r="G366" s="15"/>
      <c r="H366" s="15"/>
      <c r="I366" s="15"/>
      <c r="J366" s="15"/>
      <c r="K366" s="15"/>
      <c r="L366" s="15"/>
      <c r="M366" s="15"/>
      <c r="N366" s="15"/>
      <c r="O366" s="15"/>
      <c r="P366" s="15"/>
      <c r="Q366" s="15"/>
      <c r="AS366" s="109">
        <v>7214</v>
      </c>
    </row>
    <row r="367" spans="1:45" x14ac:dyDescent="0.25">
      <c r="A367" s="15"/>
      <c r="B367" s="15"/>
      <c r="C367" s="15"/>
      <c r="D367" s="15"/>
      <c r="E367" s="15"/>
      <c r="F367" s="15"/>
      <c r="G367" s="15"/>
      <c r="H367" s="15"/>
      <c r="I367" s="15"/>
      <c r="J367" s="15"/>
      <c r="K367" s="15"/>
      <c r="L367" s="15"/>
      <c r="M367" s="15"/>
      <c r="N367" s="15"/>
      <c r="O367" s="15"/>
      <c r="P367" s="15"/>
      <c r="Q367" s="15"/>
      <c r="AS367" s="109">
        <v>7215</v>
      </c>
    </row>
    <row r="368" spans="1:45" x14ac:dyDescent="0.25">
      <c r="A368" s="15"/>
      <c r="B368" s="15"/>
      <c r="C368" s="15"/>
      <c r="D368" s="15"/>
      <c r="E368" s="15"/>
      <c r="F368" s="15"/>
      <c r="G368" s="15"/>
      <c r="H368" s="15"/>
      <c r="I368" s="15"/>
      <c r="J368" s="15"/>
      <c r="K368" s="15"/>
      <c r="L368" s="15"/>
      <c r="M368" s="15"/>
      <c r="N368" s="15"/>
      <c r="O368" s="15"/>
      <c r="P368" s="15"/>
      <c r="Q368" s="15"/>
      <c r="AS368" s="109">
        <v>7218</v>
      </c>
    </row>
    <row r="369" spans="1:45" x14ac:dyDescent="0.25">
      <c r="A369" s="15"/>
      <c r="B369" s="15"/>
      <c r="C369" s="15"/>
      <c r="D369" s="15"/>
      <c r="E369" s="15"/>
      <c r="F369" s="15"/>
      <c r="G369" s="15"/>
      <c r="H369" s="15"/>
      <c r="I369" s="15"/>
      <c r="J369" s="15"/>
      <c r="K369" s="15"/>
      <c r="L369" s="15"/>
      <c r="M369" s="15"/>
      <c r="N369" s="15"/>
      <c r="O369" s="15"/>
      <c r="P369" s="15"/>
      <c r="Q369" s="15"/>
      <c r="AS369" s="109">
        <v>7220</v>
      </c>
    </row>
    <row r="370" spans="1:45" x14ac:dyDescent="0.25">
      <c r="A370" s="15"/>
      <c r="B370" s="15"/>
      <c r="C370" s="15"/>
      <c r="D370" s="15"/>
      <c r="E370" s="15"/>
      <c r="F370" s="15"/>
      <c r="G370" s="15"/>
      <c r="H370" s="15"/>
      <c r="I370" s="15"/>
      <c r="J370" s="15"/>
      <c r="K370" s="15"/>
      <c r="L370" s="15"/>
      <c r="M370" s="15"/>
      <c r="N370" s="15"/>
      <c r="O370" s="15"/>
      <c r="P370" s="15"/>
      <c r="Q370" s="15"/>
      <c r="AS370" s="109">
        <v>7231</v>
      </c>
    </row>
    <row r="371" spans="1:45" x14ac:dyDescent="0.25">
      <c r="A371" s="15"/>
      <c r="B371" s="15"/>
      <c r="C371" s="15"/>
      <c r="D371" s="15"/>
      <c r="E371" s="15"/>
      <c r="F371" s="15"/>
      <c r="G371" s="15"/>
      <c r="H371" s="15"/>
      <c r="I371" s="15"/>
      <c r="J371" s="15"/>
      <c r="K371" s="15"/>
      <c r="L371" s="15"/>
      <c r="M371" s="15"/>
      <c r="N371" s="15"/>
      <c r="O371" s="15"/>
      <c r="P371" s="15"/>
      <c r="Q371" s="15"/>
      <c r="AS371" s="109">
        <v>7232</v>
      </c>
    </row>
    <row r="372" spans="1:45" x14ac:dyDescent="0.25">
      <c r="A372" s="15"/>
      <c r="B372" s="15"/>
      <c r="C372" s="15"/>
      <c r="D372" s="15"/>
      <c r="E372" s="15"/>
      <c r="F372" s="15"/>
      <c r="G372" s="15"/>
      <c r="H372" s="15"/>
      <c r="I372" s="15"/>
      <c r="J372" s="15"/>
      <c r="K372" s="15"/>
      <c r="L372" s="15"/>
      <c r="M372" s="15"/>
      <c r="N372" s="15"/>
      <c r="O372" s="15"/>
      <c r="P372" s="15"/>
      <c r="Q372" s="15"/>
      <c r="AS372" s="109">
        <v>7233</v>
      </c>
    </row>
    <row r="373" spans="1:45" x14ac:dyDescent="0.25">
      <c r="A373" s="15"/>
      <c r="B373" s="15"/>
      <c r="C373" s="15"/>
      <c r="D373" s="15"/>
      <c r="E373" s="15"/>
      <c r="F373" s="15"/>
      <c r="G373" s="15"/>
      <c r="H373" s="15"/>
      <c r="I373" s="15"/>
      <c r="J373" s="15"/>
      <c r="K373" s="15"/>
      <c r="L373" s="15"/>
      <c r="M373" s="15"/>
      <c r="N373" s="15"/>
      <c r="O373" s="15"/>
      <c r="P373" s="15"/>
      <c r="Q373" s="15"/>
      <c r="AS373" s="109">
        <v>7234</v>
      </c>
    </row>
    <row r="374" spans="1:45" x14ac:dyDescent="0.25">
      <c r="A374" s="15"/>
      <c r="B374" s="15"/>
      <c r="C374" s="15"/>
      <c r="D374" s="15"/>
      <c r="E374" s="15"/>
      <c r="F374" s="15"/>
      <c r="G374" s="15"/>
      <c r="H374" s="15"/>
      <c r="I374" s="15"/>
      <c r="J374" s="15"/>
      <c r="K374" s="15"/>
      <c r="L374" s="15"/>
      <c r="M374" s="15"/>
      <c r="N374" s="15"/>
      <c r="O374" s="15"/>
      <c r="P374" s="15"/>
      <c r="Q374" s="15"/>
      <c r="AS374" s="109">
        <v>7235</v>
      </c>
    </row>
    <row r="375" spans="1:45" x14ac:dyDescent="0.25">
      <c r="A375" s="15"/>
      <c r="B375" s="15"/>
      <c r="C375" s="15"/>
      <c r="D375" s="15"/>
      <c r="E375" s="15"/>
      <c r="F375" s="15"/>
      <c r="G375" s="15"/>
      <c r="H375" s="15"/>
      <c r="I375" s="15"/>
      <c r="J375" s="15"/>
      <c r="K375" s="15"/>
      <c r="L375" s="15"/>
      <c r="M375" s="15"/>
      <c r="N375" s="15"/>
      <c r="O375" s="15"/>
      <c r="P375" s="15"/>
      <c r="Q375" s="15"/>
      <c r="AS375" s="109">
        <v>7236</v>
      </c>
    </row>
    <row r="376" spans="1:45" x14ac:dyDescent="0.25">
      <c r="A376" s="15"/>
      <c r="B376" s="15"/>
      <c r="C376" s="15"/>
      <c r="D376" s="15"/>
      <c r="E376" s="15"/>
      <c r="F376" s="15"/>
      <c r="G376" s="15"/>
      <c r="H376" s="15"/>
      <c r="I376" s="15"/>
      <c r="J376" s="15"/>
      <c r="K376" s="15"/>
      <c r="L376" s="15"/>
      <c r="M376" s="15"/>
      <c r="N376" s="15"/>
      <c r="O376" s="15"/>
      <c r="P376" s="15"/>
      <c r="Q376" s="15"/>
      <c r="AS376" s="109">
        <v>7240</v>
      </c>
    </row>
    <row r="377" spans="1:45" x14ac:dyDescent="0.25">
      <c r="A377" s="15"/>
      <c r="B377" s="15"/>
      <c r="C377" s="15"/>
      <c r="D377" s="15"/>
      <c r="E377" s="15"/>
      <c r="F377" s="15"/>
      <c r="G377" s="15"/>
      <c r="H377" s="15"/>
      <c r="I377" s="15"/>
      <c r="J377" s="15"/>
      <c r="K377" s="15"/>
      <c r="L377" s="15"/>
      <c r="M377" s="15"/>
      <c r="N377" s="15"/>
      <c r="O377" s="15"/>
      <c r="P377" s="15"/>
      <c r="Q377" s="15"/>
      <c r="AS377" s="109">
        <v>7241</v>
      </c>
    </row>
    <row r="378" spans="1:45" x14ac:dyDescent="0.25">
      <c r="A378" s="15"/>
      <c r="B378" s="15"/>
      <c r="C378" s="15"/>
      <c r="D378" s="15"/>
      <c r="E378" s="15"/>
      <c r="F378" s="15"/>
      <c r="G378" s="15"/>
      <c r="H378" s="15"/>
      <c r="I378" s="15"/>
      <c r="J378" s="15"/>
      <c r="K378" s="15"/>
      <c r="L378" s="15"/>
      <c r="M378" s="15"/>
      <c r="N378" s="15"/>
      <c r="O378" s="15"/>
      <c r="P378" s="15"/>
      <c r="Q378" s="15"/>
      <c r="AS378" s="109">
        <v>7242</v>
      </c>
    </row>
    <row r="379" spans="1:45" x14ac:dyDescent="0.25">
      <c r="A379" s="15"/>
      <c r="B379" s="15"/>
      <c r="C379" s="15"/>
      <c r="D379" s="15"/>
      <c r="E379" s="15"/>
      <c r="F379" s="15"/>
      <c r="G379" s="15"/>
      <c r="H379" s="15"/>
      <c r="I379" s="15"/>
      <c r="J379" s="15"/>
      <c r="K379" s="15"/>
      <c r="L379" s="15"/>
      <c r="M379" s="15"/>
      <c r="N379" s="15"/>
      <c r="O379" s="15"/>
      <c r="P379" s="15"/>
      <c r="Q379" s="15"/>
      <c r="AS379" s="109">
        <v>7250</v>
      </c>
    </row>
    <row r="380" spans="1:45" x14ac:dyDescent="0.25">
      <c r="A380" s="15"/>
      <c r="B380" s="15"/>
      <c r="C380" s="15"/>
      <c r="D380" s="15"/>
      <c r="E380" s="15"/>
      <c r="F380" s="15"/>
      <c r="G380" s="15"/>
      <c r="H380" s="15"/>
      <c r="I380" s="15"/>
      <c r="J380" s="15"/>
      <c r="K380" s="15"/>
      <c r="L380" s="15"/>
      <c r="M380" s="15"/>
      <c r="N380" s="15"/>
      <c r="O380" s="15"/>
      <c r="P380" s="15"/>
      <c r="Q380" s="15"/>
      <c r="AS380" s="109">
        <v>7251</v>
      </c>
    </row>
    <row r="381" spans="1:45" x14ac:dyDescent="0.25">
      <c r="A381" s="15"/>
      <c r="B381" s="15"/>
      <c r="C381" s="15"/>
      <c r="D381" s="15"/>
      <c r="E381" s="15"/>
      <c r="F381" s="15"/>
      <c r="G381" s="15"/>
      <c r="H381" s="15"/>
      <c r="I381" s="15"/>
      <c r="J381" s="15"/>
      <c r="K381" s="15"/>
      <c r="L381" s="15"/>
      <c r="M381" s="15"/>
      <c r="N381" s="15"/>
      <c r="O381" s="15"/>
      <c r="P381" s="15"/>
      <c r="Q381" s="15"/>
      <c r="AS381" s="109">
        <v>7311</v>
      </c>
    </row>
    <row r="382" spans="1:45" x14ac:dyDescent="0.25">
      <c r="A382" s="15"/>
      <c r="B382" s="15"/>
      <c r="C382" s="15"/>
      <c r="D382" s="15"/>
      <c r="E382" s="15"/>
      <c r="F382" s="15"/>
      <c r="G382" s="15"/>
      <c r="H382" s="15"/>
      <c r="I382" s="15"/>
      <c r="J382" s="15"/>
      <c r="K382" s="15"/>
      <c r="L382" s="15"/>
      <c r="M382" s="15"/>
      <c r="N382" s="15"/>
      <c r="O382" s="15"/>
      <c r="P382" s="15"/>
      <c r="Q382" s="15"/>
      <c r="AS382" s="109">
        <v>7312</v>
      </c>
    </row>
    <row r="383" spans="1:45" x14ac:dyDescent="0.25">
      <c r="A383" s="15"/>
      <c r="B383" s="15"/>
      <c r="C383" s="15"/>
      <c r="D383" s="15"/>
      <c r="E383" s="15"/>
      <c r="F383" s="15"/>
      <c r="G383" s="15"/>
      <c r="H383" s="15"/>
      <c r="I383" s="15"/>
      <c r="J383" s="15"/>
      <c r="K383" s="15"/>
      <c r="L383" s="15"/>
      <c r="M383" s="15"/>
      <c r="N383" s="15"/>
      <c r="O383" s="15"/>
      <c r="P383" s="15"/>
      <c r="Q383" s="15"/>
      <c r="AS383" s="109">
        <v>7313</v>
      </c>
    </row>
    <row r="384" spans="1:45" x14ac:dyDescent="0.25">
      <c r="A384" s="15"/>
      <c r="B384" s="15"/>
      <c r="C384" s="15"/>
      <c r="D384" s="15"/>
      <c r="E384" s="15"/>
      <c r="F384" s="15"/>
      <c r="G384" s="15"/>
      <c r="H384" s="15"/>
      <c r="I384" s="15"/>
      <c r="J384" s="15"/>
      <c r="K384" s="15"/>
      <c r="L384" s="15"/>
      <c r="M384" s="15"/>
      <c r="N384" s="15"/>
      <c r="O384" s="15"/>
      <c r="P384" s="15"/>
      <c r="Q384" s="15"/>
      <c r="AS384" s="109">
        <v>7314</v>
      </c>
    </row>
    <row r="385" spans="1:45" x14ac:dyDescent="0.25">
      <c r="A385" s="15"/>
      <c r="B385" s="15"/>
      <c r="C385" s="15"/>
      <c r="D385" s="15"/>
      <c r="E385" s="15"/>
      <c r="F385" s="15"/>
      <c r="G385" s="15"/>
      <c r="H385" s="15"/>
      <c r="I385" s="15"/>
      <c r="J385" s="15"/>
      <c r="K385" s="15"/>
      <c r="L385" s="15"/>
      <c r="M385" s="15"/>
      <c r="N385" s="15"/>
      <c r="O385" s="15"/>
      <c r="P385" s="15"/>
      <c r="Q385" s="15"/>
      <c r="AS385" s="109">
        <v>7321</v>
      </c>
    </row>
    <row r="386" spans="1:45" x14ac:dyDescent="0.25">
      <c r="A386" s="15"/>
      <c r="B386" s="15"/>
      <c r="C386" s="15"/>
      <c r="D386" s="15"/>
      <c r="E386" s="15"/>
      <c r="F386" s="15"/>
      <c r="G386" s="15"/>
      <c r="H386" s="15"/>
      <c r="I386" s="15"/>
      <c r="J386" s="15"/>
      <c r="K386" s="15"/>
      <c r="L386" s="15"/>
      <c r="M386" s="15"/>
      <c r="N386" s="15"/>
      <c r="O386" s="15"/>
      <c r="P386" s="15"/>
      <c r="Q386" s="15"/>
      <c r="AS386" s="109">
        <v>7322</v>
      </c>
    </row>
    <row r="387" spans="1:45" x14ac:dyDescent="0.25">
      <c r="A387" s="15"/>
      <c r="B387" s="15"/>
      <c r="C387" s="15"/>
      <c r="D387" s="15"/>
      <c r="E387" s="15"/>
      <c r="F387" s="15"/>
      <c r="G387" s="15"/>
      <c r="H387" s="15"/>
      <c r="I387" s="15"/>
      <c r="J387" s="15"/>
      <c r="K387" s="15"/>
      <c r="L387" s="15"/>
      <c r="M387" s="15"/>
      <c r="N387" s="15"/>
      <c r="O387" s="15"/>
      <c r="P387" s="15"/>
      <c r="Q387" s="15"/>
      <c r="AS387" s="109">
        <v>7323</v>
      </c>
    </row>
    <row r="388" spans="1:45" x14ac:dyDescent="0.25">
      <c r="A388" s="15"/>
      <c r="B388" s="15"/>
      <c r="C388" s="15"/>
      <c r="D388" s="15"/>
      <c r="E388" s="15"/>
      <c r="F388" s="15"/>
      <c r="G388" s="15"/>
      <c r="H388" s="15"/>
      <c r="I388" s="15"/>
      <c r="J388" s="15"/>
      <c r="K388" s="15"/>
      <c r="L388" s="15"/>
      <c r="M388" s="15"/>
      <c r="N388" s="15"/>
      <c r="O388" s="15"/>
      <c r="P388" s="15"/>
      <c r="Q388" s="15"/>
      <c r="AS388" s="109">
        <v>7331</v>
      </c>
    </row>
    <row r="389" spans="1:45" x14ac:dyDescent="0.25">
      <c r="A389" s="15"/>
      <c r="B389" s="15"/>
      <c r="C389" s="15"/>
      <c r="D389" s="15"/>
      <c r="E389" s="15"/>
      <c r="F389" s="15"/>
      <c r="G389" s="15"/>
      <c r="H389" s="15"/>
      <c r="I389" s="15"/>
      <c r="J389" s="15"/>
      <c r="K389" s="15"/>
      <c r="L389" s="15"/>
      <c r="M389" s="15"/>
      <c r="N389" s="15"/>
      <c r="O389" s="15"/>
      <c r="P389" s="15"/>
      <c r="Q389" s="15"/>
      <c r="AS389" s="109">
        <v>7332</v>
      </c>
    </row>
    <row r="390" spans="1:45" x14ac:dyDescent="0.25">
      <c r="A390" s="15"/>
      <c r="B390" s="15"/>
      <c r="C390" s="15"/>
      <c r="D390" s="15"/>
      <c r="E390" s="15"/>
      <c r="F390" s="15"/>
      <c r="G390" s="15"/>
      <c r="H390" s="15"/>
      <c r="I390" s="15"/>
      <c r="J390" s="15"/>
      <c r="K390" s="15"/>
      <c r="L390" s="15"/>
      <c r="M390" s="15"/>
      <c r="N390" s="15"/>
      <c r="O390" s="15"/>
      <c r="P390" s="15"/>
      <c r="Q390" s="15"/>
      <c r="AS390" s="109">
        <v>7333</v>
      </c>
    </row>
    <row r="391" spans="1:45" x14ac:dyDescent="0.25">
      <c r="A391" s="15"/>
      <c r="B391" s="15"/>
      <c r="C391" s="15"/>
      <c r="D391" s="15"/>
      <c r="E391" s="15"/>
      <c r="F391" s="15"/>
      <c r="G391" s="15"/>
      <c r="H391" s="15"/>
      <c r="I391" s="15"/>
      <c r="J391" s="15"/>
      <c r="K391" s="15"/>
      <c r="L391" s="15"/>
      <c r="M391" s="15"/>
      <c r="N391" s="15"/>
      <c r="O391" s="15"/>
      <c r="P391" s="15"/>
      <c r="Q391" s="15"/>
      <c r="AS391" s="109">
        <v>7340</v>
      </c>
    </row>
    <row r="392" spans="1:45" x14ac:dyDescent="0.25">
      <c r="A392" s="15"/>
      <c r="B392" s="15"/>
      <c r="C392" s="15"/>
      <c r="D392" s="15"/>
      <c r="E392" s="15"/>
      <c r="F392" s="15"/>
      <c r="G392" s="15"/>
      <c r="H392" s="15"/>
      <c r="I392" s="15"/>
      <c r="J392" s="15"/>
      <c r="K392" s="15"/>
      <c r="L392" s="15"/>
      <c r="M392" s="15"/>
      <c r="N392" s="15"/>
      <c r="O392" s="15"/>
      <c r="P392" s="15"/>
      <c r="Q392" s="15"/>
      <c r="AS392" s="109">
        <v>7341</v>
      </c>
    </row>
    <row r="393" spans="1:45" x14ac:dyDescent="0.25">
      <c r="A393" s="15"/>
      <c r="B393" s="15"/>
      <c r="C393" s="15"/>
      <c r="D393" s="15"/>
      <c r="E393" s="15"/>
      <c r="F393" s="15"/>
      <c r="G393" s="15"/>
      <c r="H393" s="15"/>
      <c r="I393" s="15"/>
      <c r="J393" s="15"/>
      <c r="K393" s="15"/>
      <c r="L393" s="15"/>
      <c r="M393" s="15"/>
      <c r="N393" s="15"/>
      <c r="O393" s="15"/>
      <c r="P393" s="15"/>
      <c r="Q393" s="15"/>
      <c r="AS393" s="109">
        <v>7342</v>
      </c>
    </row>
    <row r="394" spans="1:45" x14ac:dyDescent="0.25">
      <c r="A394" s="15"/>
      <c r="B394" s="15"/>
      <c r="C394" s="15"/>
      <c r="D394" s="15"/>
      <c r="E394" s="15"/>
      <c r="F394" s="15"/>
      <c r="G394" s="15"/>
      <c r="H394" s="15"/>
      <c r="I394" s="15"/>
      <c r="J394" s="15"/>
      <c r="K394" s="15"/>
      <c r="L394" s="15"/>
      <c r="M394" s="15"/>
      <c r="N394" s="15"/>
      <c r="O394" s="15"/>
      <c r="P394" s="15"/>
      <c r="Q394" s="15"/>
      <c r="AS394" s="109">
        <v>7343</v>
      </c>
    </row>
    <row r="395" spans="1:45" x14ac:dyDescent="0.25">
      <c r="A395" s="15"/>
      <c r="B395" s="15"/>
      <c r="C395" s="15"/>
      <c r="D395" s="15"/>
      <c r="E395" s="15"/>
      <c r="F395" s="15"/>
      <c r="G395" s="15"/>
      <c r="H395" s="15"/>
      <c r="I395" s="15"/>
      <c r="J395" s="15"/>
      <c r="K395" s="15"/>
      <c r="L395" s="15"/>
      <c r="M395" s="15"/>
      <c r="N395" s="15"/>
      <c r="O395" s="15"/>
      <c r="P395" s="15"/>
      <c r="Q395" s="15"/>
      <c r="AS395" s="109">
        <v>7344</v>
      </c>
    </row>
    <row r="396" spans="1:45" x14ac:dyDescent="0.25">
      <c r="A396" s="15"/>
      <c r="B396" s="15"/>
      <c r="C396" s="15"/>
      <c r="D396" s="15"/>
      <c r="E396" s="15"/>
      <c r="F396" s="15"/>
      <c r="G396" s="15"/>
      <c r="H396" s="15"/>
      <c r="I396" s="15"/>
      <c r="J396" s="15"/>
      <c r="K396" s="15"/>
      <c r="L396" s="15"/>
      <c r="M396" s="15"/>
      <c r="N396" s="15"/>
      <c r="O396" s="15"/>
      <c r="P396" s="15"/>
      <c r="Q396" s="15"/>
      <c r="AS396" s="109">
        <v>7345</v>
      </c>
    </row>
    <row r="397" spans="1:45" x14ac:dyDescent="0.25">
      <c r="A397" s="15"/>
      <c r="B397" s="15"/>
      <c r="C397" s="15"/>
      <c r="D397" s="15"/>
      <c r="E397" s="15"/>
      <c r="F397" s="15"/>
      <c r="G397" s="15"/>
      <c r="H397" s="15"/>
      <c r="I397" s="15"/>
      <c r="J397" s="15"/>
      <c r="K397" s="15"/>
      <c r="L397" s="15"/>
      <c r="M397" s="15"/>
      <c r="N397" s="15"/>
      <c r="O397" s="15"/>
      <c r="P397" s="15"/>
      <c r="Q397" s="15"/>
      <c r="AS397" s="109">
        <v>7346</v>
      </c>
    </row>
    <row r="398" spans="1:45" x14ac:dyDescent="0.25">
      <c r="A398" s="15"/>
      <c r="B398" s="15"/>
      <c r="C398" s="15"/>
      <c r="D398" s="15"/>
      <c r="E398" s="15"/>
      <c r="F398" s="15"/>
      <c r="G398" s="15"/>
      <c r="H398" s="15"/>
      <c r="I398" s="15"/>
      <c r="J398" s="15"/>
      <c r="K398" s="15"/>
      <c r="L398" s="15"/>
      <c r="M398" s="15"/>
      <c r="N398" s="15"/>
      <c r="O398" s="15"/>
      <c r="P398" s="15"/>
      <c r="Q398" s="15"/>
      <c r="AS398" s="109">
        <v>7347</v>
      </c>
    </row>
    <row r="399" spans="1:45" x14ac:dyDescent="0.25">
      <c r="A399" s="15"/>
      <c r="B399" s="15"/>
      <c r="C399" s="15"/>
      <c r="D399" s="15"/>
      <c r="E399" s="15"/>
      <c r="F399" s="15"/>
      <c r="G399" s="15"/>
      <c r="H399" s="15"/>
      <c r="I399" s="15"/>
      <c r="J399" s="15"/>
      <c r="K399" s="15"/>
      <c r="L399" s="15"/>
      <c r="M399" s="15"/>
      <c r="N399" s="15"/>
      <c r="O399" s="15"/>
      <c r="P399" s="15"/>
      <c r="Q399" s="15"/>
      <c r="AS399" s="109">
        <v>7348</v>
      </c>
    </row>
    <row r="400" spans="1:45" x14ac:dyDescent="0.25">
      <c r="A400" s="15"/>
      <c r="B400" s="15"/>
      <c r="C400" s="15"/>
      <c r="D400" s="15"/>
      <c r="E400" s="15"/>
      <c r="F400" s="15"/>
      <c r="G400" s="15"/>
      <c r="H400" s="15"/>
      <c r="I400" s="15"/>
      <c r="J400" s="15"/>
      <c r="K400" s="15"/>
      <c r="L400" s="15"/>
      <c r="M400" s="15"/>
      <c r="N400" s="15"/>
      <c r="O400" s="15"/>
      <c r="P400" s="15"/>
      <c r="Q400" s="15"/>
      <c r="AS400" s="109">
        <v>7349</v>
      </c>
    </row>
    <row r="401" spans="1:45" x14ac:dyDescent="0.25">
      <c r="A401" s="15"/>
      <c r="B401" s="15"/>
      <c r="C401" s="15"/>
      <c r="D401" s="15"/>
      <c r="E401" s="15"/>
      <c r="F401" s="15"/>
      <c r="G401" s="15"/>
      <c r="H401" s="15"/>
      <c r="I401" s="15"/>
      <c r="J401" s="15"/>
      <c r="K401" s="15"/>
      <c r="L401" s="15"/>
      <c r="M401" s="15"/>
      <c r="N401" s="15"/>
      <c r="O401" s="15"/>
      <c r="P401" s="15"/>
      <c r="Q401" s="15"/>
      <c r="AS401" s="109">
        <v>7351</v>
      </c>
    </row>
    <row r="402" spans="1:45" x14ac:dyDescent="0.25">
      <c r="A402" s="15"/>
      <c r="B402" s="15"/>
      <c r="C402" s="15"/>
      <c r="D402" s="15"/>
      <c r="E402" s="15"/>
      <c r="F402" s="15"/>
      <c r="G402" s="15"/>
      <c r="H402" s="15"/>
      <c r="I402" s="15"/>
      <c r="J402" s="15"/>
      <c r="K402" s="15"/>
      <c r="L402" s="15"/>
      <c r="M402" s="15"/>
      <c r="N402" s="15"/>
      <c r="O402" s="15"/>
      <c r="P402" s="15"/>
      <c r="Q402" s="15"/>
      <c r="AS402" s="109">
        <v>7352</v>
      </c>
    </row>
    <row r="403" spans="1:45" x14ac:dyDescent="0.25">
      <c r="A403" s="15"/>
      <c r="B403" s="15"/>
      <c r="C403" s="15"/>
      <c r="D403" s="15"/>
      <c r="E403" s="15"/>
      <c r="F403" s="15"/>
      <c r="G403" s="15"/>
      <c r="H403" s="15"/>
      <c r="I403" s="15"/>
      <c r="J403" s="15"/>
      <c r="K403" s="15"/>
      <c r="L403" s="15"/>
      <c r="M403" s="15"/>
      <c r="N403" s="15"/>
      <c r="O403" s="15"/>
      <c r="P403" s="15"/>
      <c r="Q403" s="15"/>
      <c r="AS403" s="109">
        <v>7353</v>
      </c>
    </row>
    <row r="404" spans="1:45" x14ac:dyDescent="0.25">
      <c r="A404" s="15"/>
      <c r="B404" s="15"/>
      <c r="C404" s="15"/>
      <c r="D404" s="15"/>
      <c r="E404" s="15"/>
      <c r="F404" s="15"/>
      <c r="G404" s="15"/>
      <c r="H404" s="15"/>
      <c r="I404" s="15"/>
      <c r="J404" s="15"/>
      <c r="K404" s="15"/>
      <c r="L404" s="15"/>
      <c r="M404" s="15"/>
      <c r="N404" s="15"/>
      <c r="O404" s="15"/>
      <c r="P404" s="15"/>
      <c r="Q404" s="15"/>
      <c r="AS404" s="109">
        <v>7354</v>
      </c>
    </row>
    <row r="405" spans="1:45" x14ac:dyDescent="0.25">
      <c r="A405" s="15"/>
      <c r="B405" s="15"/>
      <c r="C405" s="15"/>
      <c r="D405" s="15"/>
      <c r="E405" s="15"/>
      <c r="F405" s="15"/>
      <c r="G405" s="15"/>
      <c r="H405" s="15"/>
      <c r="I405" s="15"/>
      <c r="J405" s="15"/>
      <c r="K405" s="15"/>
      <c r="L405" s="15"/>
      <c r="M405" s="15"/>
      <c r="N405" s="15"/>
      <c r="O405" s="15"/>
      <c r="P405" s="15"/>
      <c r="Q405" s="15"/>
      <c r="AS405" s="109">
        <v>7361</v>
      </c>
    </row>
    <row r="406" spans="1:45" x14ac:dyDescent="0.25">
      <c r="A406" s="15"/>
      <c r="B406" s="15"/>
      <c r="C406" s="15"/>
      <c r="D406" s="15"/>
      <c r="E406" s="15"/>
      <c r="F406" s="15"/>
      <c r="G406" s="15"/>
      <c r="H406" s="15"/>
      <c r="I406" s="15"/>
      <c r="J406" s="15"/>
      <c r="K406" s="15"/>
      <c r="L406" s="15"/>
      <c r="M406" s="15"/>
      <c r="N406" s="15"/>
      <c r="O406" s="15"/>
      <c r="P406" s="15"/>
      <c r="Q406" s="15"/>
      <c r="AS406" s="109">
        <v>7362</v>
      </c>
    </row>
    <row r="407" spans="1:45" x14ac:dyDescent="0.25">
      <c r="A407" s="15"/>
      <c r="B407" s="15"/>
      <c r="C407" s="15"/>
      <c r="D407" s="15"/>
      <c r="E407" s="15"/>
      <c r="F407" s="15"/>
      <c r="G407" s="15"/>
      <c r="H407" s="15"/>
      <c r="I407" s="15"/>
      <c r="J407" s="15"/>
      <c r="K407" s="15"/>
      <c r="L407" s="15"/>
      <c r="M407" s="15"/>
      <c r="N407" s="15"/>
      <c r="O407" s="15"/>
      <c r="P407" s="15"/>
      <c r="Q407" s="15"/>
      <c r="AS407" s="109">
        <v>7371</v>
      </c>
    </row>
    <row r="408" spans="1:45" x14ac:dyDescent="0.25">
      <c r="A408" s="15"/>
      <c r="B408" s="15"/>
      <c r="C408" s="15"/>
      <c r="D408" s="15"/>
      <c r="E408" s="15"/>
      <c r="F408" s="15"/>
      <c r="G408" s="15"/>
      <c r="H408" s="15"/>
      <c r="I408" s="15"/>
      <c r="J408" s="15"/>
      <c r="K408" s="15"/>
      <c r="L408" s="15"/>
      <c r="M408" s="15"/>
      <c r="N408" s="15"/>
      <c r="O408" s="15"/>
      <c r="P408" s="15"/>
      <c r="Q408" s="15"/>
      <c r="AS408" s="109">
        <v>7372</v>
      </c>
    </row>
    <row r="409" spans="1:45" x14ac:dyDescent="0.25">
      <c r="A409" s="15"/>
      <c r="B409" s="15"/>
      <c r="C409" s="15"/>
      <c r="D409" s="15"/>
      <c r="E409" s="15"/>
      <c r="F409" s="15"/>
      <c r="G409" s="15"/>
      <c r="H409" s="15"/>
      <c r="I409" s="15"/>
      <c r="J409" s="15"/>
      <c r="K409" s="15"/>
      <c r="L409" s="15"/>
      <c r="M409" s="15"/>
      <c r="N409" s="15"/>
      <c r="O409" s="15"/>
      <c r="P409" s="15"/>
      <c r="Q409" s="15"/>
      <c r="AS409" s="109">
        <v>7380</v>
      </c>
    </row>
    <row r="410" spans="1:45" x14ac:dyDescent="0.25">
      <c r="A410" s="15"/>
      <c r="B410" s="15"/>
      <c r="C410" s="15"/>
      <c r="D410" s="15"/>
      <c r="E410" s="15"/>
      <c r="F410" s="15"/>
      <c r="G410" s="15"/>
      <c r="H410" s="15"/>
      <c r="I410" s="15"/>
      <c r="J410" s="15"/>
      <c r="K410" s="15"/>
      <c r="L410" s="15"/>
      <c r="M410" s="15"/>
      <c r="N410" s="15"/>
      <c r="O410" s="15"/>
      <c r="P410" s="15"/>
      <c r="Q410" s="15"/>
      <c r="AS410" s="109">
        <v>7381</v>
      </c>
    </row>
    <row r="411" spans="1:45" x14ac:dyDescent="0.25">
      <c r="A411" s="15"/>
      <c r="B411" s="15"/>
      <c r="C411" s="15"/>
      <c r="D411" s="15"/>
      <c r="E411" s="15"/>
      <c r="F411" s="15"/>
      <c r="G411" s="15"/>
      <c r="H411" s="15"/>
      <c r="I411" s="15"/>
      <c r="J411" s="15"/>
      <c r="K411" s="15"/>
      <c r="L411" s="15"/>
      <c r="M411" s="15"/>
      <c r="N411" s="15"/>
      <c r="O411" s="15"/>
      <c r="P411" s="15"/>
      <c r="Q411" s="15"/>
      <c r="AS411" s="109">
        <v>7382</v>
      </c>
    </row>
    <row r="412" spans="1:45" x14ac:dyDescent="0.25">
      <c r="A412" s="15"/>
      <c r="B412" s="15"/>
      <c r="C412" s="15"/>
      <c r="D412" s="15"/>
      <c r="E412" s="15"/>
      <c r="F412" s="15"/>
      <c r="G412" s="15"/>
      <c r="H412" s="15"/>
      <c r="I412" s="15"/>
      <c r="J412" s="15"/>
      <c r="K412" s="15"/>
      <c r="L412" s="15"/>
      <c r="M412" s="15"/>
      <c r="N412" s="15"/>
      <c r="O412" s="15"/>
      <c r="P412" s="15"/>
      <c r="Q412" s="15"/>
      <c r="AS412" s="109">
        <v>7383</v>
      </c>
    </row>
    <row r="413" spans="1:45" x14ac:dyDescent="0.25">
      <c r="A413" s="15"/>
      <c r="B413" s="15"/>
      <c r="C413" s="15"/>
      <c r="D413" s="15"/>
      <c r="E413" s="15"/>
      <c r="F413" s="15"/>
      <c r="G413" s="15"/>
      <c r="H413" s="15"/>
      <c r="I413" s="15"/>
      <c r="J413" s="15"/>
      <c r="K413" s="15"/>
      <c r="L413" s="15"/>
      <c r="M413" s="15"/>
      <c r="N413" s="15"/>
      <c r="O413" s="15"/>
      <c r="P413" s="15"/>
      <c r="Q413" s="15"/>
      <c r="AS413" s="109">
        <v>7384</v>
      </c>
    </row>
    <row r="414" spans="1:45" x14ac:dyDescent="0.25">
      <c r="A414" s="15"/>
      <c r="B414" s="15"/>
      <c r="C414" s="15"/>
      <c r="D414" s="15"/>
      <c r="E414" s="15"/>
      <c r="F414" s="15"/>
      <c r="G414" s="15"/>
      <c r="H414" s="15"/>
      <c r="I414" s="15"/>
      <c r="J414" s="15"/>
      <c r="K414" s="15"/>
      <c r="L414" s="15"/>
      <c r="M414" s="15"/>
      <c r="N414" s="15"/>
      <c r="O414" s="15"/>
      <c r="P414" s="15"/>
      <c r="Q414" s="15"/>
      <c r="AS414" s="109">
        <v>7385</v>
      </c>
    </row>
    <row r="415" spans="1:45" x14ac:dyDescent="0.25">
      <c r="A415" s="15"/>
      <c r="B415" s="15"/>
      <c r="C415" s="15"/>
      <c r="D415" s="15"/>
      <c r="E415" s="15"/>
      <c r="F415" s="15"/>
      <c r="G415" s="15"/>
      <c r="H415" s="15"/>
      <c r="I415" s="15"/>
      <c r="J415" s="15"/>
      <c r="K415" s="15"/>
      <c r="L415" s="15"/>
      <c r="M415" s="15"/>
      <c r="N415" s="15"/>
      <c r="O415" s="15"/>
      <c r="P415" s="15"/>
      <c r="Q415" s="15"/>
      <c r="AS415" s="109">
        <v>7386</v>
      </c>
    </row>
    <row r="416" spans="1:45" x14ac:dyDescent="0.25">
      <c r="A416" s="15"/>
      <c r="B416" s="15"/>
      <c r="C416" s="15"/>
      <c r="D416" s="15"/>
      <c r="E416" s="15"/>
      <c r="F416" s="15"/>
      <c r="G416" s="15"/>
      <c r="H416" s="15"/>
      <c r="I416" s="15"/>
      <c r="J416" s="15"/>
      <c r="K416" s="15"/>
      <c r="L416" s="15"/>
      <c r="M416" s="15"/>
      <c r="N416" s="15"/>
      <c r="O416" s="15"/>
      <c r="P416" s="15"/>
      <c r="Q416" s="15"/>
      <c r="AS416" s="109">
        <v>7387</v>
      </c>
    </row>
    <row r="417" spans="1:45" x14ac:dyDescent="0.25">
      <c r="A417" s="15"/>
      <c r="B417" s="15"/>
      <c r="C417" s="15"/>
      <c r="D417" s="15"/>
      <c r="E417" s="15"/>
      <c r="F417" s="15"/>
      <c r="G417" s="15"/>
      <c r="H417" s="15"/>
      <c r="I417" s="15"/>
      <c r="J417" s="15"/>
      <c r="K417" s="15"/>
      <c r="L417" s="15"/>
      <c r="M417" s="15"/>
      <c r="N417" s="15"/>
      <c r="O417" s="15"/>
      <c r="P417" s="15"/>
      <c r="Q417" s="15"/>
      <c r="AS417" s="109">
        <v>7388</v>
      </c>
    </row>
    <row r="418" spans="1:45" x14ac:dyDescent="0.25">
      <c r="A418" s="15"/>
      <c r="B418" s="15"/>
      <c r="C418" s="15"/>
      <c r="D418" s="15"/>
      <c r="E418" s="15"/>
      <c r="F418" s="15"/>
      <c r="G418" s="15"/>
      <c r="H418" s="15"/>
      <c r="I418" s="15"/>
      <c r="J418" s="15"/>
      <c r="K418" s="15"/>
      <c r="L418" s="15"/>
      <c r="M418" s="15"/>
      <c r="N418" s="15"/>
      <c r="O418" s="15"/>
      <c r="P418" s="15"/>
      <c r="Q418" s="15"/>
      <c r="AS418" s="109">
        <v>7389</v>
      </c>
    </row>
    <row r="419" spans="1:45" x14ac:dyDescent="0.25">
      <c r="A419" s="15"/>
      <c r="B419" s="15"/>
      <c r="C419" s="15"/>
      <c r="D419" s="15"/>
      <c r="E419" s="15"/>
      <c r="F419" s="15"/>
      <c r="G419" s="15"/>
      <c r="H419" s="15"/>
      <c r="I419" s="15"/>
      <c r="J419" s="15"/>
      <c r="K419" s="15"/>
      <c r="L419" s="15"/>
      <c r="M419" s="15"/>
      <c r="N419" s="15"/>
      <c r="O419" s="15"/>
      <c r="P419" s="15"/>
      <c r="Q419" s="15"/>
      <c r="AS419" s="109">
        <v>7411</v>
      </c>
    </row>
    <row r="420" spans="1:45" x14ac:dyDescent="0.25">
      <c r="A420" s="15"/>
      <c r="B420" s="15"/>
      <c r="C420" s="15"/>
      <c r="D420" s="15"/>
      <c r="E420" s="15"/>
      <c r="F420" s="15"/>
      <c r="G420" s="15"/>
      <c r="H420" s="15"/>
      <c r="I420" s="15"/>
      <c r="J420" s="15"/>
      <c r="K420" s="15"/>
      <c r="L420" s="15"/>
      <c r="M420" s="15"/>
      <c r="N420" s="15"/>
      <c r="O420" s="15"/>
      <c r="P420" s="15"/>
      <c r="Q420" s="15"/>
      <c r="AS420" s="109">
        <v>7412</v>
      </c>
    </row>
    <row r="421" spans="1:45" x14ac:dyDescent="0.25">
      <c r="A421" s="15"/>
      <c r="B421" s="15"/>
      <c r="C421" s="15"/>
      <c r="D421" s="15"/>
      <c r="E421" s="15"/>
      <c r="F421" s="15"/>
      <c r="G421" s="15"/>
      <c r="H421" s="15"/>
      <c r="I421" s="15"/>
      <c r="J421" s="15"/>
      <c r="K421" s="15"/>
      <c r="L421" s="15"/>
      <c r="M421" s="15"/>
      <c r="N421" s="15"/>
      <c r="O421" s="15"/>
      <c r="P421" s="15"/>
      <c r="Q421" s="15"/>
      <c r="AS421" s="109">
        <v>7413</v>
      </c>
    </row>
    <row r="422" spans="1:45" x14ac:dyDescent="0.25">
      <c r="A422" s="15"/>
      <c r="B422" s="15"/>
      <c r="C422" s="15"/>
      <c r="D422" s="15"/>
      <c r="E422" s="15"/>
      <c r="F422" s="15"/>
      <c r="G422" s="15"/>
      <c r="H422" s="15"/>
      <c r="I422" s="15"/>
      <c r="J422" s="15"/>
      <c r="K422" s="15"/>
      <c r="L422" s="15"/>
      <c r="M422" s="15"/>
      <c r="N422" s="15"/>
      <c r="O422" s="15"/>
      <c r="P422" s="15"/>
      <c r="Q422" s="15"/>
      <c r="AS422" s="109">
        <v>7414</v>
      </c>
    </row>
    <row r="423" spans="1:45" x14ac:dyDescent="0.25">
      <c r="A423" s="15"/>
      <c r="B423" s="15"/>
      <c r="C423" s="15"/>
      <c r="D423" s="15"/>
      <c r="E423" s="15"/>
      <c r="F423" s="15"/>
      <c r="G423" s="15"/>
      <c r="H423" s="15"/>
      <c r="I423" s="15"/>
      <c r="J423" s="15"/>
      <c r="K423" s="15"/>
      <c r="L423" s="15"/>
      <c r="M423" s="15"/>
      <c r="N423" s="15"/>
      <c r="O423" s="15"/>
      <c r="P423" s="15"/>
      <c r="Q423" s="15"/>
      <c r="AS423" s="109">
        <v>7415</v>
      </c>
    </row>
    <row r="424" spans="1:45" x14ac:dyDescent="0.25">
      <c r="A424" s="15"/>
      <c r="B424" s="15"/>
      <c r="C424" s="15"/>
      <c r="D424" s="15"/>
      <c r="E424" s="15"/>
      <c r="F424" s="15"/>
      <c r="G424" s="15"/>
      <c r="H424" s="15"/>
      <c r="I424" s="15"/>
      <c r="J424" s="15"/>
      <c r="K424" s="15"/>
      <c r="L424" s="15"/>
      <c r="M424" s="15"/>
      <c r="N424" s="15"/>
      <c r="O424" s="15"/>
      <c r="P424" s="15"/>
      <c r="Q424" s="15"/>
      <c r="AS424" s="109">
        <v>7416</v>
      </c>
    </row>
    <row r="425" spans="1:45" x14ac:dyDescent="0.25">
      <c r="A425" s="15"/>
      <c r="B425" s="15"/>
      <c r="C425" s="15"/>
      <c r="D425" s="15"/>
      <c r="E425" s="15"/>
      <c r="F425" s="15"/>
      <c r="G425" s="15"/>
      <c r="H425" s="15"/>
      <c r="I425" s="15"/>
      <c r="J425" s="15"/>
      <c r="K425" s="15"/>
      <c r="L425" s="15"/>
      <c r="M425" s="15"/>
      <c r="N425" s="15"/>
      <c r="O425" s="15"/>
      <c r="P425" s="15"/>
      <c r="Q425" s="15"/>
      <c r="AS425" s="109">
        <v>7417</v>
      </c>
    </row>
    <row r="426" spans="1:45" x14ac:dyDescent="0.25">
      <c r="A426" s="15"/>
      <c r="B426" s="15"/>
      <c r="C426" s="15"/>
      <c r="D426" s="15"/>
      <c r="E426" s="15"/>
      <c r="F426" s="15"/>
      <c r="G426" s="15"/>
      <c r="H426" s="15"/>
      <c r="I426" s="15"/>
      <c r="J426" s="15"/>
      <c r="K426" s="15"/>
      <c r="L426" s="15"/>
      <c r="M426" s="15"/>
      <c r="N426" s="15"/>
      <c r="O426" s="15"/>
      <c r="P426" s="15"/>
      <c r="Q426" s="15"/>
      <c r="AS426" s="109">
        <v>7418</v>
      </c>
    </row>
    <row r="427" spans="1:45" x14ac:dyDescent="0.25">
      <c r="A427" s="15"/>
      <c r="B427" s="15"/>
      <c r="C427" s="15"/>
      <c r="D427" s="15"/>
      <c r="E427" s="15"/>
      <c r="F427" s="15"/>
      <c r="G427" s="15"/>
      <c r="H427" s="15"/>
      <c r="I427" s="15"/>
      <c r="J427" s="15"/>
      <c r="K427" s="15"/>
      <c r="L427" s="15"/>
      <c r="M427" s="15"/>
      <c r="N427" s="15"/>
      <c r="O427" s="15"/>
      <c r="P427" s="15"/>
      <c r="Q427" s="15"/>
      <c r="AS427" s="109">
        <v>7421</v>
      </c>
    </row>
    <row r="428" spans="1:45" x14ac:dyDescent="0.25">
      <c r="A428" s="15"/>
      <c r="B428" s="15"/>
      <c r="C428" s="15"/>
      <c r="D428" s="15"/>
      <c r="E428" s="15"/>
      <c r="F428" s="15"/>
      <c r="G428" s="15"/>
      <c r="H428" s="15"/>
      <c r="I428" s="15"/>
      <c r="J428" s="15"/>
      <c r="K428" s="15"/>
      <c r="L428" s="15"/>
      <c r="M428" s="15"/>
      <c r="N428" s="15"/>
      <c r="O428" s="15"/>
      <c r="P428" s="15"/>
      <c r="Q428" s="15"/>
      <c r="AS428" s="109">
        <v>7422</v>
      </c>
    </row>
    <row r="429" spans="1:45" x14ac:dyDescent="0.25">
      <c r="AS429" s="109">
        <v>7431</v>
      </c>
    </row>
    <row r="430" spans="1:45" x14ac:dyDescent="0.25">
      <c r="AS430" s="109">
        <v>7441</v>
      </c>
    </row>
    <row r="431" spans="1:45" x14ac:dyDescent="0.25">
      <c r="AS431" s="109">
        <v>7442</v>
      </c>
    </row>
    <row r="432" spans="1:45" x14ac:dyDescent="0.25">
      <c r="AS432" s="109">
        <v>7443</v>
      </c>
    </row>
    <row r="433" spans="18:45" x14ac:dyDescent="0.25">
      <c r="AS433" s="109">
        <v>7444</v>
      </c>
    </row>
    <row r="434" spans="18:45" x14ac:dyDescent="0.25">
      <c r="AS434" s="109">
        <v>7445</v>
      </c>
    </row>
    <row r="435" spans="18:45" x14ac:dyDescent="0.25">
      <c r="AS435" s="109">
        <v>7446</v>
      </c>
    </row>
    <row r="436" spans="18:45" x14ac:dyDescent="0.25">
      <c r="AS436" s="109">
        <v>7447</v>
      </c>
    </row>
    <row r="437" spans="18:45" x14ac:dyDescent="0.25">
      <c r="AS437" s="109">
        <v>7511</v>
      </c>
    </row>
    <row r="438" spans="18:45" x14ac:dyDescent="0.25">
      <c r="AS438" s="109">
        <v>7512</v>
      </c>
    </row>
    <row r="439" spans="18:45" x14ac:dyDescent="0.25">
      <c r="AS439" s="109">
        <v>7513</v>
      </c>
    </row>
    <row r="440" spans="18:45" x14ac:dyDescent="0.25">
      <c r="AS440" s="109">
        <v>7514</v>
      </c>
    </row>
    <row r="441" spans="18:45" x14ac:dyDescent="0.25">
      <c r="AS441" s="109">
        <v>7515</v>
      </c>
    </row>
    <row r="442" spans="18:45" x14ac:dyDescent="0.25">
      <c r="AS442" s="109">
        <v>7516</v>
      </c>
    </row>
    <row r="443" spans="18:45" x14ac:dyDescent="0.25">
      <c r="R443" s="9"/>
      <c r="AS443" s="109">
        <v>7517</v>
      </c>
    </row>
    <row r="444" spans="18:45" x14ac:dyDescent="0.25">
      <c r="R444" s="9"/>
      <c r="AS444" s="109">
        <v>7518</v>
      </c>
    </row>
    <row r="445" spans="18:45" x14ac:dyDescent="0.25">
      <c r="R445" s="9"/>
      <c r="AS445" s="109">
        <v>7521</v>
      </c>
    </row>
    <row r="446" spans="18:45" x14ac:dyDescent="0.25">
      <c r="R446" s="9"/>
      <c r="AS446" s="109">
        <v>7522</v>
      </c>
    </row>
    <row r="447" spans="18:45" x14ac:dyDescent="0.25">
      <c r="R447" s="9"/>
      <c r="AS447" s="109">
        <v>7523</v>
      </c>
    </row>
    <row r="448" spans="18:45" x14ac:dyDescent="0.25">
      <c r="R448" s="9"/>
      <c r="AS448" s="109">
        <v>7524</v>
      </c>
    </row>
    <row r="449" spans="18:45" x14ac:dyDescent="0.25">
      <c r="R449" s="9"/>
      <c r="AS449" s="109">
        <v>7531</v>
      </c>
    </row>
    <row r="450" spans="18:45" x14ac:dyDescent="0.25">
      <c r="R450" s="9"/>
      <c r="AS450" s="109">
        <v>7532</v>
      </c>
    </row>
    <row r="451" spans="18:45" x14ac:dyDescent="0.25">
      <c r="R451" s="9"/>
      <c r="AS451" s="109">
        <v>7541</v>
      </c>
    </row>
    <row r="452" spans="18:45" x14ac:dyDescent="0.25">
      <c r="R452" s="9"/>
      <c r="AS452" s="109">
        <v>7542</v>
      </c>
    </row>
    <row r="453" spans="18:45" x14ac:dyDescent="0.25">
      <c r="R453" s="9"/>
      <c r="AS453" s="109">
        <v>7543</v>
      </c>
    </row>
    <row r="454" spans="18:45" x14ac:dyDescent="0.25">
      <c r="R454" s="9"/>
      <c r="AS454" s="109">
        <v>7601</v>
      </c>
    </row>
    <row r="455" spans="18:45" x14ac:dyDescent="0.25">
      <c r="R455" s="9"/>
      <c r="AS455" s="109">
        <v>7602</v>
      </c>
    </row>
    <row r="456" spans="18:45" x14ac:dyDescent="0.25">
      <c r="R456" s="9"/>
      <c r="AS456" s="109">
        <v>7603</v>
      </c>
    </row>
    <row r="457" spans="18:45" x14ac:dyDescent="0.25">
      <c r="R457" s="9"/>
      <c r="AS457" s="109">
        <v>7604</v>
      </c>
    </row>
    <row r="458" spans="18:45" x14ac:dyDescent="0.25">
      <c r="R458" s="9"/>
      <c r="AS458" s="109">
        <v>7605</v>
      </c>
    </row>
    <row r="459" spans="18:45" x14ac:dyDescent="0.25">
      <c r="R459" s="9"/>
      <c r="AS459" s="109">
        <v>7606</v>
      </c>
    </row>
    <row r="460" spans="18:45" x14ac:dyDescent="0.25">
      <c r="R460" s="9"/>
      <c r="AS460" s="109">
        <v>8111</v>
      </c>
    </row>
    <row r="461" spans="18:45" x14ac:dyDescent="0.25">
      <c r="R461" s="9"/>
      <c r="AS461" s="109">
        <v>8112</v>
      </c>
    </row>
    <row r="462" spans="18:45" x14ac:dyDescent="0.25">
      <c r="R462" s="9"/>
      <c r="AS462" s="109">
        <v>8114</v>
      </c>
    </row>
    <row r="463" spans="18:45" x14ac:dyDescent="0.25">
      <c r="R463" s="9"/>
      <c r="AS463" s="109">
        <v>8121</v>
      </c>
    </row>
    <row r="464" spans="18:45" x14ac:dyDescent="0.25">
      <c r="R464" s="9"/>
      <c r="AS464" s="109">
        <v>8122</v>
      </c>
    </row>
    <row r="465" spans="18:45" x14ac:dyDescent="0.25">
      <c r="R465" s="9"/>
      <c r="AS465" s="109">
        <v>8123</v>
      </c>
    </row>
    <row r="466" spans="18:45" x14ac:dyDescent="0.25">
      <c r="R466" s="9"/>
      <c r="AS466" s="109">
        <v>8131</v>
      </c>
    </row>
    <row r="467" spans="18:45" x14ac:dyDescent="0.25">
      <c r="R467" s="9"/>
      <c r="AS467" s="109">
        <v>8132</v>
      </c>
    </row>
    <row r="468" spans="18:45" x14ac:dyDescent="0.25">
      <c r="R468" s="9"/>
      <c r="AS468" s="109">
        <v>8133</v>
      </c>
    </row>
    <row r="469" spans="18:45" x14ac:dyDescent="0.25">
      <c r="R469" s="9"/>
      <c r="AS469" s="109">
        <v>8211</v>
      </c>
    </row>
    <row r="470" spans="18:45" x14ac:dyDescent="0.25">
      <c r="R470" s="9"/>
      <c r="AS470" s="109">
        <v>8221</v>
      </c>
    </row>
    <row r="471" spans="18:45" x14ac:dyDescent="0.25">
      <c r="R471" s="9"/>
      <c r="AS471" s="109">
        <v>8231</v>
      </c>
    </row>
    <row r="472" spans="18:45" x14ac:dyDescent="0.25">
      <c r="R472" s="9"/>
      <c r="AS472" s="109">
        <v>8232</v>
      </c>
    </row>
    <row r="473" spans="18:45" x14ac:dyDescent="0.25">
      <c r="R473" s="9"/>
      <c r="AS473" s="109">
        <v>8241</v>
      </c>
    </row>
    <row r="474" spans="18:45" x14ac:dyDescent="0.25">
      <c r="R474" s="9"/>
      <c r="AS474" s="109">
        <v>8261</v>
      </c>
    </row>
    <row r="475" spans="18:45" x14ac:dyDescent="0.25">
      <c r="R475" s="9"/>
      <c r="AS475" s="109">
        <v>8271</v>
      </c>
    </row>
    <row r="476" spans="18:45" x14ac:dyDescent="0.25">
      <c r="R476" s="9"/>
      <c r="AS476" s="109">
        <v>8311</v>
      </c>
    </row>
    <row r="477" spans="18:45" x14ac:dyDescent="0.25">
      <c r="R477" s="9"/>
      <c r="AS477" s="109">
        <v>8312</v>
      </c>
    </row>
    <row r="478" spans="18:45" x14ac:dyDescent="0.25">
      <c r="R478" s="9"/>
      <c r="AS478" s="109">
        <v>8313</v>
      </c>
    </row>
    <row r="479" spans="18:45" x14ac:dyDescent="0.25">
      <c r="R479" s="9"/>
      <c r="AS479" s="109">
        <v>8314</v>
      </c>
    </row>
    <row r="480" spans="18:45" x14ac:dyDescent="0.25">
      <c r="R480" s="9"/>
      <c r="AS480" s="109">
        <v>8315</v>
      </c>
    </row>
    <row r="481" spans="18:45" x14ac:dyDescent="0.25">
      <c r="R481" s="9"/>
      <c r="AS481" s="109">
        <v>8316</v>
      </c>
    </row>
    <row r="482" spans="18:45" x14ac:dyDescent="0.25">
      <c r="R482" s="9"/>
      <c r="AS482" s="109">
        <v>8321</v>
      </c>
    </row>
    <row r="483" spans="18:45" x14ac:dyDescent="0.25">
      <c r="R483" s="9"/>
      <c r="AS483" s="109">
        <v>8331</v>
      </c>
    </row>
    <row r="484" spans="18:45" x14ac:dyDescent="0.25">
      <c r="R484" s="9"/>
      <c r="AS484" s="109">
        <v>8332</v>
      </c>
    </row>
    <row r="485" spans="18:45" x14ac:dyDescent="0.25">
      <c r="R485" s="9"/>
      <c r="AS485" s="109">
        <v>8333</v>
      </c>
    </row>
    <row r="486" spans="18:45" x14ac:dyDescent="0.25">
      <c r="R486" s="9"/>
      <c r="AS486" s="109">
        <v>8334</v>
      </c>
    </row>
    <row r="487" spans="18:45" x14ac:dyDescent="0.25">
      <c r="R487" s="9"/>
      <c r="AS487" s="109">
        <v>8411</v>
      </c>
    </row>
    <row r="488" spans="18:45" x14ac:dyDescent="0.25">
      <c r="R488" s="9"/>
      <c r="AS488" s="109">
        <v>8412</v>
      </c>
    </row>
    <row r="489" spans="18:45" x14ac:dyDescent="0.25">
      <c r="R489" s="9"/>
      <c r="AS489" s="109">
        <v>8413</v>
      </c>
    </row>
    <row r="490" spans="18:45" x14ac:dyDescent="0.25">
      <c r="R490" s="9"/>
      <c r="AS490" s="109">
        <v>8414</v>
      </c>
    </row>
    <row r="491" spans="18:45" x14ac:dyDescent="0.25">
      <c r="R491" s="9"/>
      <c r="AS491" s="109">
        <v>8415</v>
      </c>
    </row>
    <row r="492" spans="18:45" x14ac:dyDescent="0.25">
      <c r="R492" s="9"/>
      <c r="AS492" s="109">
        <v>8421</v>
      </c>
    </row>
    <row r="493" spans="18:45" x14ac:dyDescent="0.25">
      <c r="R493" s="9"/>
      <c r="AS493" s="109">
        <v>8422</v>
      </c>
    </row>
    <row r="494" spans="18:45" x14ac:dyDescent="0.25">
      <c r="R494" s="9"/>
      <c r="AS494" s="109">
        <v>8431</v>
      </c>
    </row>
    <row r="495" spans="18:45" x14ac:dyDescent="0.25">
      <c r="R495" s="9"/>
      <c r="AS495" s="109">
        <v>8432</v>
      </c>
    </row>
    <row r="496" spans="18:45" x14ac:dyDescent="0.25">
      <c r="R496" s="9"/>
      <c r="AS496" s="109">
        <v>8433</v>
      </c>
    </row>
    <row r="497" spans="18:45" x14ac:dyDescent="0.25">
      <c r="R497" s="9"/>
      <c r="AS497" s="109">
        <v>8434</v>
      </c>
    </row>
    <row r="498" spans="18:45" x14ac:dyDescent="0.25">
      <c r="R498" s="9"/>
      <c r="AS498" s="109">
        <v>8435</v>
      </c>
    </row>
    <row r="499" spans="18:45" x14ac:dyDescent="0.25">
      <c r="R499" s="9"/>
      <c r="AS499" s="109">
        <v>8441</v>
      </c>
    </row>
    <row r="500" spans="18:45" x14ac:dyDescent="0.25">
      <c r="R500" s="9"/>
      <c r="AS500" s="109">
        <v>8442</v>
      </c>
    </row>
    <row r="501" spans="18:45" x14ac:dyDescent="0.25">
      <c r="R501" s="9"/>
      <c r="AS501" s="109">
        <v>8443</v>
      </c>
    </row>
    <row r="502" spans="18:45" x14ac:dyDescent="0.25">
      <c r="R502" s="9"/>
      <c r="AS502" s="109">
        <v>8451</v>
      </c>
    </row>
    <row r="503" spans="18:45" x14ac:dyDescent="0.25">
      <c r="R503" s="9"/>
      <c r="AS503" s="109">
        <v>8452</v>
      </c>
    </row>
    <row r="504" spans="18:45" x14ac:dyDescent="0.25">
      <c r="R504" s="9"/>
      <c r="AS504" s="109">
        <v>8511</v>
      </c>
    </row>
    <row r="505" spans="18:45" x14ac:dyDescent="0.25">
      <c r="R505" s="9"/>
      <c r="AS505" s="109">
        <v>8512</v>
      </c>
    </row>
    <row r="506" spans="18:45" x14ac:dyDescent="0.25">
      <c r="R506" s="9"/>
      <c r="AS506" s="109">
        <v>8513</v>
      </c>
    </row>
    <row r="507" spans="18:45" x14ac:dyDescent="0.25">
      <c r="R507" s="9"/>
      <c r="AS507" s="109">
        <v>8514</v>
      </c>
    </row>
    <row r="508" spans="18:45" x14ac:dyDescent="0.25">
      <c r="R508" s="9"/>
      <c r="AS508" s="109">
        <v>8521</v>
      </c>
    </row>
    <row r="509" spans="18:45" x14ac:dyDescent="0.25">
      <c r="R509" s="9"/>
      <c r="AS509" s="109">
        <v>8522</v>
      </c>
    </row>
    <row r="510" spans="18:45" x14ac:dyDescent="0.25">
      <c r="R510" s="9"/>
      <c r="AS510" s="109">
        <v>8523</v>
      </c>
    </row>
    <row r="511" spans="18:45" x14ac:dyDescent="0.25">
      <c r="R511" s="9"/>
      <c r="AS511" s="109">
        <v>8524</v>
      </c>
    </row>
    <row r="512" spans="18:45" x14ac:dyDescent="0.25">
      <c r="R512" s="9"/>
      <c r="AS512" s="109">
        <v>8525</v>
      </c>
    </row>
    <row r="513" spans="18:45" x14ac:dyDescent="0.25">
      <c r="R513" s="9"/>
      <c r="AS513" s="109">
        <v>8526</v>
      </c>
    </row>
    <row r="514" spans="18:45" x14ac:dyDescent="0.25">
      <c r="R514" s="9"/>
      <c r="AS514" s="109">
        <v>8531</v>
      </c>
    </row>
    <row r="515" spans="18:45" x14ac:dyDescent="0.25">
      <c r="R515" s="9"/>
      <c r="AS515" s="109">
        <v>8541</v>
      </c>
    </row>
    <row r="516" spans="18:45" x14ac:dyDescent="0.25">
      <c r="R516" s="9"/>
      <c r="AS516" s="109">
        <v>8601</v>
      </c>
    </row>
    <row r="517" spans="18:45" x14ac:dyDescent="0.25">
      <c r="R517" s="9"/>
      <c r="AS517" s="109">
        <v>8611</v>
      </c>
    </row>
    <row r="518" spans="18:45" x14ac:dyDescent="0.25">
      <c r="R518" s="9"/>
      <c r="AS518" s="109">
        <v>8612</v>
      </c>
    </row>
    <row r="519" spans="18:45" x14ac:dyDescent="0.25">
      <c r="R519" s="9"/>
      <c r="AS519" s="109">
        <v>8711</v>
      </c>
    </row>
    <row r="520" spans="18:45" x14ac:dyDescent="0.25">
      <c r="R520" s="9"/>
      <c r="AS520" s="109">
        <v>8712</v>
      </c>
    </row>
    <row r="521" spans="18:45" x14ac:dyDescent="0.25">
      <c r="R521" s="9"/>
      <c r="AS521" s="109">
        <v>8713</v>
      </c>
    </row>
    <row r="522" spans="18:45" x14ac:dyDescent="0.25">
      <c r="R522" s="9"/>
      <c r="AS522" s="109">
        <v>8714</v>
      </c>
    </row>
    <row r="523" spans="18:45" x14ac:dyDescent="0.25">
      <c r="R523" s="9"/>
      <c r="AS523" s="109">
        <v>8715</v>
      </c>
    </row>
    <row r="524" spans="18:45" x14ac:dyDescent="0.25">
      <c r="R524" s="9"/>
      <c r="AS524" s="109">
        <v>8721</v>
      </c>
    </row>
    <row r="525" spans="18:45" x14ac:dyDescent="0.25">
      <c r="R525" s="9"/>
      <c r="AS525" s="109">
        <v>8722</v>
      </c>
    </row>
    <row r="526" spans="18:45" x14ac:dyDescent="0.25">
      <c r="R526" s="9"/>
      <c r="AS526" s="109">
        <v>8811</v>
      </c>
    </row>
    <row r="527" spans="18:45" x14ac:dyDescent="0.25">
      <c r="R527" s="9"/>
      <c r="AS527" s="109">
        <v>8821</v>
      </c>
    </row>
    <row r="528" spans="18:45" x14ac:dyDescent="0.25">
      <c r="R528" s="9"/>
      <c r="AS528" s="109">
        <v>8910</v>
      </c>
    </row>
    <row r="529" spans="18:45" x14ac:dyDescent="0.25">
      <c r="R529" s="9"/>
      <c r="AS529" s="109">
        <v>8921</v>
      </c>
    </row>
    <row r="530" spans="18:45" x14ac:dyDescent="0.25">
      <c r="R530" s="9"/>
      <c r="AS530" s="109">
        <v>8922</v>
      </c>
    </row>
    <row r="531" spans="18:45" x14ac:dyDescent="0.25">
      <c r="R531" s="9"/>
      <c r="AS531" s="109">
        <v>8923</v>
      </c>
    </row>
    <row r="532" spans="18:45" x14ac:dyDescent="0.25">
      <c r="R532" s="9"/>
      <c r="AS532" s="109">
        <v>8924</v>
      </c>
    </row>
    <row r="533" spans="18:45" x14ac:dyDescent="0.25">
      <c r="R533" s="9"/>
      <c r="AS533" s="109">
        <v>8925</v>
      </c>
    </row>
    <row r="534" spans="18:45" x14ac:dyDescent="0.25">
      <c r="R534" s="9"/>
      <c r="AS534" s="109">
        <v>8926</v>
      </c>
    </row>
    <row r="535" spans="18:45" x14ac:dyDescent="0.25">
      <c r="R535" s="9"/>
      <c r="AS535" s="109">
        <v>8927</v>
      </c>
    </row>
    <row r="536" spans="18:45" x14ac:dyDescent="0.25">
      <c r="R536" s="9"/>
      <c r="AS536" s="109">
        <v>8928</v>
      </c>
    </row>
    <row r="537" spans="18:45" x14ac:dyDescent="0.25">
      <c r="R537" s="9"/>
      <c r="AS537" s="109">
        <v>8929</v>
      </c>
    </row>
    <row r="538" spans="18:45" x14ac:dyDescent="0.25">
      <c r="R538" s="9"/>
      <c r="AS538" s="109">
        <v>8930</v>
      </c>
    </row>
    <row r="539" spans="18:45" x14ac:dyDescent="0.25">
      <c r="R539" s="9"/>
      <c r="AS539" s="109">
        <v>8931</v>
      </c>
    </row>
    <row r="540" spans="18:45" x14ac:dyDescent="0.25">
      <c r="R540" s="9"/>
      <c r="AS540" s="109">
        <v>8932</v>
      </c>
    </row>
    <row r="541" spans="18:45" x14ac:dyDescent="0.25">
      <c r="R541" s="9"/>
      <c r="AS541" s="109">
        <v>8951</v>
      </c>
    </row>
    <row r="542" spans="18:45" x14ac:dyDescent="0.25">
      <c r="R542" s="9"/>
      <c r="AS542" s="109">
        <v>9351</v>
      </c>
    </row>
    <row r="543" spans="18:45" x14ac:dyDescent="0.25">
      <c r="R543" s="9"/>
      <c r="AS543" s="109" t="s">
        <v>3225</v>
      </c>
    </row>
    <row r="544" spans="18:45" x14ac:dyDescent="0.25">
      <c r="R544" s="9"/>
    </row>
    <row r="545" spans="18:18" x14ac:dyDescent="0.25">
      <c r="R545" s="9"/>
    </row>
  </sheetData>
  <mergeCells count="24">
    <mergeCell ref="A287:Q287"/>
    <mergeCell ref="A1:D2"/>
    <mergeCell ref="E1:G1"/>
    <mergeCell ref="H1:N1"/>
    <mergeCell ref="P1:Q1"/>
    <mergeCell ref="A280:Q280"/>
    <mergeCell ref="A281:Q281"/>
    <mergeCell ref="A282:Q282"/>
    <mergeCell ref="A283:Q283"/>
    <mergeCell ref="A284:Q284"/>
    <mergeCell ref="A285:Q285"/>
    <mergeCell ref="A286:Q286"/>
    <mergeCell ref="A299:Q299"/>
    <mergeCell ref="A288:Q288"/>
    <mergeCell ref="A289:Q289"/>
    <mergeCell ref="A290:Q290"/>
    <mergeCell ref="A291:Q291"/>
    <mergeCell ref="A292:Q292"/>
    <mergeCell ref="A293:Q293"/>
    <mergeCell ref="A294:Q294"/>
    <mergeCell ref="A295:Q295"/>
    <mergeCell ref="A296:Q296"/>
    <mergeCell ref="A297:Q297"/>
    <mergeCell ref="A298:Q298"/>
  </mergeCells>
  <pageMargins left="0.25" right="0.25" top="1" bottom="0.25" header="0.05" footer="0.05"/>
  <pageSetup paperSize="3" scale="88"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465-154A-4528-AD25-20270FC2055F}">
  <sheetPr>
    <tabColor theme="4" tint="0.79998168889431442"/>
  </sheetPr>
  <dimension ref="A1:G17"/>
  <sheetViews>
    <sheetView topLeftCell="A10" workbookViewId="0">
      <selection activeCell="A13" sqref="A13:E13"/>
    </sheetView>
  </sheetViews>
  <sheetFormatPr defaultRowHeight="15" x14ac:dyDescent="0.25"/>
  <cols>
    <col min="2" max="6" width="23.85546875" customWidth="1"/>
    <col min="7" max="7" width="11.85546875" customWidth="1"/>
  </cols>
  <sheetData>
    <row r="1" spans="1:7" ht="15.75" thickBot="1" x14ac:dyDescent="0.3">
      <c r="A1" s="1723" t="s">
        <v>3226</v>
      </c>
      <c r="B1" s="1723"/>
      <c r="C1" s="1723"/>
      <c r="D1" s="1723"/>
      <c r="E1" s="1723"/>
      <c r="F1" s="1723"/>
    </row>
    <row r="2" spans="1:7" ht="15.75" thickBot="1" x14ac:dyDescent="0.3">
      <c r="A2" s="24" t="s">
        <v>3227</v>
      </c>
      <c r="B2" s="25" t="s">
        <v>3228</v>
      </c>
      <c r="C2" s="25" t="s">
        <v>3229</v>
      </c>
      <c r="D2" s="25" t="s">
        <v>3230</v>
      </c>
      <c r="E2" s="25" t="s">
        <v>3231</v>
      </c>
      <c r="F2" s="26" t="s">
        <v>3232</v>
      </c>
    </row>
    <row r="3" spans="1:7" ht="150.75" thickBot="1" x14ac:dyDescent="0.3">
      <c r="A3" s="27" t="s">
        <v>3233</v>
      </c>
      <c r="B3" s="27" t="s">
        <v>3234</v>
      </c>
      <c r="C3" s="27" t="s">
        <v>3235</v>
      </c>
      <c r="D3" s="27" t="s">
        <v>3236</v>
      </c>
      <c r="E3" s="27" t="s">
        <v>3237</v>
      </c>
      <c r="F3" s="27" t="s">
        <v>3238</v>
      </c>
      <c r="G3" s="47"/>
    </row>
    <row r="4" spans="1:7" ht="90.75" thickBot="1" x14ac:dyDescent="0.3">
      <c r="A4" s="29" t="s">
        <v>2935</v>
      </c>
      <c r="B4" s="30" t="s">
        <v>3239</v>
      </c>
      <c r="C4" s="30" t="s">
        <v>3240</v>
      </c>
      <c r="D4" s="30" t="s">
        <v>3236</v>
      </c>
      <c r="E4" s="30" t="s">
        <v>3237</v>
      </c>
      <c r="F4" s="30" t="s">
        <v>3241</v>
      </c>
    </row>
    <row r="5" spans="1:7" ht="105.75" thickBot="1" x14ac:dyDescent="0.3">
      <c r="A5" s="29" t="s">
        <v>3242</v>
      </c>
      <c r="B5" s="30" t="s">
        <v>3243</v>
      </c>
      <c r="C5" s="30" t="s">
        <v>3244</v>
      </c>
      <c r="D5" s="30" t="s">
        <v>3245</v>
      </c>
      <c r="E5" s="30" t="s">
        <v>3246</v>
      </c>
      <c r="F5" s="30" t="s">
        <v>3247</v>
      </c>
    </row>
    <row r="6" spans="1:7" ht="120.75" thickBot="1" x14ac:dyDescent="0.3">
      <c r="A6" s="27" t="s">
        <v>2927</v>
      </c>
      <c r="B6" s="28" t="s">
        <v>3248</v>
      </c>
      <c r="C6" s="28" t="s">
        <v>3249</v>
      </c>
      <c r="D6" s="27" t="s">
        <v>3250</v>
      </c>
      <c r="E6" s="28" t="s">
        <v>3251</v>
      </c>
      <c r="F6" s="27" t="s">
        <v>3428</v>
      </c>
    </row>
    <row r="7" spans="1:7" x14ac:dyDescent="0.25">
      <c r="A7" s="2"/>
    </row>
    <row r="8" spans="1:7" ht="366.75" customHeight="1" x14ac:dyDescent="0.25">
      <c r="A8" s="1718" t="s">
        <v>3252</v>
      </c>
      <c r="B8" s="1718"/>
      <c r="C8" s="1718"/>
      <c r="D8" s="1718"/>
      <c r="E8" s="1718"/>
      <c r="F8" s="1100"/>
    </row>
    <row r="9" spans="1:7" ht="192" customHeight="1" x14ac:dyDescent="0.25">
      <c r="A9" s="1721" t="s">
        <v>3253</v>
      </c>
      <c r="B9" s="1722"/>
      <c r="C9" s="1722"/>
      <c r="D9" s="1722"/>
      <c r="E9" s="1722"/>
      <c r="F9" s="1101" t="s">
        <v>3254</v>
      </c>
    </row>
    <row r="10" spans="1:7" ht="210" customHeight="1" x14ac:dyDescent="0.25">
      <c r="A10" s="1721" t="s">
        <v>3255</v>
      </c>
      <c r="B10" s="1722"/>
      <c r="C10" s="1722"/>
      <c r="D10" s="1722"/>
      <c r="E10" s="1722"/>
      <c r="F10" s="1102" t="s">
        <v>3256</v>
      </c>
    </row>
    <row r="11" spans="1:7" ht="161.1" customHeight="1" x14ac:dyDescent="0.25">
      <c r="A11" s="1721" t="s">
        <v>3257</v>
      </c>
      <c r="B11" s="1722"/>
      <c r="C11" s="1722"/>
      <c r="D11" s="1722"/>
      <c r="E11" s="1722"/>
      <c r="F11" s="1103" t="s">
        <v>3472</v>
      </c>
    </row>
    <row r="12" spans="1:7" ht="133.5" customHeight="1" x14ac:dyDescent="0.25">
      <c r="A12" s="1721" t="s">
        <v>3258</v>
      </c>
      <c r="B12" s="1722"/>
      <c r="C12" s="1722"/>
      <c r="D12" s="1722"/>
      <c r="E12" s="1722"/>
      <c r="F12" s="1104"/>
    </row>
    <row r="13" spans="1:7" ht="150" customHeight="1" x14ac:dyDescent="0.25">
      <c r="A13" s="1718" t="s">
        <v>3259</v>
      </c>
      <c r="B13" s="1719"/>
      <c r="C13" s="1719"/>
      <c r="D13" s="1719"/>
      <c r="E13" s="1719"/>
      <c r="F13" s="1105"/>
    </row>
    <row r="14" spans="1:7" ht="22.5" customHeight="1" x14ac:dyDescent="0.25">
      <c r="A14" s="1720" t="s">
        <v>3260</v>
      </c>
      <c r="B14" s="1720"/>
      <c r="C14" s="1720"/>
      <c r="D14" s="1720"/>
      <c r="E14" s="1720"/>
      <c r="F14" s="1720"/>
    </row>
    <row r="15" spans="1:7" ht="18" customHeight="1" x14ac:dyDescent="0.25">
      <c r="A15" s="1718" t="s">
        <v>3261</v>
      </c>
      <c r="B15" s="1718"/>
      <c r="C15" s="1718"/>
      <c r="D15" s="1718"/>
      <c r="E15" s="1718"/>
      <c r="F15" s="1718"/>
    </row>
    <row r="16" spans="1:7" ht="78.75" customHeight="1" x14ac:dyDescent="0.25">
      <c r="A16" s="1718" t="s">
        <v>3429</v>
      </c>
      <c r="B16" s="1718"/>
      <c r="C16" s="1718"/>
      <c r="D16" s="1718"/>
      <c r="E16" s="1718"/>
      <c r="F16" s="1718"/>
    </row>
    <row r="17" spans="1:6" ht="60" customHeight="1" x14ac:dyDescent="0.25">
      <c r="A17" s="1718" t="s">
        <v>3262</v>
      </c>
      <c r="B17" s="1718"/>
      <c r="C17" s="1718"/>
      <c r="D17" s="1718"/>
      <c r="E17" s="1718"/>
      <c r="F17" s="1718"/>
    </row>
  </sheetData>
  <mergeCells count="11">
    <mergeCell ref="A12:E12"/>
    <mergeCell ref="A1:F1"/>
    <mergeCell ref="A8:E8"/>
    <mergeCell ref="A9:E9"/>
    <mergeCell ref="A10:E10"/>
    <mergeCell ref="A11:E11"/>
    <mergeCell ref="A13:E13"/>
    <mergeCell ref="A14:F14"/>
    <mergeCell ref="A15:F15"/>
    <mergeCell ref="A16:F16"/>
    <mergeCell ref="A17:F17"/>
  </mergeCells>
  <hyperlinks>
    <hyperlink ref="A2" location="_ftn1" display="_ftn1" xr:uid="{F40F125B-B94B-4022-8A74-CED284F99347}"/>
    <hyperlink ref="F2" location="_ftn2" display="_ftn2" xr:uid="{2004F3FF-AF6A-46D1-909A-3EA9E05A636A}"/>
  </hyperlinks>
  <pageMargins left="0.7" right="0.7" top="0.75" bottom="0.75" header="0.3" footer="0.3"/>
  <pageSetup scale="6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tabColor theme="4" tint="0.79998168889431442"/>
    <pageSetUpPr fitToPage="1"/>
  </sheetPr>
  <dimension ref="A1:P66"/>
  <sheetViews>
    <sheetView topLeftCell="A10" zoomScaleNormal="100" workbookViewId="0">
      <selection activeCell="P17" sqref="P17"/>
    </sheetView>
  </sheetViews>
  <sheetFormatPr defaultColWidth="9.140625" defaultRowHeight="15" x14ac:dyDescent="0.25"/>
  <cols>
    <col min="1" max="1" width="9.140625" style="9"/>
    <col min="2" max="2" width="49.140625" style="9" customWidth="1"/>
    <col min="3" max="3" width="14.140625" style="5" customWidth="1"/>
    <col min="4" max="4" width="10.140625" style="5" customWidth="1"/>
    <col min="5" max="5" width="13" style="9" customWidth="1"/>
    <col min="6" max="6" width="14" style="5" customWidth="1"/>
    <col min="7" max="8" width="9.140625" style="5"/>
    <col min="9" max="9" width="10.42578125" style="5" customWidth="1"/>
    <col min="10" max="10" width="10.85546875" style="5" customWidth="1"/>
    <col min="11" max="12" width="11.140625" style="5" customWidth="1"/>
    <col min="13" max="13" width="11" style="5" customWidth="1"/>
    <col min="14" max="16384" width="9.140625" style="9"/>
  </cols>
  <sheetData>
    <row r="1" spans="1:13" ht="36.75" customHeight="1" thickBot="1" x14ac:dyDescent="0.3">
      <c r="A1" s="1730" t="s">
        <v>3263</v>
      </c>
      <c r="B1" s="1731"/>
      <c r="C1" s="1731"/>
      <c r="D1" s="1731"/>
      <c r="E1" s="1731"/>
      <c r="F1" s="1731"/>
      <c r="G1" s="1731"/>
      <c r="H1" s="1731"/>
      <c r="I1" s="1731"/>
      <c r="J1" s="1731"/>
      <c r="K1" s="1731"/>
      <c r="L1" s="1731"/>
      <c r="M1" s="1732"/>
    </row>
    <row r="2" spans="1:13" ht="74.25" customHeight="1" x14ac:dyDescent="0.25">
      <c r="A2" s="31" t="s">
        <v>331</v>
      </c>
      <c r="B2" s="32" t="s">
        <v>3264</v>
      </c>
      <c r="C2" s="120" t="s">
        <v>3265</v>
      </c>
      <c r="D2" s="31" t="s">
        <v>3266</v>
      </c>
      <c r="E2" s="31" t="s">
        <v>3267</v>
      </c>
      <c r="F2" s="31" t="s">
        <v>3268</v>
      </c>
      <c r="G2" s="31" t="s">
        <v>3269</v>
      </c>
      <c r="H2" s="31" t="s">
        <v>3270</v>
      </c>
      <c r="I2" s="31" t="s">
        <v>3271</v>
      </c>
      <c r="J2" s="31" t="s">
        <v>3272</v>
      </c>
      <c r="K2" s="31" t="s">
        <v>3273</v>
      </c>
      <c r="L2" s="31" t="s">
        <v>3274</v>
      </c>
      <c r="M2" s="31" t="s">
        <v>3275</v>
      </c>
    </row>
    <row r="3" spans="1:13" x14ac:dyDescent="0.25">
      <c r="A3" s="303">
        <v>1431</v>
      </c>
      <c r="B3" s="304" t="s">
        <v>2934</v>
      </c>
      <c r="C3" s="305">
        <v>11775</v>
      </c>
      <c r="D3" s="161" t="s">
        <v>2935</v>
      </c>
      <c r="E3" s="279">
        <v>1.6</v>
      </c>
      <c r="F3" s="239">
        <v>0.08</v>
      </c>
      <c r="G3" s="281">
        <f>+E3+F3-1</f>
        <v>0.68000000000000016</v>
      </c>
      <c r="H3" s="281">
        <f>+G3/(E3+F3)</f>
        <v>0.40476190476190482</v>
      </c>
      <c r="I3" s="239">
        <v>150</v>
      </c>
      <c r="J3" s="281">
        <f>+C3/I3</f>
        <v>78.5</v>
      </c>
      <c r="K3" s="281">
        <f>+H3*J3</f>
        <v>31.773809523809529</v>
      </c>
      <c r="L3" s="281">
        <f>+K3/200</f>
        <v>0.15886904761904763</v>
      </c>
      <c r="M3" s="239">
        <v>1</v>
      </c>
    </row>
    <row r="4" spans="1:13" x14ac:dyDescent="0.25">
      <c r="A4" s="303">
        <v>1442</v>
      </c>
      <c r="B4" s="304" t="s">
        <v>2937</v>
      </c>
      <c r="C4" s="305">
        <v>15038</v>
      </c>
      <c r="D4" s="161" t="s">
        <v>2935</v>
      </c>
      <c r="E4" s="279">
        <v>1.21</v>
      </c>
      <c r="F4" s="239">
        <v>0.04</v>
      </c>
      <c r="G4" s="281">
        <f t="shared" ref="G4:G43" si="0">+E4+F4-1</f>
        <v>0.25</v>
      </c>
      <c r="H4" s="281">
        <f t="shared" ref="H4:H43" si="1">+G4/(E4+F4)</f>
        <v>0.2</v>
      </c>
      <c r="I4" s="239">
        <v>150</v>
      </c>
      <c r="J4" s="281">
        <f t="shared" ref="J4:J43" si="2">+C4/I4</f>
        <v>100.25333333333333</v>
      </c>
      <c r="K4" s="281">
        <f t="shared" ref="K4:K43" si="3">+H4*J4</f>
        <v>20.050666666666668</v>
      </c>
      <c r="L4" s="281">
        <f t="shared" ref="L4:L43" si="4">+K4/200</f>
        <v>0.10025333333333335</v>
      </c>
      <c r="M4" s="239">
        <f>ROUND(L4,0)</f>
        <v>0</v>
      </c>
    </row>
    <row r="5" spans="1:13" x14ac:dyDescent="0.25">
      <c r="A5" s="303">
        <v>1443</v>
      </c>
      <c r="B5" s="304" t="s">
        <v>2938</v>
      </c>
      <c r="C5" s="305">
        <v>9819</v>
      </c>
      <c r="D5" s="161" t="s">
        <v>2927</v>
      </c>
      <c r="E5" s="279">
        <v>1.1100000000000001</v>
      </c>
      <c r="F5" s="239">
        <v>0.02</v>
      </c>
      <c r="G5" s="281">
        <f t="shared" si="0"/>
        <v>0.13000000000000012</v>
      </c>
      <c r="H5" s="281">
        <f t="shared" si="1"/>
        <v>0.11504424778761072</v>
      </c>
      <c r="I5" s="239">
        <v>150</v>
      </c>
      <c r="J5" s="281">
        <f t="shared" si="2"/>
        <v>65.459999999999994</v>
      </c>
      <c r="K5" s="281">
        <f t="shared" si="3"/>
        <v>7.5307964601769966</v>
      </c>
      <c r="L5" s="281">
        <f t="shared" si="4"/>
        <v>3.7653982300884986E-2</v>
      </c>
      <c r="M5" s="239">
        <f>ROUND(L5,0)</f>
        <v>0</v>
      </c>
    </row>
    <row r="6" spans="1:13" x14ac:dyDescent="0.25">
      <c r="A6" s="303">
        <v>1446</v>
      </c>
      <c r="B6" s="304" t="s">
        <v>2939</v>
      </c>
      <c r="C6" s="305">
        <v>12839</v>
      </c>
      <c r="D6" s="161" t="s">
        <v>3276</v>
      </c>
      <c r="E6" s="306">
        <v>1.38</v>
      </c>
      <c r="F6" s="239">
        <v>0.05</v>
      </c>
      <c r="G6" s="281">
        <f t="shared" si="0"/>
        <v>0.42999999999999994</v>
      </c>
      <c r="H6" s="281">
        <f t="shared" si="1"/>
        <v>0.30069930069930068</v>
      </c>
      <c r="I6" s="239">
        <v>120</v>
      </c>
      <c r="J6" s="281">
        <f t="shared" si="2"/>
        <v>106.99166666666666</v>
      </c>
      <c r="K6" s="281">
        <f t="shared" si="3"/>
        <v>32.172319347319345</v>
      </c>
      <c r="L6" s="281">
        <f t="shared" si="4"/>
        <v>0.16086159673659672</v>
      </c>
      <c r="M6" s="239">
        <v>1</v>
      </c>
    </row>
    <row r="7" spans="1:13" x14ac:dyDescent="0.25">
      <c r="A7" s="303">
        <v>2112</v>
      </c>
      <c r="B7" s="304" t="s">
        <v>2993</v>
      </c>
      <c r="C7" s="305">
        <v>17421</v>
      </c>
      <c r="D7" s="161" t="s">
        <v>3277</v>
      </c>
      <c r="E7" s="279">
        <v>1.35</v>
      </c>
      <c r="F7" s="239">
        <v>0.02</v>
      </c>
      <c r="G7" s="281">
        <f t="shared" si="0"/>
        <v>0.37000000000000011</v>
      </c>
      <c r="H7" s="281">
        <f t="shared" si="1"/>
        <v>0.27007299270072999</v>
      </c>
      <c r="I7" s="239">
        <v>100</v>
      </c>
      <c r="J7" s="281">
        <f t="shared" si="2"/>
        <v>174.21</v>
      </c>
      <c r="K7" s="281">
        <f t="shared" si="3"/>
        <v>47.049416058394172</v>
      </c>
      <c r="L7" s="281">
        <f t="shared" si="4"/>
        <v>0.23524708029197086</v>
      </c>
      <c r="M7" s="239">
        <f t="shared" ref="M7:M43" si="5">ROUND(L7,0)</f>
        <v>0</v>
      </c>
    </row>
    <row r="8" spans="1:13" x14ac:dyDescent="0.25">
      <c r="A8" s="303">
        <v>2121</v>
      </c>
      <c r="B8" s="304" t="s">
        <v>2994</v>
      </c>
      <c r="C8" s="305">
        <v>13729</v>
      </c>
      <c r="D8" s="161" t="s">
        <v>3277</v>
      </c>
      <c r="E8" s="279">
        <v>1.21</v>
      </c>
      <c r="F8" s="239">
        <v>0.06</v>
      </c>
      <c r="G8" s="281">
        <f t="shared" si="0"/>
        <v>0.27</v>
      </c>
      <c r="H8" s="281">
        <f t="shared" si="1"/>
        <v>0.2125984251968504</v>
      </c>
      <c r="I8" s="239">
        <v>100</v>
      </c>
      <c r="J8" s="281">
        <f t="shared" si="2"/>
        <v>137.29</v>
      </c>
      <c r="K8" s="281">
        <f t="shared" si="3"/>
        <v>29.187637795275592</v>
      </c>
      <c r="L8" s="281">
        <f t="shared" si="4"/>
        <v>0.14593818897637795</v>
      </c>
      <c r="M8" s="239">
        <f t="shared" si="5"/>
        <v>0</v>
      </c>
    </row>
    <row r="9" spans="1:13" x14ac:dyDescent="0.25">
      <c r="A9" s="303">
        <v>2123</v>
      </c>
      <c r="B9" s="304" t="s">
        <v>2995</v>
      </c>
      <c r="C9" s="305">
        <v>12028</v>
      </c>
      <c r="D9" s="161" t="s">
        <v>3277</v>
      </c>
      <c r="E9" s="279">
        <v>1.0900000000000001</v>
      </c>
      <c r="F9" s="258">
        <v>0</v>
      </c>
      <c r="G9" s="281">
        <f t="shared" si="0"/>
        <v>9.000000000000008E-2</v>
      </c>
      <c r="H9" s="281">
        <f t="shared" si="1"/>
        <v>8.2568807339449615E-2</v>
      </c>
      <c r="I9" s="239">
        <v>100</v>
      </c>
      <c r="J9" s="281">
        <f t="shared" si="2"/>
        <v>120.28</v>
      </c>
      <c r="K9" s="281">
        <f t="shared" si="3"/>
        <v>9.9313761467889989</v>
      </c>
      <c r="L9" s="281">
        <f t="shared" si="4"/>
        <v>4.9656880733944996E-2</v>
      </c>
      <c r="M9" s="239">
        <f t="shared" si="5"/>
        <v>0</v>
      </c>
    </row>
    <row r="10" spans="1:13" x14ac:dyDescent="0.25">
      <c r="A10" s="303">
        <v>2125</v>
      </c>
      <c r="B10" s="304" t="s">
        <v>2997</v>
      </c>
      <c r="C10" s="305">
        <v>28803</v>
      </c>
      <c r="D10" s="161" t="s">
        <v>3277</v>
      </c>
      <c r="E10" s="279">
        <v>1.03</v>
      </c>
      <c r="F10" s="258">
        <v>0</v>
      </c>
      <c r="G10" s="281">
        <f t="shared" si="0"/>
        <v>3.0000000000000027E-2</v>
      </c>
      <c r="H10" s="281">
        <f t="shared" si="1"/>
        <v>2.9126213592233035E-2</v>
      </c>
      <c r="I10" s="239">
        <v>100</v>
      </c>
      <c r="J10" s="281">
        <f t="shared" si="2"/>
        <v>288.02999999999997</v>
      </c>
      <c r="K10" s="281">
        <f t="shared" si="3"/>
        <v>8.3892233009708796</v>
      </c>
      <c r="L10" s="281">
        <f>+K10/200</f>
        <v>4.19461165048544E-2</v>
      </c>
      <c r="M10" s="239">
        <v>0</v>
      </c>
    </row>
    <row r="11" spans="1:13" ht="14.1" customHeight="1" x14ac:dyDescent="0.25">
      <c r="A11" s="303">
        <v>2126</v>
      </c>
      <c r="B11" s="304" t="s">
        <v>2998</v>
      </c>
      <c r="C11" s="305">
        <v>33457</v>
      </c>
      <c r="D11" s="161" t="s">
        <v>3278</v>
      </c>
      <c r="E11" s="279">
        <v>1.26</v>
      </c>
      <c r="F11" s="258">
        <v>0.3</v>
      </c>
      <c r="G11" s="281">
        <f t="shared" si="0"/>
        <v>0.56000000000000005</v>
      </c>
      <c r="H11" s="281">
        <f t="shared" si="1"/>
        <v>0.35897435897435898</v>
      </c>
      <c r="I11" s="239">
        <v>200</v>
      </c>
      <c r="J11" s="281">
        <f t="shared" si="2"/>
        <v>167.285</v>
      </c>
      <c r="K11" s="281">
        <f t="shared" si="3"/>
        <v>60.051025641025639</v>
      </c>
      <c r="L11" s="281">
        <f>+K11/200</f>
        <v>0.30025512820512817</v>
      </c>
      <c r="M11" s="239">
        <v>0</v>
      </c>
    </row>
    <row r="12" spans="1:13" x14ac:dyDescent="0.25">
      <c r="A12" s="303">
        <v>2134</v>
      </c>
      <c r="B12" s="304" t="s">
        <v>3000</v>
      </c>
      <c r="C12" s="305">
        <v>24647</v>
      </c>
      <c r="D12" s="161" t="s">
        <v>3277</v>
      </c>
      <c r="E12" s="279">
        <v>2.2000000000000002</v>
      </c>
      <c r="F12" s="258">
        <v>0.02</v>
      </c>
      <c r="G12" s="281">
        <f t="shared" si="0"/>
        <v>1.2200000000000002</v>
      </c>
      <c r="H12" s="281">
        <f t="shared" si="1"/>
        <v>0.5495495495495496</v>
      </c>
      <c r="I12" s="239">
        <v>100</v>
      </c>
      <c r="J12" s="281">
        <f t="shared" si="2"/>
        <v>246.47</v>
      </c>
      <c r="K12" s="281">
        <f t="shared" si="3"/>
        <v>135.44747747747749</v>
      </c>
      <c r="L12" s="281">
        <f t="shared" si="4"/>
        <v>0.67723738738738748</v>
      </c>
      <c r="M12" s="239">
        <v>1</v>
      </c>
    </row>
    <row r="13" spans="1:13" x14ac:dyDescent="0.25">
      <c r="A13" s="303">
        <v>2152</v>
      </c>
      <c r="B13" s="304" t="s">
        <v>3001</v>
      </c>
      <c r="C13" s="305">
        <v>14718</v>
      </c>
      <c r="D13" s="161" t="s">
        <v>3277</v>
      </c>
      <c r="E13" s="279">
        <v>1.03</v>
      </c>
      <c r="F13" s="258">
        <v>0.03</v>
      </c>
      <c r="G13" s="281">
        <f t="shared" si="0"/>
        <v>6.0000000000000053E-2</v>
      </c>
      <c r="H13" s="281">
        <f t="shared" si="1"/>
        <v>5.660377358490571E-2</v>
      </c>
      <c r="I13" s="239">
        <v>100</v>
      </c>
      <c r="J13" s="281">
        <f t="shared" si="2"/>
        <v>147.18</v>
      </c>
      <c r="K13" s="281">
        <f t="shared" si="3"/>
        <v>8.3309433962264237</v>
      </c>
      <c r="L13" s="281">
        <f t="shared" si="4"/>
        <v>4.1654716981132121E-2</v>
      </c>
      <c r="M13" s="239">
        <f t="shared" si="5"/>
        <v>0</v>
      </c>
    </row>
    <row r="14" spans="1:13" x14ac:dyDescent="0.25">
      <c r="A14" s="303">
        <v>2162</v>
      </c>
      <c r="B14" s="304" t="s">
        <v>3004</v>
      </c>
      <c r="C14" s="305">
        <v>5766</v>
      </c>
      <c r="D14" s="161" t="s">
        <v>3277</v>
      </c>
      <c r="E14" s="279">
        <v>1.03</v>
      </c>
      <c r="F14" s="258">
        <v>0.01</v>
      </c>
      <c r="G14" s="281">
        <f t="shared" si="0"/>
        <v>4.0000000000000036E-2</v>
      </c>
      <c r="H14" s="281">
        <f t="shared" si="1"/>
        <v>3.8461538461538491E-2</v>
      </c>
      <c r="I14" s="239">
        <v>100</v>
      </c>
      <c r="J14" s="281">
        <f t="shared" si="2"/>
        <v>57.66</v>
      </c>
      <c r="K14" s="281">
        <f t="shared" si="3"/>
        <v>2.2176923076923094</v>
      </c>
      <c r="L14" s="281">
        <f t="shared" si="4"/>
        <v>1.1088461538461547E-2</v>
      </c>
      <c r="M14" s="239">
        <f t="shared" si="5"/>
        <v>0</v>
      </c>
    </row>
    <row r="15" spans="1:13" x14ac:dyDescent="0.25">
      <c r="A15" s="303">
        <v>2191</v>
      </c>
      <c r="B15" s="304" t="s">
        <v>3007</v>
      </c>
      <c r="C15" s="305">
        <v>7183</v>
      </c>
      <c r="D15" s="161" t="s">
        <v>3277</v>
      </c>
      <c r="E15" s="279">
        <v>1.1299999999999999</v>
      </c>
      <c r="F15" s="258">
        <v>0.01</v>
      </c>
      <c r="G15" s="281">
        <f t="shared" si="0"/>
        <v>0.1399999999999999</v>
      </c>
      <c r="H15" s="281">
        <f t="shared" si="1"/>
        <v>0.12280701754385957</v>
      </c>
      <c r="I15" s="239">
        <v>100</v>
      </c>
      <c r="J15" s="281">
        <f t="shared" si="2"/>
        <v>71.83</v>
      </c>
      <c r="K15" s="281">
        <f t="shared" si="3"/>
        <v>8.8212280701754331</v>
      </c>
      <c r="L15" s="281">
        <f t="shared" si="4"/>
        <v>4.4106140350877163E-2</v>
      </c>
      <c r="M15" s="239">
        <f t="shared" si="5"/>
        <v>0</v>
      </c>
    </row>
    <row r="16" spans="1:13" x14ac:dyDescent="0.25">
      <c r="A16" s="303">
        <v>2211</v>
      </c>
      <c r="B16" s="304" t="s">
        <v>3009</v>
      </c>
      <c r="C16" s="305">
        <v>75059</v>
      </c>
      <c r="D16" s="161" t="s">
        <v>3277</v>
      </c>
      <c r="E16" s="279">
        <v>1.1399999999999999</v>
      </c>
      <c r="F16" s="258">
        <v>0.01</v>
      </c>
      <c r="G16" s="281">
        <f t="shared" si="0"/>
        <v>0.14999999999999991</v>
      </c>
      <c r="H16" s="281">
        <f t="shared" si="1"/>
        <v>0.13043478260869559</v>
      </c>
      <c r="I16" s="239">
        <v>100</v>
      </c>
      <c r="J16" s="281">
        <f t="shared" si="2"/>
        <v>750.59</v>
      </c>
      <c r="K16" s="281">
        <f t="shared" si="3"/>
        <v>97.903043478260827</v>
      </c>
      <c r="L16" s="281">
        <f t="shared" si="4"/>
        <v>0.48951521739130416</v>
      </c>
      <c r="M16" s="239">
        <v>1</v>
      </c>
    </row>
    <row r="17" spans="1:13" x14ac:dyDescent="0.25">
      <c r="A17" s="303">
        <v>3101</v>
      </c>
      <c r="B17" s="304" t="s">
        <v>3022</v>
      </c>
      <c r="C17" s="305">
        <v>19156</v>
      </c>
      <c r="D17" s="161" t="s">
        <v>2935</v>
      </c>
      <c r="E17" s="307">
        <v>1.53</v>
      </c>
      <c r="F17" s="258">
        <v>0.09</v>
      </c>
      <c r="G17" s="281">
        <f t="shared" si="0"/>
        <v>0.62000000000000011</v>
      </c>
      <c r="H17" s="281">
        <f t="shared" si="1"/>
        <v>0.38271604938271608</v>
      </c>
      <c r="I17" s="239">
        <v>150</v>
      </c>
      <c r="J17" s="281">
        <f t="shared" si="2"/>
        <v>127.70666666666666</v>
      </c>
      <c r="K17" s="281">
        <f t="shared" si="3"/>
        <v>48.875390946502058</v>
      </c>
      <c r="L17" s="281">
        <f t="shared" si="4"/>
        <v>0.24437695473251028</v>
      </c>
      <c r="M17" s="239">
        <v>1</v>
      </c>
    </row>
    <row r="18" spans="1:13" x14ac:dyDescent="0.25">
      <c r="A18" s="303">
        <v>3102</v>
      </c>
      <c r="B18" s="304" t="s">
        <v>3023</v>
      </c>
      <c r="C18" s="305">
        <v>49055</v>
      </c>
      <c r="D18" s="161" t="s">
        <v>2935</v>
      </c>
      <c r="E18" s="279">
        <v>2.2000000000000002</v>
      </c>
      <c r="F18" s="258">
        <v>0.37</v>
      </c>
      <c r="G18" s="281">
        <f t="shared" si="0"/>
        <v>1.5700000000000003</v>
      </c>
      <c r="H18" s="281">
        <f t="shared" si="1"/>
        <v>0.6108949416342413</v>
      </c>
      <c r="I18" s="239">
        <v>150</v>
      </c>
      <c r="J18" s="281">
        <f t="shared" si="2"/>
        <v>327.03333333333336</v>
      </c>
      <c r="K18" s="281">
        <f t="shared" si="3"/>
        <v>199.78300907911807</v>
      </c>
      <c r="L18" s="281">
        <f t="shared" si="4"/>
        <v>0.9989150453955904</v>
      </c>
      <c r="M18" s="239">
        <f t="shared" si="5"/>
        <v>1</v>
      </c>
    </row>
    <row r="19" spans="1:13" x14ac:dyDescent="0.25">
      <c r="A19" s="303">
        <v>3103</v>
      </c>
      <c r="B19" s="304" t="s">
        <v>3279</v>
      </c>
      <c r="C19" s="305">
        <v>18968</v>
      </c>
      <c r="D19" s="161" t="s">
        <v>3278</v>
      </c>
      <c r="E19" s="279">
        <v>1.1000000000000001</v>
      </c>
      <c r="F19" s="258">
        <v>0</v>
      </c>
      <c r="G19" s="281">
        <f t="shared" si="0"/>
        <v>0.10000000000000009</v>
      </c>
      <c r="H19" s="281">
        <f t="shared" si="1"/>
        <v>9.0909090909090981E-2</v>
      </c>
      <c r="I19" s="239">
        <v>200</v>
      </c>
      <c r="J19" s="281">
        <f t="shared" si="2"/>
        <v>94.84</v>
      </c>
      <c r="K19" s="281">
        <f t="shared" si="3"/>
        <v>8.6218181818181883</v>
      </c>
      <c r="L19" s="281">
        <f t="shared" si="4"/>
        <v>4.3109090909090944E-2</v>
      </c>
      <c r="M19" s="239">
        <v>0</v>
      </c>
    </row>
    <row r="20" spans="1:13" x14ac:dyDescent="0.25">
      <c r="A20" s="303">
        <v>3131</v>
      </c>
      <c r="B20" s="304" t="s">
        <v>3026</v>
      </c>
      <c r="C20" s="305">
        <v>30434</v>
      </c>
      <c r="D20" s="161" t="s">
        <v>3277</v>
      </c>
      <c r="E20" s="279">
        <v>1.62</v>
      </c>
      <c r="F20" s="258">
        <v>0.25</v>
      </c>
      <c r="G20" s="281">
        <f t="shared" si="0"/>
        <v>0.87000000000000011</v>
      </c>
      <c r="H20" s="281">
        <f t="shared" si="1"/>
        <v>0.46524064171122997</v>
      </c>
      <c r="I20" s="239">
        <v>100</v>
      </c>
      <c r="J20" s="281">
        <f t="shared" si="2"/>
        <v>304.33999999999997</v>
      </c>
      <c r="K20" s="281">
        <f t="shared" si="3"/>
        <v>141.59133689839572</v>
      </c>
      <c r="L20" s="281">
        <f t="shared" si="4"/>
        <v>0.70795668449197857</v>
      </c>
      <c r="M20" s="239">
        <v>1</v>
      </c>
    </row>
    <row r="21" spans="1:13" x14ac:dyDescent="0.25">
      <c r="A21" s="303">
        <v>3151</v>
      </c>
      <c r="B21" s="304" t="s">
        <v>3028</v>
      </c>
      <c r="C21" s="305">
        <v>12654</v>
      </c>
      <c r="D21" s="161" t="s">
        <v>3278</v>
      </c>
      <c r="E21" s="279">
        <v>1.53</v>
      </c>
      <c r="F21" s="258">
        <v>0.03</v>
      </c>
      <c r="G21" s="281">
        <f t="shared" si="0"/>
        <v>0.56000000000000005</v>
      </c>
      <c r="H21" s="281">
        <f t="shared" si="1"/>
        <v>0.35897435897435898</v>
      </c>
      <c r="I21" s="239">
        <v>200</v>
      </c>
      <c r="J21" s="281">
        <f t="shared" si="2"/>
        <v>63.27</v>
      </c>
      <c r="K21" s="281">
        <f t="shared" si="3"/>
        <v>22.712307692307693</v>
      </c>
      <c r="L21" s="281">
        <f t="shared" si="4"/>
        <v>0.11356153846153846</v>
      </c>
      <c r="M21" s="239">
        <v>1</v>
      </c>
    </row>
    <row r="22" spans="1:13" x14ac:dyDescent="0.25">
      <c r="A22" s="303">
        <v>3161</v>
      </c>
      <c r="B22" s="304" t="s">
        <v>3029</v>
      </c>
      <c r="C22" s="305">
        <v>3611</v>
      </c>
      <c r="D22" s="161" t="s">
        <v>3278</v>
      </c>
      <c r="E22" s="279">
        <v>1.1599999999999999</v>
      </c>
      <c r="F22" s="258">
        <v>0.03</v>
      </c>
      <c r="G22" s="281">
        <f t="shared" si="0"/>
        <v>0.18999999999999995</v>
      </c>
      <c r="H22" s="281">
        <f t="shared" si="1"/>
        <v>0.15966386554621845</v>
      </c>
      <c r="I22" s="239">
        <v>200</v>
      </c>
      <c r="J22" s="281">
        <f t="shared" si="2"/>
        <v>18.055</v>
      </c>
      <c r="K22" s="281">
        <f t="shared" si="3"/>
        <v>2.8827310924369742</v>
      </c>
      <c r="L22" s="281">
        <f t="shared" si="4"/>
        <v>1.4413655462184871E-2</v>
      </c>
      <c r="M22" s="239">
        <f t="shared" si="5"/>
        <v>0</v>
      </c>
    </row>
    <row r="23" spans="1:13" x14ac:dyDescent="0.25">
      <c r="A23" s="303">
        <v>3171</v>
      </c>
      <c r="B23" s="304" t="s">
        <v>3030</v>
      </c>
      <c r="C23" s="305">
        <v>12726</v>
      </c>
      <c r="D23" s="161" t="s">
        <v>3277</v>
      </c>
      <c r="E23" s="279">
        <v>1.37</v>
      </c>
      <c r="F23" s="258">
        <v>0.05</v>
      </c>
      <c r="G23" s="281">
        <f t="shared" si="0"/>
        <v>0.42000000000000015</v>
      </c>
      <c r="H23" s="281">
        <f t="shared" si="1"/>
        <v>0.29577464788732399</v>
      </c>
      <c r="I23" s="239">
        <v>100</v>
      </c>
      <c r="J23" s="281">
        <f t="shared" si="2"/>
        <v>127.26</v>
      </c>
      <c r="K23" s="281">
        <f t="shared" si="3"/>
        <v>37.640281690140853</v>
      </c>
      <c r="L23" s="281">
        <f t="shared" si="4"/>
        <v>0.18820140845070427</v>
      </c>
      <c r="M23" s="239">
        <f t="shared" si="5"/>
        <v>0</v>
      </c>
    </row>
    <row r="24" spans="1:13" x14ac:dyDescent="0.25">
      <c r="A24" s="303">
        <v>3181</v>
      </c>
      <c r="B24" s="304" t="s">
        <v>3031</v>
      </c>
      <c r="C24" s="305">
        <v>11069</v>
      </c>
      <c r="D24" s="161" t="s">
        <v>3277</v>
      </c>
      <c r="E24" s="279">
        <v>1.29</v>
      </c>
      <c r="F24" s="258">
        <v>0.09</v>
      </c>
      <c r="G24" s="281">
        <f t="shared" si="0"/>
        <v>0.38000000000000012</v>
      </c>
      <c r="H24" s="281">
        <f t="shared" si="1"/>
        <v>0.27536231884057977</v>
      </c>
      <c r="I24" s="239">
        <v>100</v>
      </c>
      <c r="J24" s="281">
        <f t="shared" si="2"/>
        <v>110.69</v>
      </c>
      <c r="K24" s="281">
        <f t="shared" si="3"/>
        <v>30.479855072463774</v>
      </c>
      <c r="L24" s="281">
        <f t="shared" si="4"/>
        <v>0.15239927536231887</v>
      </c>
      <c r="M24" s="239">
        <f t="shared" si="5"/>
        <v>0</v>
      </c>
    </row>
    <row r="25" spans="1:13" x14ac:dyDescent="0.25">
      <c r="A25" s="303">
        <v>3191</v>
      </c>
      <c r="B25" s="304" t="s">
        <v>3032</v>
      </c>
      <c r="C25" s="305">
        <v>9757</v>
      </c>
      <c r="D25" s="161" t="s">
        <v>3277</v>
      </c>
      <c r="E25" s="279">
        <v>1.21</v>
      </c>
      <c r="F25" s="258">
        <v>0.04</v>
      </c>
      <c r="G25" s="281">
        <f t="shared" si="0"/>
        <v>0.25</v>
      </c>
      <c r="H25" s="281">
        <f t="shared" si="1"/>
        <v>0.2</v>
      </c>
      <c r="I25" s="239">
        <v>100</v>
      </c>
      <c r="J25" s="281">
        <f t="shared" si="2"/>
        <v>97.57</v>
      </c>
      <c r="K25" s="281">
        <f t="shared" si="3"/>
        <v>19.513999999999999</v>
      </c>
      <c r="L25" s="281">
        <f t="shared" si="4"/>
        <v>9.756999999999999E-2</v>
      </c>
      <c r="M25" s="239">
        <f t="shared" si="5"/>
        <v>0</v>
      </c>
    </row>
    <row r="26" spans="1:13" x14ac:dyDescent="0.25">
      <c r="A26" s="303">
        <v>3201</v>
      </c>
      <c r="B26" s="304" t="s">
        <v>3033</v>
      </c>
      <c r="C26" s="305">
        <v>13730</v>
      </c>
      <c r="D26" s="161" t="s">
        <v>3277</v>
      </c>
      <c r="E26" s="279">
        <v>1.9</v>
      </c>
      <c r="F26" s="258">
        <v>0.11</v>
      </c>
      <c r="G26" s="281">
        <f t="shared" si="0"/>
        <v>1.0099999999999998</v>
      </c>
      <c r="H26" s="281">
        <f t="shared" si="1"/>
        <v>0.50248756218905466</v>
      </c>
      <c r="I26" s="239">
        <v>100</v>
      </c>
      <c r="J26" s="281">
        <f t="shared" si="2"/>
        <v>137.30000000000001</v>
      </c>
      <c r="K26" s="281">
        <f t="shared" si="3"/>
        <v>68.991542288557213</v>
      </c>
      <c r="L26" s="281">
        <f t="shared" si="4"/>
        <v>0.34495771144278609</v>
      </c>
      <c r="M26" s="239">
        <v>1</v>
      </c>
    </row>
    <row r="27" spans="1:13" x14ac:dyDescent="0.25">
      <c r="A27" s="303">
        <v>4414</v>
      </c>
      <c r="B27" s="304" t="s">
        <v>3041</v>
      </c>
      <c r="C27" s="305">
        <v>25110</v>
      </c>
      <c r="D27" s="161" t="s">
        <v>3280</v>
      </c>
      <c r="E27" s="279">
        <v>1.1299999999999999</v>
      </c>
      <c r="F27" s="258">
        <v>0.03</v>
      </c>
      <c r="G27" s="281">
        <f t="shared" si="0"/>
        <v>0.15999999999999992</v>
      </c>
      <c r="H27" s="281">
        <f t="shared" si="1"/>
        <v>0.13793103448275856</v>
      </c>
      <c r="I27" s="239">
        <v>500</v>
      </c>
      <c r="J27" s="281">
        <f t="shared" si="2"/>
        <v>50.22</v>
      </c>
      <c r="K27" s="281">
        <f t="shared" si="3"/>
        <v>6.926896551724135</v>
      </c>
      <c r="L27" s="281">
        <f t="shared" si="4"/>
        <v>3.4634482758620674E-2</v>
      </c>
      <c r="M27" s="239">
        <f t="shared" si="5"/>
        <v>0</v>
      </c>
    </row>
    <row r="28" spans="1:13" x14ac:dyDescent="0.25">
      <c r="A28" s="303">
        <v>4424</v>
      </c>
      <c r="B28" s="304" t="s">
        <v>3042</v>
      </c>
      <c r="C28" s="305">
        <v>24041</v>
      </c>
      <c r="D28" s="161" t="s">
        <v>3280</v>
      </c>
      <c r="E28" s="279">
        <v>1.04</v>
      </c>
      <c r="F28" s="258">
        <v>0.02</v>
      </c>
      <c r="G28" s="281">
        <f t="shared" si="0"/>
        <v>6.0000000000000053E-2</v>
      </c>
      <c r="H28" s="281">
        <f t="shared" si="1"/>
        <v>5.660377358490571E-2</v>
      </c>
      <c r="I28" s="239">
        <v>500</v>
      </c>
      <c r="J28" s="281">
        <f t="shared" si="2"/>
        <v>48.082000000000001</v>
      </c>
      <c r="K28" s="281">
        <f t="shared" si="3"/>
        <v>2.7216226415094362</v>
      </c>
      <c r="L28" s="281">
        <f t="shared" si="4"/>
        <v>1.3608113207547181E-2</v>
      </c>
      <c r="M28" s="239">
        <f t="shared" si="5"/>
        <v>0</v>
      </c>
    </row>
    <row r="29" spans="1:13" x14ac:dyDescent="0.25">
      <c r="A29" s="303">
        <v>5302</v>
      </c>
      <c r="B29" s="304" t="s">
        <v>3048</v>
      </c>
      <c r="C29" s="305">
        <v>11757</v>
      </c>
      <c r="D29" s="239" t="s">
        <v>2935</v>
      </c>
      <c r="E29" s="279">
        <v>1.31</v>
      </c>
      <c r="F29" s="258">
        <v>0.01</v>
      </c>
      <c r="G29" s="281">
        <f t="shared" si="0"/>
        <v>0.32000000000000006</v>
      </c>
      <c r="H29" s="281">
        <f t="shared" si="1"/>
        <v>0.24242424242424246</v>
      </c>
      <c r="I29" s="239">
        <v>150</v>
      </c>
      <c r="J29" s="281">
        <f t="shared" si="2"/>
        <v>78.38</v>
      </c>
      <c r="K29" s="281">
        <f t="shared" si="3"/>
        <v>19.001212121212124</v>
      </c>
      <c r="L29" s="281">
        <f t="shared" si="4"/>
        <v>9.5006060606060622E-2</v>
      </c>
      <c r="M29" s="239">
        <v>1</v>
      </c>
    </row>
    <row r="30" spans="1:13" x14ac:dyDescent="0.25">
      <c r="A30" s="303">
        <v>5304</v>
      </c>
      <c r="B30" s="304" t="s">
        <v>3050</v>
      </c>
      <c r="C30" s="305">
        <v>4125</v>
      </c>
      <c r="D30" s="239" t="s">
        <v>2935</v>
      </c>
      <c r="E30" s="279">
        <v>1.06</v>
      </c>
      <c r="F30" s="258">
        <v>0.01</v>
      </c>
      <c r="G30" s="281">
        <f t="shared" si="0"/>
        <v>7.0000000000000062E-2</v>
      </c>
      <c r="H30" s="281">
        <f t="shared" si="1"/>
        <v>6.54205607476636E-2</v>
      </c>
      <c r="I30" s="239">
        <v>150</v>
      </c>
      <c r="J30" s="281">
        <f t="shared" si="2"/>
        <v>27.5</v>
      </c>
      <c r="K30" s="281">
        <f t="shared" si="3"/>
        <v>1.799065420560749</v>
      </c>
      <c r="L30" s="281">
        <f t="shared" si="4"/>
        <v>8.9953271028037456E-3</v>
      </c>
      <c r="M30" s="239">
        <v>0</v>
      </c>
    </row>
    <row r="31" spans="1:13" x14ac:dyDescent="0.25">
      <c r="A31" s="303">
        <v>7215</v>
      </c>
      <c r="B31" s="304" t="s">
        <v>3063</v>
      </c>
      <c r="C31" s="305">
        <v>100358</v>
      </c>
      <c r="D31" s="239" t="s">
        <v>3281</v>
      </c>
      <c r="E31" s="279">
        <v>3.05</v>
      </c>
      <c r="F31" s="258">
        <v>0.6</v>
      </c>
      <c r="G31" s="281">
        <f t="shared" si="0"/>
        <v>2.65</v>
      </c>
      <c r="H31" s="281">
        <f t="shared" si="1"/>
        <v>0.72602739726027399</v>
      </c>
      <c r="I31" s="239">
        <v>100</v>
      </c>
      <c r="J31" s="281">
        <f t="shared" si="2"/>
        <v>1003.58</v>
      </c>
      <c r="K31" s="281">
        <f t="shared" si="3"/>
        <v>728.6265753424658</v>
      </c>
      <c r="L31" s="281">
        <f t="shared" si="4"/>
        <v>3.643132876712329</v>
      </c>
      <c r="M31" s="239">
        <f t="shared" si="5"/>
        <v>4</v>
      </c>
    </row>
    <row r="32" spans="1:13" x14ac:dyDescent="0.25">
      <c r="A32" s="303">
        <v>7231</v>
      </c>
      <c r="B32" s="304" t="s">
        <v>3064</v>
      </c>
      <c r="C32" s="305">
        <v>3711</v>
      </c>
      <c r="D32" s="239" t="s">
        <v>3280</v>
      </c>
      <c r="E32" s="279">
        <v>1.1399999999999999</v>
      </c>
      <c r="F32" s="258">
        <v>0.02</v>
      </c>
      <c r="G32" s="281">
        <f t="shared" si="0"/>
        <v>0.15999999999999992</v>
      </c>
      <c r="H32" s="281">
        <f t="shared" si="1"/>
        <v>0.13793103448275856</v>
      </c>
      <c r="I32" s="239">
        <v>500</v>
      </c>
      <c r="J32" s="281">
        <f t="shared" si="2"/>
        <v>7.4219999999999997</v>
      </c>
      <c r="K32" s="281">
        <f t="shared" si="3"/>
        <v>1.023724137931034</v>
      </c>
      <c r="L32" s="281">
        <f t="shared" si="4"/>
        <v>5.1186206896551697E-3</v>
      </c>
      <c r="M32" s="239">
        <f t="shared" si="5"/>
        <v>0</v>
      </c>
    </row>
    <row r="33" spans="1:16" x14ac:dyDescent="0.25">
      <c r="A33" s="303">
        <v>7312</v>
      </c>
      <c r="B33" s="304" t="s">
        <v>3073</v>
      </c>
      <c r="C33" s="305">
        <v>17266</v>
      </c>
      <c r="D33" s="239" t="s">
        <v>3276</v>
      </c>
      <c r="E33" s="279">
        <v>1.25</v>
      </c>
      <c r="F33" s="258">
        <v>0.01</v>
      </c>
      <c r="G33" s="281">
        <f t="shared" si="0"/>
        <v>0.26</v>
      </c>
      <c r="H33" s="281">
        <f t="shared" si="1"/>
        <v>0.20634920634920637</v>
      </c>
      <c r="I33" s="239">
        <v>120</v>
      </c>
      <c r="J33" s="281">
        <f t="shared" si="2"/>
        <v>143.88333333333333</v>
      </c>
      <c r="K33" s="281">
        <f t="shared" si="3"/>
        <v>29.69021164021164</v>
      </c>
      <c r="L33" s="281">
        <f t="shared" si="4"/>
        <v>0.14845105820105819</v>
      </c>
      <c r="M33" s="239">
        <f t="shared" si="5"/>
        <v>0</v>
      </c>
    </row>
    <row r="34" spans="1:16" x14ac:dyDescent="0.25">
      <c r="A34" s="303">
        <v>7313</v>
      </c>
      <c r="B34" s="304" t="s">
        <v>3074</v>
      </c>
      <c r="C34" s="305">
        <v>8541</v>
      </c>
      <c r="D34" s="239" t="s">
        <v>2935</v>
      </c>
      <c r="E34" s="279">
        <v>1.22</v>
      </c>
      <c r="F34" s="258">
        <v>0.06</v>
      </c>
      <c r="G34" s="281">
        <f t="shared" si="0"/>
        <v>0.28000000000000003</v>
      </c>
      <c r="H34" s="281">
        <f t="shared" si="1"/>
        <v>0.21875000000000003</v>
      </c>
      <c r="I34" s="239">
        <v>150</v>
      </c>
      <c r="J34" s="281">
        <f t="shared" si="2"/>
        <v>56.94</v>
      </c>
      <c r="K34" s="281">
        <f t="shared" si="3"/>
        <v>12.455625000000001</v>
      </c>
      <c r="L34" s="281">
        <f t="shared" si="4"/>
        <v>6.2278125000000004E-2</v>
      </c>
      <c r="M34" s="239">
        <f t="shared" si="5"/>
        <v>0</v>
      </c>
    </row>
    <row r="35" spans="1:16" x14ac:dyDescent="0.25">
      <c r="A35" s="303">
        <v>7331</v>
      </c>
      <c r="B35" s="304" t="s">
        <v>3079</v>
      </c>
      <c r="C35" s="305">
        <v>5710</v>
      </c>
      <c r="D35" s="239" t="s">
        <v>2935</v>
      </c>
      <c r="E35" s="279">
        <v>1.1000000000000001</v>
      </c>
      <c r="F35" s="258">
        <v>0.03</v>
      </c>
      <c r="G35" s="281">
        <f t="shared" si="0"/>
        <v>0.13000000000000012</v>
      </c>
      <c r="H35" s="281">
        <f t="shared" si="1"/>
        <v>0.11504424778761072</v>
      </c>
      <c r="I35" s="239">
        <v>150</v>
      </c>
      <c r="J35" s="281">
        <f t="shared" si="2"/>
        <v>38.06666666666667</v>
      </c>
      <c r="K35" s="281">
        <f t="shared" si="3"/>
        <v>4.3793510324483815</v>
      </c>
      <c r="L35" s="281">
        <f t="shared" si="4"/>
        <v>2.1896755162241908E-2</v>
      </c>
      <c r="M35" s="239">
        <f t="shared" si="5"/>
        <v>0</v>
      </c>
    </row>
    <row r="36" spans="1:16" x14ac:dyDescent="0.25">
      <c r="A36" s="303">
        <v>7333</v>
      </c>
      <c r="B36" s="304" t="s">
        <v>3080</v>
      </c>
      <c r="C36" s="305">
        <v>18240</v>
      </c>
      <c r="D36" s="239" t="s">
        <v>3233</v>
      </c>
      <c r="E36" s="279">
        <v>1.28</v>
      </c>
      <c r="F36" s="258">
        <v>0.08</v>
      </c>
      <c r="G36" s="281">
        <f t="shared" si="0"/>
        <v>0.3600000000000001</v>
      </c>
      <c r="H36" s="281">
        <f t="shared" si="1"/>
        <v>0.26470588235294124</v>
      </c>
      <c r="I36" s="239">
        <v>15</v>
      </c>
      <c r="J36" s="281">
        <f t="shared" si="2"/>
        <v>1216</v>
      </c>
      <c r="K36" s="281">
        <f t="shared" si="3"/>
        <v>321.88235294117652</v>
      </c>
      <c r="L36" s="281">
        <f t="shared" si="4"/>
        <v>1.6094117647058825</v>
      </c>
      <c r="M36" s="239">
        <f t="shared" si="5"/>
        <v>2</v>
      </c>
    </row>
    <row r="37" spans="1:16" x14ac:dyDescent="0.25">
      <c r="A37" s="303">
        <v>7346</v>
      </c>
      <c r="B37" s="304" t="s">
        <v>3086</v>
      </c>
      <c r="C37" s="305">
        <v>28915</v>
      </c>
      <c r="D37" s="239" t="s">
        <v>3282</v>
      </c>
      <c r="E37" s="279">
        <v>1.2</v>
      </c>
      <c r="F37" s="258">
        <v>0.02</v>
      </c>
      <c r="G37" s="281">
        <f t="shared" si="0"/>
        <v>0.21999999999999997</v>
      </c>
      <c r="H37" s="281">
        <f t="shared" si="1"/>
        <v>0.18032786885245899</v>
      </c>
      <c r="I37" s="239">
        <v>60</v>
      </c>
      <c r="J37" s="281">
        <f t="shared" si="2"/>
        <v>481.91666666666669</v>
      </c>
      <c r="K37" s="281">
        <f t="shared" si="3"/>
        <v>86.90300546448087</v>
      </c>
      <c r="L37" s="281">
        <f t="shared" si="4"/>
        <v>0.43451502732240432</v>
      </c>
      <c r="M37" s="239">
        <f t="shared" si="5"/>
        <v>0</v>
      </c>
    </row>
    <row r="38" spans="1:16" x14ac:dyDescent="0.25">
      <c r="A38" s="303">
        <v>7347</v>
      </c>
      <c r="B38" s="304" t="s">
        <v>3087</v>
      </c>
      <c r="C38" s="305">
        <v>4601</v>
      </c>
      <c r="D38" s="239" t="s">
        <v>2935</v>
      </c>
      <c r="E38" s="279">
        <v>1.1200000000000001</v>
      </c>
      <c r="F38" s="258">
        <v>0.01</v>
      </c>
      <c r="G38" s="281">
        <f t="shared" si="0"/>
        <v>0.13000000000000012</v>
      </c>
      <c r="H38" s="281">
        <f t="shared" si="1"/>
        <v>0.11504424778761072</v>
      </c>
      <c r="I38" s="239">
        <v>150</v>
      </c>
      <c r="J38" s="281">
        <f t="shared" si="2"/>
        <v>30.673333333333332</v>
      </c>
      <c r="K38" s="281">
        <f t="shared" si="3"/>
        <v>3.5287905604719794</v>
      </c>
      <c r="L38" s="281">
        <f t="shared" si="4"/>
        <v>1.7643952802359898E-2</v>
      </c>
      <c r="M38" s="239">
        <v>0</v>
      </c>
    </row>
    <row r="39" spans="1:16" x14ac:dyDescent="0.25">
      <c r="A39" s="303">
        <v>7349</v>
      </c>
      <c r="B39" s="304" t="s">
        <v>3089</v>
      </c>
      <c r="C39" s="305">
        <v>69156</v>
      </c>
      <c r="D39" s="239" t="s">
        <v>3282</v>
      </c>
      <c r="E39" s="279">
        <v>1.23</v>
      </c>
      <c r="F39" s="258">
        <v>0.03</v>
      </c>
      <c r="G39" s="281">
        <f t="shared" si="0"/>
        <v>0.26</v>
      </c>
      <c r="H39" s="281">
        <f t="shared" si="1"/>
        <v>0.20634920634920637</v>
      </c>
      <c r="I39" s="239">
        <v>60</v>
      </c>
      <c r="J39" s="281">
        <f t="shared" si="2"/>
        <v>1152.5999999999999</v>
      </c>
      <c r="K39" s="281">
        <f t="shared" si="3"/>
        <v>237.83809523809524</v>
      </c>
      <c r="L39" s="281">
        <f t="shared" si="4"/>
        <v>1.1891904761904761</v>
      </c>
      <c r="M39" s="239">
        <f t="shared" si="5"/>
        <v>1</v>
      </c>
    </row>
    <row r="40" spans="1:16" x14ac:dyDescent="0.25">
      <c r="A40" s="303">
        <v>7351</v>
      </c>
      <c r="B40" s="304" t="s">
        <v>3091</v>
      </c>
      <c r="C40" s="305">
        <v>21175</v>
      </c>
      <c r="D40" s="239" t="s">
        <v>3283</v>
      </c>
      <c r="E40" s="279">
        <v>1.61</v>
      </c>
      <c r="F40" s="258">
        <v>0.09</v>
      </c>
      <c r="G40" s="281">
        <f t="shared" si="0"/>
        <v>0.70000000000000018</v>
      </c>
      <c r="H40" s="281">
        <f t="shared" si="1"/>
        <v>0.41176470588235298</v>
      </c>
      <c r="I40" s="239">
        <v>20</v>
      </c>
      <c r="J40" s="281">
        <f t="shared" si="2"/>
        <v>1058.75</v>
      </c>
      <c r="K40" s="281">
        <f t="shared" si="3"/>
        <v>435.95588235294122</v>
      </c>
      <c r="L40" s="281">
        <f t="shared" si="4"/>
        <v>2.1797794117647062</v>
      </c>
      <c r="M40" s="239">
        <f t="shared" si="5"/>
        <v>2</v>
      </c>
    </row>
    <row r="41" spans="1:16" x14ac:dyDescent="0.25">
      <c r="A41" s="303">
        <v>7362</v>
      </c>
      <c r="B41" s="304" t="s">
        <v>3093</v>
      </c>
      <c r="C41" s="305">
        <v>6796</v>
      </c>
      <c r="D41" s="239" t="s">
        <v>3283</v>
      </c>
      <c r="E41" s="279">
        <v>1.17</v>
      </c>
      <c r="F41" s="258">
        <v>0.03</v>
      </c>
      <c r="G41" s="281">
        <f t="shared" si="0"/>
        <v>0.19999999999999996</v>
      </c>
      <c r="H41" s="281">
        <f t="shared" si="1"/>
        <v>0.16666666666666663</v>
      </c>
      <c r="I41" s="239">
        <v>20</v>
      </c>
      <c r="J41" s="281">
        <f t="shared" si="2"/>
        <v>339.8</v>
      </c>
      <c r="K41" s="281">
        <f t="shared" si="3"/>
        <v>56.633333333333326</v>
      </c>
      <c r="L41" s="281">
        <f t="shared" si="4"/>
        <v>0.28316666666666662</v>
      </c>
      <c r="M41" s="239">
        <f t="shared" si="5"/>
        <v>0</v>
      </c>
    </row>
    <row r="42" spans="1:16" x14ac:dyDescent="0.25">
      <c r="A42" s="303">
        <v>7417</v>
      </c>
      <c r="B42" s="304" t="s">
        <v>3109</v>
      </c>
      <c r="C42" s="305">
        <v>9922</v>
      </c>
      <c r="D42" s="239" t="s">
        <v>3233</v>
      </c>
      <c r="E42" s="279">
        <v>1.25</v>
      </c>
      <c r="F42" s="258">
        <v>7.0000000000000007E-2</v>
      </c>
      <c r="G42" s="281">
        <f t="shared" si="0"/>
        <v>0.32000000000000006</v>
      </c>
      <c r="H42" s="281">
        <f t="shared" si="1"/>
        <v>0.24242424242424246</v>
      </c>
      <c r="I42" s="239">
        <v>15</v>
      </c>
      <c r="J42" s="281">
        <f t="shared" si="2"/>
        <v>661.4666666666667</v>
      </c>
      <c r="K42" s="281">
        <f t="shared" si="3"/>
        <v>160.35555555555558</v>
      </c>
      <c r="L42" s="281">
        <f t="shared" si="4"/>
        <v>0.80177777777777792</v>
      </c>
      <c r="M42" s="239">
        <f t="shared" si="5"/>
        <v>1</v>
      </c>
    </row>
    <row r="43" spans="1:16" x14ac:dyDescent="0.25">
      <c r="A43" s="303">
        <v>8910</v>
      </c>
      <c r="B43" s="304" t="s">
        <v>3191</v>
      </c>
      <c r="C43" s="305">
        <v>1359</v>
      </c>
      <c r="D43" s="239" t="s">
        <v>3276</v>
      </c>
      <c r="E43" s="279">
        <v>1.07</v>
      </c>
      <c r="F43" s="258">
        <v>0.03</v>
      </c>
      <c r="G43" s="281">
        <f t="shared" si="0"/>
        <v>0.10000000000000009</v>
      </c>
      <c r="H43" s="281">
        <f t="shared" si="1"/>
        <v>9.0909090909090981E-2</v>
      </c>
      <c r="I43" s="239">
        <v>120</v>
      </c>
      <c r="J43" s="281">
        <f t="shared" si="2"/>
        <v>11.324999999999999</v>
      </c>
      <c r="K43" s="281">
        <f t="shared" si="3"/>
        <v>1.0295454545454552</v>
      </c>
      <c r="L43" s="281">
        <f t="shared" si="4"/>
        <v>5.147727272727276E-3</v>
      </c>
      <c r="M43" s="239">
        <f t="shared" si="5"/>
        <v>0</v>
      </c>
      <c r="P43" s="5"/>
    </row>
    <row r="44" spans="1:16" x14ac:dyDescent="0.25">
      <c r="A44" s="1733"/>
      <c r="B44" s="1734"/>
      <c r="C44" s="1734"/>
      <c r="D44" s="1734"/>
      <c r="E44" s="1734"/>
      <c r="F44" s="1734"/>
      <c r="G44" s="1734"/>
      <c r="H44" s="1734"/>
      <c r="I44" s="1734"/>
      <c r="J44" s="1734"/>
      <c r="K44" s="1734"/>
      <c r="L44" s="1734"/>
      <c r="M44" s="1735"/>
      <c r="P44" s="5"/>
    </row>
    <row r="45" spans="1:16" x14ac:dyDescent="0.25">
      <c r="A45" s="1724" t="s">
        <v>3204</v>
      </c>
      <c r="B45" s="1725"/>
      <c r="C45" s="1725"/>
      <c r="D45" s="1725"/>
      <c r="E45" s="1725"/>
      <c r="F45" s="1725"/>
      <c r="G45" s="1725"/>
      <c r="H45" s="1725"/>
      <c r="I45" s="1725"/>
      <c r="J45" s="1725"/>
      <c r="K45" s="1725"/>
      <c r="L45" s="1725"/>
      <c r="M45" s="1726"/>
    </row>
    <row r="46" spans="1:16" x14ac:dyDescent="0.25">
      <c r="A46" s="239">
        <v>1</v>
      </c>
      <c r="B46" s="1724" t="s">
        <v>3284</v>
      </c>
      <c r="C46" s="1725"/>
      <c r="D46" s="1725"/>
      <c r="E46" s="1725"/>
      <c r="F46" s="1725"/>
      <c r="G46" s="1725"/>
      <c r="H46" s="1725"/>
      <c r="I46" s="1725"/>
      <c r="J46" s="1725"/>
      <c r="K46" s="1725"/>
      <c r="L46" s="1725"/>
      <c r="M46" s="1726"/>
    </row>
    <row r="47" spans="1:16" x14ac:dyDescent="0.25">
      <c r="A47" s="239">
        <v>2</v>
      </c>
      <c r="B47" s="1724" t="s">
        <v>3285</v>
      </c>
      <c r="C47" s="1725"/>
      <c r="D47" s="1725"/>
      <c r="E47" s="1725"/>
      <c r="F47" s="1725"/>
      <c r="G47" s="1725"/>
      <c r="H47" s="1725"/>
      <c r="I47" s="1725"/>
      <c r="J47" s="1725"/>
      <c r="K47" s="1725"/>
      <c r="L47" s="1725"/>
      <c r="M47" s="1726"/>
    </row>
    <row r="48" spans="1:16" x14ac:dyDescent="0.25">
      <c r="A48" s="239">
        <v>3</v>
      </c>
      <c r="B48" s="1724" t="s">
        <v>3286</v>
      </c>
      <c r="C48" s="1725"/>
      <c r="D48" s="1725"/>
      <c r="E48" s="1725"/>
      <c r="F48" s="1725"/>
      <c r="G48" s="1725"/>
      <c r="H48" s="1725"/>
      <c r="I48" s="1725"/>
      <c r="J48" s="1725"/>
      <c r="K48" s="1725"/>
      <c r="L48" s="1725"/>
      <c r="M48" s="1726"/>
    </row>
    <row r="49" spans="1:13" x14ac:dyDescent="0.25">
      <c r="A49" s="239">
        <v>4</v>
      </c>
      <c r="B49" s="1724" t="s">
        <v>3287</v>
      </c>
      <c r="C49" s="1725"/>
      <c r="D49" s="1725"/>
      <c r="E49" s="1725"/>
      <c r="F49" s="1725"/>
      <c r="G49" s="1725"/>
      <c r="H49" s="1725"/>
      <c r="I49" s="1725"/>
      <c r="J49" s="1725"/>
      <c r="K49" s="1725"/>
      <c r="L49" s="1725"/>
      <c r="M49" s="1726"/>
    </row>
    <row r="50" spans="1:13" x14ac:dyDescent="0.25">
      <c r="A50" s="239">
        <v>5</v>
      </c>
      <c r="B50" s="1724" t="s">
        <v>3288</v>
      </c>
      <c r="C50" s="1725"/>
      <c r="D50" s="1725"/>
      <c r="E50" s="1725"/>
      <c r="F50" s="1725"/>
      <c r="G50" s="1725"/>
      <c r="H50" s="1725"/>
      <c r="I50" s="1725"/>
      <c r="J50" s="1725"/>
      <c r="K50" s="1725"/>
      <c r="L50" s="1725"/>
      <c r="M50" s="1726"/>
    </row>
    <row r="51" spans="1:13" ht="15.75" thickBot="1" x14ac:dyDescent="0.3">
      <c r="A51" s="3">
        <v>6</v>
      </c>
      <c r="B51" s="1727" t="s">
        <v>3289</v>
      </c>
      <c r="C51" s="1728"/>
      <c r="D51" s="1728"/>
      <c r="E51" s="1728"/>
      <c r="F51" s="1728"/>
      <c r="G51" s="1728"/>
      <c r="H51" s="1728"/>
      <c r="I51" s="1728"/>
      <c r="J51" s="1728"/>
      <c r="K51" s="1728"/>
      <c r="L51" s="1728"/>
      <c r="M51" s="1729"/>
    </row>
    <row r="52" spans="1:13" x14ac:dyDescent="0.25">
      <c r="B52" s="48"/>
    </row>
    <row r="53" spans="1:13" x14ac:dyDescent="0.25">
      <c r="B53" s="48"/>
    </row>
    <row r="54" spans="1:13" x14ac:dyDescent="0.25">
      <c r="B54" s="48"/>
    </row>
    <row r="55" spans="1:13" x14ac:dyDescent="0.25">
      <c r="B55" s="48"/>
    </row>
    <row r="56" spans="1:13" x14ac:dyDescent="0.25">
      <c r="B56" s="48"/>
    </row>
    <row r="57" spans="1:13" x14ac:dyDescent="0.25">
      <c r="B57" s="48"/>
    </row>
    <row r="58" spans="1:13" x14ac:dyDescent="0.25">
      <c r="B58" s="48"/>
    </row>
    <row r="59" spans="1:13" x14ac:dyDescent="0.25">
      <c r="B59" s="48"/>
    </row>
    <row r="60" spans="1:13" x14ac:dyDescent="0.25">
      <c r="B60" s="48"/>
    </row>
    <row r="61" spans="1:13" x14ac:dyDescent="0.25">
      <c r="B61" s="48"/>
    </row>
    <row r="62" spans="1:13" x14ac:dyDescent="0.25">
      <c r="B62" s="48"/>
    </row>
    <row r="63" spans="1:13" x14ac:dyDescent="0.25">
      <c r="B63" s="48"/>
    </row>
    <row r="64" spans="1:13" x14ac:dyDescent="0.25">
      <c r="B64" s="48"/>
    </row>
    <row r="65" spans="2:2" x14ac:dyDescent="0.25">
      <c r="B65" s="48"/>
    </row>
    <row r="66" spans="2:2" x14ac:dyDescent="0.25">
      <c r="B66" s="48"/>
    </row>
  </sheetData>
  <mergeCells count="9">
    <mergeCell ref="B50:M50"/>
    <mergeCell ref="B51:M51"/>
    <mergeCell ref="A1:M1"/>
    <mergeCell ref="A44:M44"/>
    <mergeCell ref="B46:M46"/>
    <mergeCell ref="B47:M47"/>
    <mergeCell ref="B48:M48"/>
    <mergeCell ref="B49:M49"/>
    <mergeCell ref="A45:M45"/>
  </mergeCells>
  <conditionalFormatting sqref="E3:E43">
    <cfRule type="cellIs" dxfId="0" priority="1" operator="greaterThan">
      <formula>1.5</formula>
    </cfRule>
  </conditionalFormatting>
  <pageMargins left="0.7" right="0.7" top="0.75" bottom="0.75" header="0.3" footer="0.3"/>
  <pageSetup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tabColor theme="4" tint="0.79998168889431442"/>
    <pageSetUpPr fitToPage="1"/>
  </sheetPr>
  <dimension ref="A1"/>
  <sheetViews>
    <sheetView topLeftCell="A37" workbookViewId="0">
      <selection activeCell="A49" sqref="A49"/>
    </sheetView>
  </sheetViews>
  <sheetFormatPr defaultRowHeight="15" x14ac:dyDescent="0.25"/>
  <sheetData/>
  <pageMargins left="0.7" right="0.7" top="0.75" bottom="0.75" header="0.3" footer="0.3"/>
  <pageSetup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tabColor theme="4" tint="0.79998168889431442"/>
    <pageSetUpPr fitToPage="1"/>
  </sheetPr>
  <dimension ref="A1:O71"/>
  <sheetViews>
    <sheetView topLeftCell="A48" workbookViewId="0">
      <selection activeCell="A54" sqref="A54"/>
    </sheetView>
  </sheetViews>
  <sheetFormatPr defaultRowHeight="15" x14ac:dyDescent="0.25"/>
  <cols>
    <col min="1" max="1" width="16.140625" style="4" customWidth="1"/>
    <col min="2" max="2" width="28.42578125" style="4" customWidth="1"/>
  </cols>
  <sheetData>
    <row r="1" spans="1:2" ht="39" customHeight="1" x14ac:dyDescent="0.3">
      <c r="A1" s="1737" t="s">
        <v>3290</v>
      </c>
      <c r="B1" s="1737"/>
    </row>
    <row r="2" spans="1:2" ht="15.75" x14ac:dyDescent="0.25">
      <c r="A2" s="308" t="s">
        <v>3291</v>
      </c>
      <c r="B2" s="308" t="s">
        <v>3292</v>
      </c>
    </row>
    <row r="3" spans="1:2" s="2" customFormat="1" x14ac:dyDescent="0.25">
      <c r="A3" s="309" t="s">
        <v>3293</v>
      </c>
      <c r="B3" s="309" t="s">
        <v>3294</v>
      </c>
    </row>
    <row r="4" spans="1:2" s="2" customFormat="1" ht="45" x14ac:dyDescent="0.25">
      <c r="A4" s="309" t="s">
        <v>3295</v>
      </c>
      <c r="B4" s="302" t="s">
        <v>3296</v>
      </c>
    </row>
    <row r="5" spans="1:2" s="2" customFormat="1" ht="30" x14ac:dyDescent="0.25">
      <c r="A5" s="309" t="s">
        <v>3297</v>
      </c>
      <c r="B5" s="302" t="s">
        <v>3298</v>
      </c>
    </row>
    <row r="6" spans="1:2" s="2" customFormat="1" x14ac:dyDescent="0.25">
      <c r="A6" s="309" t="s">
        <v>2935</v>
      </c>
      <c r="B6" s="309" t="s">
        <v>3299</v>
      </c>
    </row>
    <row r="7" spans="1:2" s="2" customFormat="1" x14ac:dyDescent="0.25">
      <c r="A7" s="309" t="s">
        <v>3283</v>
      </c>
      <c r="B7" s="309" t="s">
        <v>3294</v>
      </c>
    </row>
    <row r="8" spans="1:2" s="2" customFormat="1" x14ac:dyDescent="0.25">
      <c r="A8" s="309" t="s">
        <v>3277</v>
      </c>
      <c r="B8" s="309" t="s">
        <v>3294</v>
      </c>
    </row>
    <row r="9" spans="1:2" s="2" customFormat="1" ht="17.25" x14ac:dyDescent="0.25">
      <c r="A9" s="309" t="s">
        <v>3300</v>
      </c>
      <c r="B9" s="309" t="s">
        <v>3301</v>
      </c>
    </row>
    <row r="10" spans="1:2" s="2" customFormat="1" x14ac:dyDescent="0.25">
      <c r="A10" s="309" t="s">
        <v>3276</v>
      </c>
      <c r="B10" s="309" t="s">
        <v>3301</v>
      </c>
    </row>
    <row r="11" spans="1:2" s="2" customFormat="1" x14ac:dyDescent="0.25">
      <c r="A11" s="309" t="s">
        <v>3282</v>
      </c>
      <c r="B11" s="309" t="s">
        <v>3294</v>
      </c>
    </row>
    <row r="12" spans="1:2" s="2" customFormat="1" x14ac:dyDescent="0.25">
      <c r="A12" s="309" t="s">
        <v>3281</v>
      </c>
      <c r="B12" s="309" t="s">
        <v>3301</v>
      </c>
    </row>
    <row r="13" spans="1:2" s="2" customFormat="1" x14ac:dyDescent="0.25">
      <c r="A13" s="309" t="s">
        <v>2927</v>
      </c>
      <c r="B13" s="309" t="s">
        <v>3294</v>
      </c>
    </row>
    <row r="14" spans="1:2" s="2" customFormat="1" x14ac:dyDescent="0.25">
      <c r="A14" s="309" t="s">
        <v>3302</v>
      </c>
      <c r="B14" s="309" t="s">
        <v>3303</v>
      </c>
    </row>
    <row r="15" spans="1:2" s="2" customFormat="1" x14ac:dyDescent="0.25">
      <c r="B15" s="6"/>
    </row>
    <row r="16" spans="1:2" s="2" customFormat="1" ht="17.25" x14ac:dyDescent="0.25">
      <c r="A16" s="33" t="s">
        <v>3304</v>
      </c>
      <c r="B16" s="6"/>
    </row>
    <row r="17" spans="1:15" s="2" customFormat="1" x14ac:dyDescent="0.25">
      <c r="A17" s="34" t="s">
        <v>3305</v>
      </c>
      <c r="B17" s="6"/>
    </row>
    <row r="18" spans="1:15" s="2" customFormat="1" x14ac:dyDescent="0.25">
      <c r="A18" s="33" t="s">
        <v>3306</v>
      </c>
      <c r="B18" s="6"/>
    </row>
    <row r="19" spans="1:15" s="2" customFormat="1" x14ac:dyDescent="0.25">
      <c r="A19" s="33" t="s">
        <v>3307</v>
      </c>
      <c r="B19" s="6"/>
    </row>
    <row r="20" spans="1:15" s="2" customFormat="1" ht="30.75" customHeight="1" x14ac:dyDescent="0.25">
      <c r="A20" s="1736" t="s">
        <v>3308</v>
      </c>
      <c r="B20" s="1736"/>
      <c r="C20" s="1736"/>
      <c r="D20" s="1736"/>
      <c r="E20" s="1736"/>
      <c r="F20" s="1736"/>
      <c r="G20" s="1736"/>
      <c r="H20" s="1736"/>
      <c r="I20" s="33"/>
      <c r="J20" s="33"/>
      <c r="K20" s="33"/>
      <c r="L20" s="33"/>
      <c r="M20" s="33"/>
      <c r="N20" s="33"/>
      <c r="O20" s="33"/>
    </row>
    <row r="21" spans="1:15" s="2" customFormat="1" x14ac:dyDescent="0.25">
      <c r="A21" s="33" t="s">
        <v>3309</v>
      </c>
      <c r="B21" s="6"/>
    </row>
    <row r="22" spans="1:15" s="2" customFormat="1" x14ac:dyDescent="0.25">
      <c r="A22" s="33" t="s">
        <v>3310</v>
      </c>
      <c r="B22" s="6"/>
    </row>
    <row r="23" spans="1:15" s="2" customFormat="1" x14ac:dyDescent="0.25">
      <c r="A23" s="33"/>
      <c r="B23" s="6"/>
    </row>
    <row r="24" spans="1:15" s="2" customFormat="1" x14ac:dyDescent="0.25">
      <c r="A24" s="34" t="s">
        <v>3311</v>
      </c>
      <c r="B24" s="6"/>
    </row>
    <row r="25" spans="1:15" s="2" customFormat="1" x14ac:dyDescent="0.25">
      <c r="A25" s="33" t="s">
        <v>3312</v>
      </c>
      <c r="B25" s="6"/>
    </row>
    <row r="26" spans="1:15" s="2" customFormat="1" ht="45" customHeight="1" x14ac:dyDescent="0.25">
      <c r="A26" s="1736" t="s">
        <v>3313</v>
      </c>
      <c r="B26" s="1736"/>
      <c r="C26" s="1736"/>
      <c r="D26" s="1736"/>
      <c r="E26" s="1736"/>
      <c r="F26" s="1736"/>
      <c r="G26" s="1736"/>
    </row>
    <row r="27" spans="1:15" s="2" customFormat="1" x14ac:dyDescent="0.25">
      <c r="A27" s="33" t="s">
        <v>3314</v>
      </c>
      <c r="B27" s="6"/>
    </row>
    <row r="28" spans="1:15" s="2" customFormat="1" x14ac:dyDescent="0.25">
      <c r="A28" s="33" t="s">
        <v>3315</v>
      </c>
      <c r="B28" s="6"/>
    </row>
    <row r="29" spans="1:15" x14ac:dyDescent="0.25">
      <c r="A29" s="33" t="s">
        <v>3316</v>
      </c>
    </row>
    <row r="30" spans="1:15" ht="45" customHeight="1" x14ac:dyDescent="0.25">
      <c r="A30" s="1736" t="s">
        <v>3317</v>
      </c>
      <c r="B30" s="1736"/>
      <c r="C30" s="1736"/>
      <c r="D30" s="1736"/>
      <c r="E30" s="1736"/>
      <c r="F30" s="1736"/>
      <c r="G30" s="1736"/>
      <c r="H30" s="1736"/>
    </row>
    <row r="31" spans="1:15" x14ac:dyDescent="0.25">
      <c r="A31" s="33"/>
    </row>
    <row r="32" spans="1:15" x14ac:dyDescent="0.25">
      <c r="A32" s="34" t="s">
        <v>3318</v>
      </c>
    </row>
    <row r="33" spans="1:8" ht="30" customHeight="1" x14ac:dyDescent="0.25">
      <c r="A33" s="1736" t="s">
        <v>3319</v>
      </c>
      <c r="B33" s="1736"/>
      <c r="C33" s="1736"/>
      <c r="D33" s="1736"/>
      <c r="E33" s="1736"/>
      <c r="F33" s="1736"/>
      <c r="G33" s="1736"/>
      <c r="H33" s="1736"/>
    </row>
    <row r="34" spans="1:8" x14ac:dyDescent="0.25">
      <c r="A34" s="33"/>
    </row>
    <row r="35" spans="1:8" x14ac:dyDescent="0.25">
      <c r="A35" s="34" t="s">
        <v>3320</v>
      </c>
    </row>
    <row r="36" spans="1:8" ht="33.6" customHeight="1" x14ac:dyDescent="0.25">
      <c r="A36" s="1736" t="s">
        <v>3321</v>
      </c>
      <c r="B36" s="1736"/>
      <c r="C36" s="1736"/>
      <c r="D36" s="1736"/>
      <c r="E36" s="1736"/>
      <c r="F36" s="1736"/>
      <c r="G36" s="1736"/>
      <c r="H36" s="1736"/>
    </row>
    <row r="37" spans="1:8" x14ac:dyDescent="0.25">
      <c r="A37" s="33"/>
      <c r="D37" s="1"/>
    </row>
    <row r="38" spans="1:8" x14ac:dyDescent="0.25">
      <c r="A38" s="34" t="s">
        <v>3322</v>
      </c>
    </row>
    <row r="39" spans="1:8" ht="30" customHeight="1" x14ac:dyDescent="0.25">
      <c r="A39" s="1736" t="s">
        <v>3323</v>
      </c>
      <c r="B39" s="1736"/>
      <c r="C39" s="1736"/>
      <c r="D39" s="1736"/>
      <c r="E39" s="1736"/>
      <c r="F39" s="1736"/>
      <c r="G39" s="1736"/>
      <c r="H39" s="1736"/>
    </row>
    <row r="40" spans="1:8" x14ac:dyDescent="0.25">
      <c r="A40" s="33"/>
    </row>
    <row r="41" spans="1:8" x14ac:dyDescent="0.25">
      <c r="A41" s="34" t="s">
        <v>3324</v>
      </c>
    </row>
    <row r="42" spans="1:8" ht="45" customHeight="1" x14ac:dyDescent="0.25">
      <c r="A42" s="1736" t="s">
        <v>3325</v>
      </c>
      <c r="B42" s="1736"/>
      <c r="C42" s="1736"/>
      <c r="D42" s="1736"/>
      <c r="E42" s="1736"/>
      <c r="F42" s="1736"/>
      <c r="G42" s="1736"/>
      <c r="H42" s="1736"/>
    </row>
    <row r="43" spans="1:8" x14ac:dyDescent="0.25">
      <c r="A43" s="33"/>
    </row>
    <row r="44" spans="1:8" x14ac:dyDescent="0.25">
      <c r="A44" s="34" t="s">
        <v>3326</v>
      </c>
    </row>
    <row r="45" spans="1:8" ht="30" customHeight="1" x14ac:dyDescent="0.25">
      <c r="A45" s="1736" t="s">
        <v>3327</v>
      </c>
      <c r="B45" s="1736"/>
      <c r="C45" s="1736"/>
      <c r="D45" s="1736"/>
      <c r="E45" s="1736"/>
      <c r="F45" s="1736"/>
      <c r="G45" s="1736"/>
      <c r="H45" s="1736"/>
    </row>
    <row r="46" spans="1:8" x14ac:dyDescent="0.25">
      <c r="A46" s="33" t="s">
        <v>3328</v>
      </c>
    </row>
    <row r="47" spans="1:8" x14ac:dyDescent="0.25">
      <c r="A47" s="33" t="s">
        <v>3329</v>
      </c>
    </row>
    <row r="48" spans="1:8" x14ac:dyDescent="0.25">
      <c r="A48" s="33" t="s">
        <v>3330</v>
      </c>
    </row>
    <row r="49" spans="1:8" x14ac:dyDescent="0.25">
      <c r="A49" s="33" t="s">
        <v>3331</v>
      </c>
    </row>
    <row r="50" spans="1:8" x14ac:dyDescent="0.25">
      <c r="A50" s="33" t="s">
        <v>3332</v>
      </c>
    </row>
    <row r="51" spans="1:8" x14ac:dyDescent="0.25">
      <c r="A51" s="33"/>
    </row>
    <row r="52" spans="1:8" x14ac:dyDescent="0.25">
      <c r="A52" s="34" t="s">
        <v>3333</v>
      </c>
    </row>
    <row r="53" spans="1:8" ht="30" customHeight="1" x14ac:dyDescent="0.25">
      <c r="A53" s="1736" t="s">
        <v>3334</v>
      </c>
      <c r="B53" s="1736"/>
      <c r="C53" s="1736"/>
      <c r="D53" s="1736"/>
      <c r="E53" s="1736"/>
      <c r="F53" s="1736"/>
      <c r="G53" s="1736"/>
      <c r="H53" s="1736"/>
    </row>
    <row r="54" spans="1:8" x14ac:dyDescent="0.25">
      <c r="A54" s="33" t="s">
        <v>3335</v>
      </c>
    </row>
    <row r="55" spans="1:8" x14ac:dyDescent="0.25">
      <c r="A55" s="33" t="s">
        <v>3336</v>
      </c>
    </row>
    <row r="56" spans="1:8" x14ac:dyDescent="0.25">
      <c r="A56" s="33" t="s">
        <v>3337</v>
      </c>
    </row>
    <row r="57" spans="1:8" x14ac:dyDescent="0.25">
      <c r="A57" s="33"/>
    </row>
    <row r="58" spans="1:8" x14ac:dyDescent="0.25">
      <c r="A58" s="34" t="s">
        <v>3338</v>
      </c>
    </row>
    <row r="59" spans="1:8" x14ac:dyDescent="0.25">
      <c r="A59" s="33" t="s">
        <v>3339</v>
      </c>
    </row>
    <row r="60" spans="1:8" x14ac:dyDescent="0.25">
      <c r="A60" s="33"/>
    </row>
    <row r="61" spans="1:8" x14ac:dyDescent="0.25">
      <c r="A61" s="34" t="s">
        <v>3340</v>
      </c>
    </row>
    <row r="62" spans="1:8" ht="30" customHeight="1" x14ac:dyDescent="0.25">
      <c r="A62" s="1736" t="s">
        <v>3341</v>
      </c>
      <c r="B62" s="1736"/>
      <c r="C62" s="1736"/>
      <c r="D62" s="1736"/>
      <c r="E62" s="1736"/>
      <c r="F62" s="1736"/>
      <c r="G62" s="1736"/>
      <c r="H62" s="1736"/>
    </row>
    <row r="63" spans="1:8" x14ac:dyDescent="0.25">
      <c r="A63" s="33" t="s">
        <v>3342</v>
      </c>
    </row>
    <row r="64" spans="1:8" ht="78" customHeight="1" x14ac:dyDescent="0.25">
      <c r="A64" s="1736" t="s">
        <v>3343</v>
      </c>
      <c r="B64" s="1736"/>
      <c r="C64" s="1736"/>
      <c r="D64" s="1736"/>
      <c r="E64" s="1736"/>
      <c r="F64" s="1736"/>
      <c r="G64" s="1736"/>
      <c r="H64" s="1736"/>
    </row>
    <row r="65" spans="1:8" ht="14.25" customHeight="1" x14ac:dyDescent="0.25">
      <c r="A65" s="23"/>
      <c r="B65" s="23"/>
      <c r="C65" s="23"/>
      <c r="D65" s="23"/>
      <c r="E65" s="23"/>
      <c r="F65" s="23"/>
      <c r="G65" s="23"/>
      <c r="H65" s="23"/>
    </row>
    <row r="66" spans="1:8" x14ac:dyDescent="0.25">
      <c r="A66" s="34" t="s">
        <v>3260</v>
      </c>
    </row>
    <row r="67" spans="1:8" x14ac:dyDescent="0.25">
      <c r="A67" s="33" t="s">
        <v>3344</v>
      </c>
    </row>
    <row r="68" spans="1:8" x14ac:dyDescent="0.25">
      <c r="A68" s="33" t="s">
        <v>3345</v>
      </c>
    </row>
    <row r="69" spans="1:8" ht="45" customHeight="1" x14ac:dyDescent="0.25">
      <c r="A69" s="1736" t="s">
        <v>3346</v>
      </c>
      <c r="B69" s="1736"/>
      <c r="C69" s="1736"/>
      <c r="D69" s="1736"/>
      <c r="E69" s="1736"/>
      <c r="F69" s="1736"/>
      <c r="G69" s="1736"/>
      <c r="H69" s="1736"/>
    </row>
    <row r="70" spans="1:8" x14ac:dyDescent="0.25">
      <c r="A70" s="33" t="s">
        <v>3347</v>
      </c>
    </row>
    <row r="71" spans="1:8" x14ac:dyDescent="0.25">
      <c r="A71" s="33" t="s">
        <v>3348</v>
      </c>
    </row>
  </sheetData>
  <mergeCells count="13">
    <mergeCell ref="A69:H69"/>
    <mergeCell ref="A39:H39"/>
    <mergeCell ref="A42:H42"/>
    <mergeCell ref="A45:H45"/>
    <mergeCell ref="A53:H53"/>
    <mergeCell ref="A62:H62"/>
    <mergeCell ref="A64:H64"/>
    <mergeCell ref="A36:H36"/>
    <mergeCell ref="A1:B1"/>
    <mergeCell ref="A20:H20"/>
    <mergeCell ref="A26:G26"/>
    <mergeCell ref="A30:H30"/>
    <mergeCell ref="A33:H33"/>
  </mergeCells>
  <pageMargins left="0.7" right="0.7" top="0.75" bottom="0.75" header="0.3" footer="0.3"/>
  <pageSetup scale="93"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sheetPr>
    <tabColor theme="4" tint="0.79998168889431442"/>
  </sheetPr>
  <dimension ref="A1:A9"/>
  <sheetViews>
    <sheetView workbookViewId="0">
      <selection activeCell="C7" sqref="C7"/>
    </sheetView>
  </sheetViews>
  <sheetFormatPr defaultRowHeight="15" x14ac:dyDescent="0.25"/>
  <cols>
    <col min="1" max="1" width="109.85546875" customWidth="1"/>
  </cols>
  <sheetData>
    <row r="1" spans="1:1" ht="18.75" x14ac:dyDescent="0.3">
      <c r="A1" s="35" t="s">
        <v>3349</v>
      </c>
    </row>
    <row r="2" spans="1:1" ht="62.25" x14ac:dyDescent="0.25">
      <c r="A2" s="1" t="s">
        <v>3350</v>
      </c>
    </row>
    <row r="3" spans="1:1" x14ac:dyDescent="0.25">
      <c r="A3" s="1"/>
    </row>
    <row r="4" spans="1:1" ht="17.25" x14ac:dyDescent="0.25">
      <c r="A4" s="1" t="s">
        <v>3351</v>
      </c>
    </row>
    <row r="5" spans="1:1" x14ac:dyDescent="0.25">
      <c r="A5" s="1" t="s">
        <v>75</v>
      </c>
    </row>
    <row r="6" spans="1:1" ht="32.25" x14ac:dyDescent="0.25">
      <c r="A6" s="1" t="s">
        <v>3352</v>
      </c>
    </row>
    <row r="7" spans="1:1" ht="17.25" x14ac:dyDescent="0.25">
      <c r="A7" s="1" t="s">
        <v>3353</v>
      </c>
    </row>
    <row r="9" spans="1:1" ht="64.5" customHeight="1"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571500</xdr:colOff>
                <xdr:row>8</xdr:row>
                <xdr:rowOff>104775</xdr:rowOff>
              </from>
              <to>
                <xdr:col>0</xdr:col>
                <xdr:colOff>1943100</xdr:colOff>
                <xdr:row>9</xdr:row>
                <xdr:rowOff>0</xdr:rowOff>
              </to>
            </anchor>
          </objectPr>
        </oleObject>
      </mc:Choice>
      <mc:Fallback>
        <oleObject progId="Acrobat Document" dvAspect="DVASPECT_ICON"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56CF65EFFF21E40B39EFB9023EEFF16" ma:contentTypeVersion="2" ma:contentTypeDescription="Create a new document." ma:contentTypeScope="" ma:versionID="19c7c11d0226acc3542b47ca56039f99">
  <xsd:schema xmlns:xsd="http://www.w3.org/2001/XMLSchema" xmlns:xs="http://www.w3.org/2001/XMLSchema" xmlns:p="http://schemas.microsoft.com/office/2006/metadata/properties" xmlns:ns2="0f5df3a2-e23f-4811-9959-112414b68783" targetNamespace="http://schemas.microsoft.com/office/2006/metadata/properties" ma:root="true" ma:fieldsID="90eb812bde1e318d5fe3659e01cbaa64" ns2:_="">
    <xsd:import namespace="0f5df3a2-e23f-4811-9959-112414b6878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5df3a2-e23f-4811-9959-112414b687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7CED3C-0401-417A-BA34-54D94C96FD48}">
  <ds:schemaRefs>
    <ds:schemaRef ds:uri="http://schemas.microsoft.com/sharepoint/v3/contenttype/forms"/>
  </ds:schemaRefs>
</ds:datastoreItem>
</file>

<file path=customXml/itemProps2.xml><?xml version="1.0" encoding="utf-8"?>
<ds:datastoreItem xmlns:ds="http://schemas.openxmlformats.org/officeDocument/2006/customXml" ds:itemID="{7600A07E-E0E7-40C1-98E6-B1004F00A3F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2BACB61-165D-4F60-8395-55DDF92956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5df3a2-e23f-4811-9959-112414b687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PUC Calculations FY2022</vt:lpstr>
      <vt:lpstr>Legend</vt:lpstr>
      <vt:lpstr>2022 MILCON Inflation Table</vt:lpstr>
      <vt:lpstr>Mil Cost Premiums for PUCs</vt:lpstr>
      <vt:lpstr>M&amp;S Selection Business Rule</vt:lpstr>
      <vt:lpstr>2021 Elevator Rule</vt:lpstr>
      <vt:lpstr>2021 Overhead Crane Rule</vt:lpstr>
      <vt:lpstr>2021 Fire Sprinkler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'2022 MILCON Inflation Table'!Print_Area</vt:lpstr>
      <vt:lpstr>'Mil Cost Premiums for PUCs'!Print_Area</vt:lpstr>
      <vt:lpstr>'PUC Calculations FY2022'!Print_Area</vt:lpstr>
      <vt:lpstr>'2021 Elevator Rule'!Print_Titles</vt:lpstr>
      <vt:lpstr>'Mil Cost Premiums for PUCs'!PRV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Calese</dc:creator>
  <cp:keywords/>
  <dc:description/>
  <cp:lastModifiedBy>Gary Calese</cp:lastModifiedBy>
  <cp:revision/>
  <cp:lastPrinted>2022-07-01T16:30:33Z</cp:lastPrinted>
  <dcterms:created xsi:type="dcterms:W3CDTF">2018-07-06T18:00:32Z</dcterms:created>
  <dcterms:modified xsi:type="dcterms:W3CDTF">2022-07-03T01:37:03Z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0x010100E56CF65EFFF21E40B39EFB9023EEFF16</vt:lpwstr>
  </property>
</Properties>
</file>