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2" yWindow="32772" windowWidth="28800" windowHeight="10668" tabRatio="518" firstSheet="7" activeTab="7"/>
  </bookViews>
  <sheets>
    <sheet name="Fitness Space Calcs" sheetId="1" state="hidden" r:id="rId1"/>
    <sheet name="size classes" sheetId="2" state="hidden" r:id="rId2"/>
    <sheet name="Components and Space Standards" sheetId="3" state="hidden" r:id="rId3"/>
    <sheet name="Army" sheetId="4" state="hidden" r:id="rId4"/>
    <sheet name="Navy" sheetId="5" state="hidden" r:id="rId5"/>
    <sheet name="AF" sheetId="6" state="hidden" r:id="rId6"/>
    <sheet name="MC" sheetId="7" state="hidden" r:id="rId7"/>
    <sheet name="Interactive Worksheet" sheetId="8" r:id="rId8"/>
  </sheets>
  <definedNames>
    <definedName name="_xlfn.BAHTTEXT" hidden="1">#NAME?</definedName>
    <definedName name="_xlnm.Print_Area" localSheetId="5">'AF'!$A$1:$Q$95</definedName>
    <definedName name="_xlnm.Print_Area" localSheetId="3">'Army'!$A$1:$T$96</definedName>
    <definedName name="_xlnm.Print_Area" localSheetId="2">'Components and Space Standards'!$A$1:$E$102</definedName>
    <definedName name="_xlnm.Print_Area" localSheetId="7">'Interactive Worksheet'!$A$3:$H$165</definedName>
    <definedName name="_xlnm.Print_Area" localSheetId="6">'MC'!$A$1:$T$97</definedName>
    <definedName name="_xlnm.Print_Area" localSheetId="4">'Navy'!$A$1:$T$97</definedName>
    <definedName name="_xlnm.Print_Titles" localSheetId="2">'Components and Space Standards'!$1:$2</definedName>
    <definedName name="_xlnm.Print_Titles" localSheetId="7">'Interactive Worksheet'!$3:$3</definedName>
    <definedName name="Z_4168AAEC_F31C_43B7_A27F_D74D680BA6E9_.wvu.PrintTitles" localSheetId="5" hidden="1">'AF'!$A:$E,'AF'!$1:$2</definedName>
    <definedName name="Z_4168AAEC_F31C_43B7_A27F_D74D680BA6E9_.wvu.PrintTitles" localSheetId="3" hidden="1">'Army'!$A:$E,'Army'!$1:$2</definedName>
    <definedName name="Z_4168AAEC_F31C_43B7_A27F_D74D680BA6E9_.wvu.PrintTitles" localSheetId="2" hidden="1">'Components and Space Standards'!$A:$E,'Components and Space Standards'!$1:$2</definedName>
    <definedName name="Z_4168AAEC_F31C_43B7_A27F_D74D680BA6E9_.wvu.PrintTitles" localSheetId="6" hidden="1">'MC'!$A:$E,'MC'!$1:$2</definedName>
    <definedName name="Z_4168AAEC_F31C_43B7_A27F_D74D680BA6E9_.wvu.PrintTitles" localSheetId="4" hidden="1">'Navy'!$A:$E,'Navy'!$1:$2</definedName>
  </definedNames>
  <calcPr fullCalcOnLoad="1"/>
</workbook>
</file>

<file path=xl/comments3.xml><?xml version="1.0" encoding="utf-8"?>
<comments xmlns="http://schemas.openxmlformats.org/spreadsheetml/2006/main">
  <authors>
    <author>eric</author>
    <author>ARCADIS</author>
  </authors>
  <commentList>
    <comment ref="A1" authorId="0">
      <text>
        <r>
          <rPr>
            <b/>
            <sz val="8"/>
            <rFont val="Tahoma"/>
            <family val="2"/>
          </rPr>
          <t xml:space="preserve">Note:  </t>
        </r>
        <r>
          <rPr>
            <sz val="8"/>
            <rFont val="Tahoma"/>
            <family val="2"/>
          </rPr>
          <t>Please fill-in quantities for optional spaces as well as required spaces. The quantities for optional space will represent the amount you will get IF the option is selected.  if you would prefer the quantity to also be optional, please indicate that.</t>
        </r>
      </text>
    </comment>
    <comment ref="C77" authorId="1">
      <text>
        <r>
          <rPr>
            <b/>
            <sz val="8"/>
            <rFont val="Tahoma"/>
            <family val="2"/>
          </rPr>
          <t>If the distance or nunmber of lanes change, the linear feet needs to be recalculated to calculate occupancy. SEE Column "H" to the right.</t>
        </r>
      </text>
    </comment>
  </commentList>
</comments>
</file>

<file path=xl/comments4.xml><?xml version="1.0" encoding="utf-8"?>
<comments xmlns="http://schemas.openxmlformats.org/spreadsheetml/2006/main">
  <authors>
    <author>eric</author>
  </authors>
  <commentList>
    <comment ref="F43" authorId="0">
      <text>
        <r>
          <rPr>
            <b/>
            <sz val="8"/>
            <rFont val="Tahoma"/>
            <family val="2"/>
          </rPr>
          <t>eric:</t>
        </r>
        <r>
          <rPr>
            <sz val="8"/>
            <rFont val="Tahoma"/>
            <family val="2"/>
          </rPr>
          <t xml:space="preserve">
Indicate the size (small, medium, large) of the sauna desired.</t>
        </r>
      </text>
    </comment>
    <comment ref="F47" authorId="0">
      <text>
        <r>
          <rPr>
            <b/>
            <sz val="8"/>
            <rFont val="Tahoma"/>
            <family val="2"/>
          </rPr>
          <t>eric:</t>
        </r>
        <r>
          <rPr>
            <sz val="8"/>
            <rFont val="Tahoma"/>
            <family val="2"/>
          </rPr>
          <t xml:space="preserve">
Indicate machine combo desired (i.e. 2/3)</t>
        </r>
      </text>
    </comment>
  </commentList>
</comments>
</file>

<file path=xl/comments5.xml><?xml version="1.0" encoding="utf-8"?>
<comments xmlns="http://schemas.openxmlformats.org/spreadsheetml/2006/main">
  <authors>
    <author>eric</author>
  </authors>
  <commentList>
    <comment ref="F43" authorId="0">
      <text>
        <r>
          <rPr>
            <b/>
            <sz val="8"/>
            <rFont val="Tahoma"/>
            <family val="2"/>
          </rPr>
          <t>eric:</t>
        </r>
        <r>
          <rPr>
            <sz val="8"/>
            <rFont val="Tahoma"/>
            <family val="2"/>
          </rPr>
          <t xml:space="preserve">
Indicate the size (small, medium, large) of the sauna desired.</t>
        </r>
      </text>
    </comment>
    <comment ref="F47" authorId="0">
      <text>
        <r>
          <rPr>
            <b/>
            <sz val="8"/>
            <rFont val="Tahoma"/>
            <family val="2"/>
          </rPr>
          <t>eric:</t>
        </r>
        <r>
          <rPr>
            <sz val="8"/>
            <rFont val="Tahoma"/>
            <family val="2"/>
          </rPr>
          <t xml:space="preserve">
Indicate machine combo desired (i.e. 2/3)</t>
        </r>
      </text>
    </comment>
  </commentList>
</comments>
</file>

<file path=xl/comments6.xml><?xml version="1.0" encoding="utf-8"?>
<comments xmlns="http://schemas.openxmlformats.org/spreadsheetml/2006/main">
  <authors>
    <author>eric</author>
  </authors>
  <commentList>
    <comment ref="F20" authorId="0">
      <text>
        <r>
          <rPr>
            <b/>
            <sz val="8"/>
            <rFont val="Tahoma"/>
            <family val="2"/>
          </rPr>
          <t>eric:</t>
        </r>
        <r>
          <rPr>
            <sz val="8"/>
            <rFont val="Tahoma"/>
            <family val="2"/>
          </rPr>
          <t xml:space="preserve">
Indicate no. of people (smallest should = 25 ppl)</t>
        </r>
      </text>
    </comment>
    <comment ref="F47" authorId="0">
      <text>
        <r>
          <rPr>
            <b/>
            <sz val="8"/>
            <rFont val="Tahoma"/>
            <family val="2"/>
          </rPr>
          <t>eric:</t>
        </r>
        <r>
          <rPr>
            <sz val="8"/>
            <rFont val="Tahoma"/>
            <family val="2"/>
          </rPr>
          <t xml:space="preserve">
Indicate machine combo desired (i.e. 2/3)</t>
        </r>
      </text>
    </comment>
    <comment ref="F43" authorId="0">
      <text>
        <r>
          <rPr>
            <b/>
            <sz val="8"/>
            <rFont val="Tahoma"/>
            <family val="2"/>
          </rPr>
          <t>eric:</t>
        </r>
        <r>
          <rPr>
            <sz val="8"/>
            <rFont val="Tahoma"/>
            <family val="2"/>
          </rPr>
          <t xml:space="preserve">
Indicate the size (small, medium, large) of the sauna desired.</t>
        </r>
      </text>
    </comment>
  </commentList>
</comments>
</file>

<file path=xl/comments7.xml><?xml version="1.0" encoding="utf-8"?>
<comments xmlns="http://schemas.openxmlformats.org/spreadsheetml/2006/main">
  <authors>
    <author>eric</author>
  </authors>
  <commentList>
    <comment ref="F20" authorId="0">
      <text>
        <r>
          <rPr>
            <b/>
            <sz val="8"/>
            <rFont val="Tahoma"/>
            <family val="2"/>
          </rPr>
          <t>eric:</t>
        </r>
        <r>
          <rPr>
            <sz val="8"/>
            <rFont val="Tahoma"/>
            <family val="2"/>
          </rPr>
          <t xml:space="preserve">
Indicate no. of people (smallest should = 25 ppl)</t>
        </r>
      </text>
    </comment>
    <comment ref="F47" authorId="0">
      <text>
        <r>
          <rPr>
            <b/>
            <sz val="8"/>
            <rFont val="Tahoma"/>
            <family val="2"/>
          </rPr>
          <t>eric:</t>
        </r>
        <r>
          <rPr>
            <sz val="8"/>
            <rFont val="Tahoma"/>
            <family val="2"/>
          </rPr>
          <t xml:space="preserve">
Indicate machine combo desired (i.e. 2/3)</t>
        </r>
      </text>
    </comment>
    <comment ref="F43" authorId="0">
      <text>
        <r>
          <rPr>
            <b/>
            <sz val="8"/>
            <rFont val="Tahoma"/>
            <family val="2"/>
          </rPr>
          <t>eric:</t>
        </r>
        <r>
          <rPr>
            <sz val="8"/>
            <rFont val="Tahoma"/>
            <family val="2"/>
          </rPr>
          <t xml:space="preserve">
Indicate the size (small, medium, large) of the sauna desired.</t>
        </r>
      </text>
    </comment>
  </commentList>
</comments>
</file>

<file path=xl/comments8.xml><?xml version="1.0" encoding="utf-8"?>
<comments xmlns="http://schemas.openxmlformats.org/spreadsheetml/2006/main">
  <authors>
    <author>ARCADIS</author>
    <author>E Mion</author>
  </authors>
  <commentList>
    <comment ref="L134" authorId="0">
      <text>
        <r>
          <rPr>
            <b/>
            <sz val="8"/>
            <rFont val="Tahoma"/>
            <family val="2"/>
          </rPr>
          <t>Eric:</t>
        </r>
        <r>
          <rPr>
            <sz val="8"/>
            <rFont val="Tahoma"/>
            <family val="2"/>
          </rPr>
          <t xml:space="preserve">
Number of Lockers--only correct for Service selected in D5.</t>
        </r>
      </text>
    </comment>
    <comment ref="L141" authorId="0">
      <text>
        <r>
          <rPr>
            <b/>
            <sz val="8"/>
            <rFont val="Tahoma"/>
            <family val="2"/>
          </rPr>
          <t>Eric:</t>
        </r>
        <r>
          <rPr>
            <sz val="8"/>
            <rFont val="Tahoma"/>
            <family val="2"/>
          </rPr>
          <t xml:space="preserve">
Number of Lockers--only correct for Service selected in D5.</t>
        </r>
      </text>
    </comment>
    <comment ref="Q44" authorId="0">
      <text>
        <r>
          <rPr>
            <b/>
            <sz val="8"/>
            <rFont val="Tahoma"/>
            <family val="2"/>
          </rPr>
          <t>Relates to D42 (default change)</t>
        </r>
      </text>
    </comment>
    <comment ref="R44" authorId="0">
      <text>
        <r>
          <rPr>
            <b/>
            <sz val="8"/>
            <rFont val="Tahoma"/>
            <family val="2"/>
          </rPr>
          <t>Relates to D42 (default change)</t>
        </r>
      </text>
    </comment>
    <comment ref="K43" authorId="0">
      <text>
        <r>
          <rPr>
            <b/>
            <sz val="8"/>
            <rFont val="Tahoma"/>
            <family val="2"/>
          </rPr>
          <t>This row is only for the single court module. K42 captures the Service-specific data from this row.</t>
        </r>
      </text>
    </comment>
    <comment ref="Q45" authorId="0">
      <text>
        <r>
          <rPr>
            <b/>
            <sz val="8"/>
            <rFont val="Tahoma"/>
            <family val="2"/>
          </rPr>
          <t>Used in E42 Formula to determine default Gym quantities.</t>
        </r>
      </text>
    </comment>
    <comment ref="L50" authorId="0">
      <text>
        <r>
          <rPr>
            <b/>
            <sz val="8"/>
            <rFont val="Tahoma"/>
            <family val="2"/>
          </rPr>
          <t>Calculates no. of seats added based on space in H49.</t>
        </r>
      </text>
    </comment>
    <comment ref="T47" authorId="0">
      <text>
        <r>
          <rPr>
            <b/>
            <sz val="8"/>
            <rFont val="Tahoma"/>
            <family val="2"/>
          </rPr>
          <t>Used to calculate no. of seats based on gym defaults.</t>
        </r>
      </text>
    </comment>
    <comment ref="K50" authorId="0">
      <text>
        <r>
          <rPr>
            <b/>
            <sz val="8"/>
            <rFont val="Tahoma"/>
            <family val="2"/>
          </rPr>
          <t>Used to calculate no. of seats based on gym defaults. Also see T46.  N/A for army over 15K.</t>
        </r>
      </text>
    </comment>
    <comment ref="N76" authorId="0">
      <text>
        <r>
          <rPr>
            <b/>
            <sz val="8"/>
            <rFont val="Tahoma"/>
            <family val="2"/>
          </rPr>
          <t>Hot tub assumes one unisex tub. If separate m/f units are required, need to change.</t>
        </r>
      </text>
    </comment>
    <comment ref="N74" authorId="0">
      <text>
        <r>
          <rPr>
            <b/>
            <sz val="8"/>
            <rFont val="Tahoma"/>
            <family val="2"/>
          </rPr>
          <t>Area multiplied by two to account for one male + one female.</t>
        </r>
      </text>
    </comment>
    <comment ref="M41" authorId="0">
      <text>
        <r>
          <rPr>
            <b/>
            <sz val="8"/>
            <rFont val="Tahoma"/>
            <family val="2"/>
          </rPr>
          <t>Sizes based off numbers in YC table--48 sf for a one-hole and 45/hole for a multi-hole.</t>
        </r>
      </text>
    </comment>
    <comment ref="S45" authorId="0">
      <text>
        <r>
          <rPr>
            <b/>
            <sz val="8"/>
            <rFont val="Tahoma"/>
            <family val="2"/>
          </rPr>
          <t>Used to calculate number of gyms in order to count number of gym occupants in U41 for locker count.</t>
        </r>
      </text>
    </comment>
    <comment ref="T45" authorId="0">
      <text>
        <r>
          <rPr>
            <b/>
            <sz val="8"/>
            <rFont val="Tahoma"/>
            <family val="2"/>
          </rPr>
          <t>Used with S44 to calculate number of gyms in order to count number of gym occupants in U41 for locker count.</t>
        </r>
      </text>
    </comment>
    <comment ref="O112" authorId="1">
      <text>
        <r>
          <rPr>
            <b/>
            <sz val="8"/>
            <rFont val="Tahoma"/>
            <family val="2"/>
          </rPr>
          <t>Modified to eleminate lobby when track is deleted.</t>
        </r>
      </text>
    </comment>
    <comment ref="U116" authorId="1">
      <text>
        <r>
          <rPr>
            <b/>
            <sz val="8"/>
            <rFont val="Tahoma"/>
            <family val="2"/>
          </rPr>
          <t>Assume no additional lockers for staff</t>
        </r>
      </text>
    </comment>
    <comment ref="U117" authorId="1">
      <text>
        <r>
          <rPr>
            <b/>
            <sz val="8"/>
            <rFont val="Tahoma"/>
            <family val="2"/>
          </rPr>
          <t>Assume no additional lockers for staff</t>
        </r>
      </text>
    </comment>
    <comment ref="U118" authorId="1">
      <text>
        <r>
          <rPr>
            <b/>
            <sz val="8"/>
            <rFont val="Tahoma"/>
            <family val="2"/>
          </rPr>
          <t>Assume no additional lockers for juice bar customers (that haven't been accounted for elsewhere)</t>
        </r>
      </text>
    </comment>
  </commentList>
</comments>
</file>

<file path=xl/sharedStrings.xml><?xml version="1.0" encoding="utf-8"?>
<sst xmlns="http://schemas.openxmlformats.org/spreadsheetml/2006/main" count="784" uniqueCount="385">
  <si>
    <t>Space Allocation Standard</t>
  </si>
  <si>
    <t>Functional Component</t>
  </si>
  <si>
    <t>Standard</t>
  </si>
  <si>
    <t>No.</t>
  </si>
  <si>
    <r>
      <t>m</t>
    </r>
    <r>
      <rPr>
        <b/>
        <vertAlign val="superscript"/>
        <sz val="10"/>
        <rFont val="Arial"/>
        <family val="2"/>
      </rPr>
      <t>2</t>
    </r>
  </si>
  <si>
    <r>
      <t>ft.</t>
    </r>
    <r>
      <rPr>
        <b/>
        <vertAlign val="superscript"/>
        <sz val="10"/>
        <rFont val="Arial"/>
        <family val="2"/>
      </rPr>
      <t>2</t>
    </r>
  </si>
  <si>
    <t>per 10-bike Rack</t>
  </si>
  <si>
    <t>ENTER PROJECT NAME 
AND INFORMATION:</t>
  </si>
  <si>
    <t>Army</t>
  </si>
  <si>
    <t>Navy</t>
  </si>
  <si>
    <t>Marine Corps</t>
  </si>
  <si>
    <t>No</t>
  </si>
  <si>
    <t>TOTAL GROSS BUILDING</t>
  </si>
  <si>
    <t>TOTAL GROSS SITE SUPPORT</t>
  </si>
  <si>
    <t>TOTAL GROSS FACILITY (BUILDING + SITE SUPPORT)</t>
  </si>
  <si>
    <t>Staff Parking</t>
  </si>
  <si>
    <t>Patio</t>
  </si>
  <si>
    <r>
      <t xml:space="preserve"> m</t>
    </r>
    <r>
      <rPr>
        <b/>
        <vertAlign val="superscript"/>
        <sz val="10.5"/>
        <rFont val="Arial Narrow"/>
        <family val="2"/>
      </rPr>
      <t>2</t>
    </r>
  </si>
  <si>
    <r>
      <t>ft.</t>
    </r>
    <r>
      <rPr>
        <b/>
        <vertAlign val="superscript"/>
        <sz val="10.5"/>
        <rFont val="Arial Narrow"/>
        <family val="2"/>
      </rPr>
      <t>2</t>
    </r>
  </si>
  <si>
    <t>Building Totals</t>
  </si>
  <si>
    <t>Subtotal - Total Net Building Area</t>
  </si>
  <si>
    <t>Notes</t>
  </si>
  <si>
    <t>Bicycle Rack Area</t>
  </si>
  <si>
    <t>Administrative Spaces (required or optional)</t>
  </si>
  <si>
    <t>Director's Office</t>
  </si>
  <si>
    <t>Program Managers' Offices</t>
  </si>
  <si>
    <t>Support Staff Workstations</t>
  </si>
  <si>
    <t>Gymnasium</t>
  </si>
  <si>
    <t>Storage/support</t>
  </si>
  <si>
    <t>Fitness Spaces</t>
  </si>
  <si>
    <t>Stretching</t>
  </si>
  <si>
    <t>Cardiovascular Equipment</t>
  </si>
  <si>
    <t>Racquetball Courts</t>
  </si>
  <si>
    <t>Lobby/Reception</t>
  </si>
  <si>
    <t>Support Areas</t>
  </si>
  <si>
    <t>Laundry</t>
  </si>
  <si>
    <t>Equipment repair and receiving</t>
  </si>
  <si>
    <t>Locker Rooms</t>
  </si>
  <si>
    <t>Men's Locker Room</t>
  </si>
  <si>
    <t>Locker/changing area</t>
  </si>
  <si>
    <t>Shower/drying area</t>
  </si>
  <si>
    <t>Toilet area</t>
  </si>
  <si>
    <t>Classrooms/Training rooms</t>
  </si>
  <si>
    <t>Resource Room/Computer Lab</t>
  </si>
  <si>
    <t>Ergometry and Fitness Testing *</t>
  </si>
  <si>
    <t>Wellness Assessment *</t>
  </si>
  <si>
    <t>Additional Group Exercise Room</t>
  </si>
  <si>
    <t>HAWC Demonstration Kitchen</t>
  </si>
  <si>
    <t>Massage Room</t>
  </si>
  <si>
    <t>Female DV Locker Room *</t>
  </si>
  <si>
    <t>Child Play Area/Parent Child Area *</t>
  </si>
  <si>
    <t>HAWC Relaxation Room *</t>
  </si>
  <si>
    <t>Family Changing Room</t>
  </si>
  <si>
    <t>Customer Parking</t>
  </si>
  <si>
    <t>* Service-specific space.</t>
  </si>
  <si>
    <t>per room</t>
  </si>
  <si>
    <t>From AF</t>
  </si>
  <si>
    <t>per area</t>
  </si>
  <si>
    <t>per office</t>
  </si>
  <si>
    <t>From AF - combines comp lab with resource library</t>
  </si>
  <si>
    <t>per testing cubicles</t>
  </si>
  <si>
    <t>per kitchen</t>
  </si>
  <si>
    <t>AF office area = 400 sf total</t>
  </si>
  <si>
    <t>Waiting/Display</t>
  </si>
  <si>
    <t>Hot Tub</t>
  </si>
  <si>
    <t>Additional Programmatic Storage</t>
  </si>
  <si>
    <t>Four rows of seats (one ea. side) = 200 ppl.</t>
  </si>
  <si>
    <t>Roughly 8% of base gym area</t>
  </si>
  <si>
    <t>Two courts + 10' safety, 16' between cts, + 200 seats</t>
  </si>
  <si>
    <t>Unit PT/Group Exercise</t>
  </si>
  <si>
    <t>Need both elements if indoor track is required.</t>
  </si>
  <si>
    <t>NCAA Court + 10' safety + 200 seats (one side)</t>
  </si>
  <si>
    <t>From AF - cubicles go in an enclosed room (need circulation beteen cubicles--doesn't seem to be accounted for in AF criteria?)</t>
  </si>
  <si>
    <t>Two rows of 10 seats for one ct. Max of two cts (400 sf)</t>
  </si>
  <si>
    <t>equip. based</t>
  </si>
  <si>
    <t>1250 = min. Navy, AF, MC / 2500 = min Army</t>
  </si>
  <si>
    <t>Optional catch-up space</t>
  </si>
  <si>
    <t>Physical Therapy Training</t>
  </si>
  <si>
    <t>similar to fitness assement</t>
  </si>
  <si>
    <t>AF-only option. Calculate how many people this accomodates</t>
  </si>
  <si>
    <t>250, 500, 750</t>
  </si>
  <si>
    <t>65 sf per station</t>
  </si>
  <si>
    <t>50 sf per station</t>
  </si>
  <si>
    <t>small/extra small</t>
  </si>
  <si>
    <t>Navy (.5k)</t>
  </si>
  <si>
    <t>Army (1k)</t>
  </si>
  <si>
    <t>MC (.5k)</t>
  </si>
  <si>
    <t>AF (1k)</t>
  </si>
  <si>
    <t>stretch</t>
  </si>
  <si>
    <t>cardio</t>
  </si>
  <si>
    <t>select</t>
  </si>
  <si>
    <t>free</t>
  </si>
  <si>
    <t>current</t>
  </si>
  <si>
    <t>37 ppl</t>
  </si>
  <si>
    <t>42 ppl</t>
  </si>
  <si>
    <t>120 ppl</t>
  </si>
  <si>
    <t>medium</t>
  </si>
  <si>
    <t>Navy (3-7k)</t>
  </si>
  <si>
    <t>Army (3-6k)</t>
  </si>
  <si>
    <t>AF (1-5k)</t>
  </si>
  <si>
    <t>MC (3-7k)</t>
  </si>
  <si>
    <t>67 ppl</t>
  </si>
  <si>
    <t>131 ppl</t>
  </si>
  <si>
    <t>135 ppl</t>
  </si>
  <si>
    <t>147 ppl</t>
  </si>
  <si>
    <t>50 sf per person - min. 2 ppl</t>
  </si>
  <si>
    <t>14 ppl</t>
  </si>
  <si>
    <t>(min 2 ppl + 1 person/every 50 users)</t>
  </si>
  <si>
    <t>See Fitness Space sheet and exist. docs for these numbers</t>
  </si>
  <si>
    <t>Classroom/Training Room</t>
  </si>
  <si>
    <t>Classroom/Training Storage</t>
  </si>
  <si>
    <t>Copy/file/work/break Room</t>
  </si>
  <si>
    <t>req.</t>
  </si>
  <si>
    <t>Req. Program space</t>
  </si>
  <si>
    <t>optional (req. AF)</t>
  </si>
  <si>
    <t>Entry Lobby</t>
  </si>
  <si>
    <t>Control Counter</t>
  </si>
  <si>
    <t>Equipment issue storage</t>
  </si>
  <si>
    <t>2 units min. for Navy. Others get 1 unit in smallest</t>
  </si>
  <si>
    <t>per vending machine</t>
  </si>
  <si>
    <t>Vending</t>
  </si>
  <si>
    <t>2 for small</t>
  </si>
  <si>
    <t>Includes minor retail items</t>
  </si>
  <si>
    <t>dry good, sports equip, clothes, etc. Usually contractor and sep from control</t>
  </si>
  <si>
    <t>Additional food/beverage counter. Usually contractor and sep from control</t>
  </si>
  <si>
    <t>Expanded Juice Bar Seating</t>
  </si>
  <si>
    <r>
      <t xml:space="preserve">Expanded Juice Bar </t>
    </r>
    <r>
      <rPr>
        <vertAlign val="superscript"/>
        <sz val="9"/>
        <rFont val="Arial"/>
        <family val="2"/>
      </rPr>
      <t>1</t>
    </r>
  </si>
  <si>
    <r>
      <t xml:space="preserve">Expanded Retail </t>
    </r>
    <r>
      <rPr>
        <vertAlign val="superscript"/>
        <sz val="9"/>
        <rFont val="Arial"/>
        <family val="2"/>
      </rPr>
      <t>1</t>
    </r>
  </si>
  <si>
    <t>Spectator peak-time circulation</t>
  </si>
  <si>
    <t>Public restrooms/phones</t>
  </si>
  <si>
    <t>1 (uni), 1/1, ?/?, 4/6 (limit option to those below the facility size) Largest gym size drives largest bathroom. AF limited to top three options.</t>
  </si>
  <si>
    <t>10% of total Fitness (Army) / 250 sf (AF)</t>
  </si>
  <si>
    <t>Loading dock</t>
  </si>
  <si>
    <t>Per single-truck dock</t>
  </si>
  <si>
    <t>Storage</t>
  </si>
  <si>
    <t>1/11th-mile Indoor Track</t>
  </si>
  <si>
    <t>1/8th-mile Indoor Track</t>
  </si>
  <si>
    <t>1/14th-mile Indoor Track</t>
  </si>
  <si>
    <t>Indoor track lobby</t>
  </si>
  <si>
    <t>Access point to lobby from stair/elevator</t>
  </si>
  <si>
    <t>Service Drive/trash</t>
  </si>
  <si>
    <t>AF</t>
  </si>
  <si>
    <t>ex small</t>
  </si>
  <si>
    <t>small</t>
  </si>
  <si>
    <t>large</t>
  </si>
  <si>
    <t>ex large</t>
  </si>
  <si>
    <t>+5000</t>
  </si>
  <si>
    <t>&lt;500</t>
  </si>
  <si>
    <t>+1000</t>
  </si>
  <si>
    <t>MC *</t>
  </si>
  <si>
    <t>Populations</t>
  </si>
  <si>
    <t>Spreadsheet (2nd tab)</t>
  </si>
  <si>
    <t>P-80 and MC formula</t>
  </si>
  <si>
    <t>Design guide</t>
  </si>
  <si>
    <t>Stds Metrics (equip counts)</t>
  </si>
  <si>
    <t>Extra Small</t>
  </si>
  <si>
    <t>MC</t>
  </si>
  <si>
    <t>251-1,000</t>
  </si>
  <si>
    <t>1,001-3,000</t>
  </si>
  <si>
    <t>3,001-6,000</t>
  </si>
  <si>
    <t>6,001-10,000</t>
  </si>
  <si>
    <t>10,001-15,000</t>
  </si>
  <si>
    <t>501-3,000</t>
  </si>
  <si>
    <t>3,001-7,000</t>
  </si>
  <si>
    <t>7,001-14,000</t>
  </si>
  <si>
    <t>14,001-30,000</t>
  </si>
  <si>
    <t>&lt;1,000</t>
  </si>
  <si>
    <t>1,001-5,000</t>
  </si>
  <si>
    <t>5,001-6,000</t>
  </si>
  <si>
    <t>Controls</t>
  </si>
  <si>
    <t>Small</t>
  </si>
  <si>
    <t>Medium</t>
  </si>
  <si>
    <t>Large</t>
  </si>
  <si>
    <t>Extra Large</t>
  </si>
  <si>
    <t>Additional Controls &amp; Service Exceptions</t>
  </si>
  <si>
    <t>between bldg entrance and control</t>
  </si>
  <si>
    <t>Space for counter, space behind, space in front</t>
  </si>
  <si>
    <t xml:space="preserve">Equipment storage at/behind gear issue </t>
  </si>
  <si>
    <t>Waiting area adjacent to lobby and in front of control. Grows in units of 90</t>
  </si>
  <si>
    <t>Per one-side bleachers - driven by gym size</t>
  </si>
  <si>
    <t>Optional, 300 sf for 1 set bleachers, Additional circulation space for peak gym loads</t>
  </si>
  <si>
    <t>Option - Driven by gym size</t>
  </si>
  <si>
    <t>Two Court Module</t>
  </si>
  <si>
    <t>Storage space per additional court</t>
  </si>
  <si>
    <t>Apply male/female split on occupant load, then calculate individual male and female locker areas from the split number.</t>
  </si>
  <si>
    <t>Per slot (2 double lockers or 1 single locker)</t>
  </si>
  <si>
    <t xml:space="preserve">Ratios: 1 to 1 (all full), 66% (1 full per 2 dbls -  or 3 ppl / 2 slots), 50% (all double lockers) - Environmental adjust factor ----- </t>
  </si>
  <si>
    <t>Per shower &amp; integral drying area at 22 lockers/shower</t>
  </si>
  <si>
    <r>
      <t xml:space="preserve">Per wc and lav. at 30 </t>
    </r>
    <r>
      <rPr>
        <b/>
        <sz val="9"/>
        <rFont val="Arial"/>
        <family val="2"/>
      </rPr>
      <t>lockers</t>
    </r>
    <r>
      <rPr>
        <sz val="9"/>
        <rFont val="Arial"/>
        <family val="2"/>
      </rPr>
      <t xml:space="preserve"> per wc/lav</t>
    </r>
  </si>
  <si>
    <t>Will confirm that 30 lockers per wc/lav is the correct formula</t>
  </si>
  <si>
    <r>
      <t xml:space="preserve">per wc and lav. at 20 </t>
    </r>
    <r>
      <rPr>
        <b/>
        <sz val="9"/>
        <rFont val="Arial"/>
        <family val="2"/>
      </rPr>
      <t>lockers</t>
    </r>
    <r>
      <rPr>
        <sz val="9"/>
        <rFont val="Arial"/>
        <family val="2"/>
      </rPr>
      <t xml:space="preserve"> per wc/lav</t>
    </r>
  </si>
  <si>
    <t>Will confirm that 20 lockers per wc/lav is the correct formula</t>
  </si>
  <si>
    <t>One washer, two dryers, commercial equip, folding table, sink, storage shelves, laundry carts, and opt. ice machine.</t>
  </si>
  <si>
    <t>per workstation</t>
  </si>
  <si>
    <t>(smallest gym option, Army and Navy only)</t>
  </si>
  <si>
    <t>Two 4-top tables and seating area</t>
  </si>
  <si>
    <t>per shower, wc, lav, changing, and locker</t>
  </si>
  <si>
    <t>Indiv. locker area for parent &amp; child (grows by adding showers and changing stalls plus lockers)</t>
  </si>
  <si>
    <t>per patio</t>
  </si>
  <si>
    <t>Col. A - D refer to "Components &amp; Space Standards" Sheet.</t>
  </si>
  <si>
    <t>Description</t>
  </si>
  <si>
    <t>Vesibule and/or space for 2 to 3 ppl to queue</t>
  </si>
  <si>
    <t>SF</t>
  </si>
  <si>
    <t>Units</t>
  </si>
  <si>
    <t>Counter Module(s)</t>
  </si>
  <si>
    <t>Storage Module(s)</t>
  </si>
  <si>
    <t>Vending Machine(s)</t>
  </si>
  <si>
    <t>Circulation Module(s)</t>
  </si>
  <si>
    <t>Seating/Display Module(s) (for 4 ppl)</t>
  </si>
  <si>
    <t>Vestibule/Lobby Module(s) (for 2-3 ppl)</t>
  </si>
  <si>
    <t>Space for seating for 4 ppl and display area</t>
  </si>
  <si>
    <t>Additional Spectator seating</t>
  </si>
  <si>
    <t>Additional court storage</t>
  </si>
  <si>
    <t>Additional storage module(s)</t>
  </si>
  <si>
    <t>Arena-style Two-Court Module</t>
  </si>
  <si>
    <t>Provides space for arena-style seating for center, longitudinal ct.</t>
  </si>
  <si>
    <t>Each Additional 1K</t>
  </si>
  <si>
    <r>
      <t>1</t>
    </r>
    <r>
      <rPr>
        <sz val="9"/>
        <rFont val="Arial"/>
        <family val="2"/>
      </rPr>
      <t xml:space="preserve"> If contract service, verify area with contractor. </t>
    </r>
  </si>
  <si>
    <t>Default quantities</t>
  </si>
  <si>
    <t>Arena-style Two-Court Module(s)</t>
  </si>
  <si>
    <t>Basic storage/support</t>
  </si>
  <si>
    <t>Two-court/200-seat Module(s)</t>
  </si>
  <si>
    <t>One-court/200-seat Module(s)</t>
  </si>
  <si>
    <t>Basketball/volleyball Court</t>
  </si>
  <si>
    <t>One Court</t>
  </si>
  <si>
    <t>Two Courts</t>
  </si>
  <si>
    <t>Four Courts</t>
  </si>
  <si>
    <t>10% of partitionable room area</t>
  </si>
  <si>
    <t>Office(s)</t>
  </si>
  <si>
    <r>
      <t>people at 4.6 m</t>
    </r>
    <r>
      <rPr>
        <vertAlign val="superscript"/>
        <sz val="9"/>
        <rFont val="Arial"/>
        <family val="2"/>
      </rPr>
      <t>2</t>
    </r>
    <r>
      <rPr>
        <sz val="9"/>
        <rFont val="Arial"/>
        <family val="2"/>
      </rPr>
      <t xml:space="preserve"> (50 ft.</t>
    </r>
    <r>
      <rPr>
        <vertAlign val="superscript"/>
        <sz val="9"/>
        <rFont val="Arial"/>
        <family val="2"/>
      </rPr>
      <t>2</t>
    </r>
    <r>
      <rPr>
        <sz val="9"/>
        <rFont val="Arial"/>
        <family val="2"/>
      </rPr>
      <t>)/person</t>
    </r>
  </si>
  <si>
    <t>11.6 m2 (125 ft.2) minimum (10% of room area)</t>
  </si>
  <si>
    <t>116.1 m2 (1,250 ft.2) (25 ppl) minimum size</t>
  </si>
  <si>
    <r>
      <t>items at 4.6 m</t>
    </r>
    <r>
      <rPr>
        <vertAlign val="superscript"/>
        <sz val="9"/>
        <rFont val="Arial"/>
        <family val="2"/>
      </rPr>
      <t>2</t>
    </r>
    <r>
      <rPr>
        <sz val="9"/>
        <rFont val="Arial"/>
        <family val="2"/>
      </rPr>
      <t xml:space="preserve"> (50 ft.</t>
    </r>
    <r>
      <rPr>
        <vertAlign val="superscript"/>
        <sz val="9"/>
        <rFont val="Arial"/>
        <family val="2"/>
      </rPr>
      <t>2</t>
    </r>
    <r>
      <rPr>
        <sz val="9"/>
        <rFont val="Arial"/>
        <family val="2"/>
      </rPr>
      <t>)/item</t>
    </r>
  </si>
  <si>
    <t>Partitionable Room(s)</t>
  </si>
  <si>
    <t>Flexible space Module(s)</t>
  </si>
  <si>
    <t>Based on size of a single racquetball court</t>
  </si>
  <si>
    <t>Racquetball Court(s)</t>
  </si>
  <si>
    <t>Single court size. Minimum of two courts</t>
  </si>
  <si>
    <t>Spectator/officiating Module(s)</t>
  </si>
  <si>
    <t>Lockers</t>
  </si>
  <si>
    <t>Showers</t>
  </si>
  <si>
    <t>Laundry Room</t>
  </si>
  <si>
    <t>Repair/receiving Room</t>
  </si>
  <si>
    <t>Storage Room</t>
  </si>
  <si>
    <t>1/2 machine combo</t>
  </si>
  <si>
    <t>2/4 machine combo</t>
  </si>
  <si>
    <t>3/6 machine combo</t>
  </si>
  <si>
    <t>4/8 machine combo</t>
  </si>
  <si>
    <t>Variable lockable storage room (5% of fitness)</t>
  </si>
  <si>
    <t>Fixed receiving area + variable repair (10% of Fitness)</t>
  </si>
  <si>
    <t xml:space="preserve"> sf  Additional Storage</t>
  </si>
  <si>
    <t>Lobby/Reception Module(s)</t>
  </si>
  <si>
    <t>Office</t>
  </si>
  <si>
    <t>Workstation(s)</t>
  </si>
  <si>
    <t>Classroom/Training Module(s)</t>
  </si>
  <si>
    <t>Resource/Computer Lab Module(s)</t>
  </si>
  <si>
    <t>Storage/support Module(s)</t>
  </si>
  <si>
    <t>Testing Cubicle(s)</t>
  </si>
  <si>
    <t>Assessment Room(s)</t>
  </si>
  <si>
    <t>Workroom Module(s)</t>
  </si>
  <si>
    <t>Massage Room(s)</t>
  </si>
  <si>
    <t>Physical Therapy Training Room(s)</t>
  </si>
  <si>
    <t>Expanded Retail Module(s)</t>
  </si>
  <si>
    <t>Expanded Juice Bar Module(s)</t>
  </si>
  <si>
    <t>Two-table seating Module(s)</t>
  </si>
  <si>
    <t>Family Changing Room(s)</t>
  </si>
  <si>
    <t>Female DV Locker Room</t>
  </si>
  <si>
    <t>Parent/child Module(s)</t>
  </si>
  <si>
    <t>Kitchen Module(s)</t>
  </si>
  <si>
    <t>Relaxation Room(s)</t>
  </si>
  <si>
    <t>Loading Dock</t>
  </si>
  <si>
    <t>Service Drive Module</t>
  </si>
  <si>
    <t>Parking Spaces</t>
  </si>
  <si>
    <t>10-bike Rack(s)</t>
  </si>
  <si>
    <t>Patio Module(s)</t>
  </si>
  <si>
    <t>To be filled-in by programmer and justified based on item stored.</t>
  </si>
  <si>
    <t>Per one-washer/two-dryer room</t>
  </si>
  <si>
    <t>small = 6 ppl, med = 8-9, lg = 12 ppl (+ cool down space)</t>
  </si>
  <si>
    <t>small = 6-7 ppl, med = 8-9, lg = 12-14 (+ cool down space)</t>
  </si>
  <si>
    <t>small = 5 ppl, med = 8, lg = 12-14 ppl</t>
  </si>
  <si>
    <t>400 sf play area (at 35 sf/child), 400 sf equip (50 sf/equip)</t>
  </si>
  <si>
    <t>Also 1200, 1600 (all kinds equip)</t>
  </si>
  <si>
    <t>Site Spaces</t>
  </si>
  <si>
    <t>(Fitness spaces summed minus Fitness Assessment.)</t>
  </si>
  <si>
    <t xml:space="preserve">Ratios: 1 to 1 (all full), 66% (1 full per 2 dbls -  or 3 ppl / 2 slots), 50% (all double lockers) </t>
  </si>
  <si>
    <t>Structured Activity Space</t>
  </si>
  <si>
    <t>10% of Structured Activity Space</t>
  </si>
  <si>
    <t>Structured activity storage</t>
  </si>
  <si>
    <t>Selectorized (machine) weights</t>
  </si>
  <si>
    <t>Fitness Assessment Room</t>
  </si>
  <si>
    <t>Finess Program Manager's Office</t>
  </si>
  <si>
    <t>Private office that may include fitness testing equipment</t>
  </si>
  <si>
    <t>1 piece fitness equip for testing, computer desk, chairs, stretching</t>
  </si>
  <si>
    <t>Free/Plate-loaded weights</t>
  </si>
  <si>
    <t>Structured Activities</t>
  </si>
  <si>
    <t>Based on Structured activity space (10% of room area)</t>
  </si>
  <si>
    <t>Locker</t>
  </si>
  <si>
    <t>M/F (2) Saunas/cool-down area</t>
  </si>
  <si>
    <t>M/F (2) Steam Rooms/cool-down area</t>
  </si>
  <si>
    <t>Unisex Hot Tub</t>
  </si>
  <si>
    <t>Break in sequence - Refs to Space sheet, rows 34 to 42 are below.</t>
  </si>
  <si>
    <t>60% Male / 40% Female</t>
  </si>
  <si>
    <t>50% Male / 50% Female</t>
  </si>
  <si>
    <t>70% Male / 30% Female</t>
  </si>
  <si>
    <t>80% Male / 20% Female</t>
  </si>
  <si>
    <t>Army allocates the locker area at a 60% Male and 40% Female split.</t>
  </si>
  <si>
    <t>Navy allocates the locker area at a 60% Male and 40% Female split.</t>
  </si>
  <si>
    <t>Air Force allocates the locker area at a 60% Male and 40% Female split.</t>
  </si>
  <si>
    <t>Marine Corps allocates the locker area at a 80% Male and 20% Female split.</t>
  </si>
  <si>
    <t>Water closets/lavatory modules</t>
  </si>
  <si>
    <t>90% Male / 10% Female</t>
  </si>
  <si>
    <t>Break in sequence - Rows 68 to 70.  Refs to Space sheet for rows 35 to 42 are below.</t>
  </si>
  <si>
    <t>Additional 200-seat Module(s)</t>
  </si>
  <si>
    <t>Indoor Track</t>
  </si>
  <si>
    <t>1/14-mile, 2-lane</t>
  </si>
  <si>
    <t>1/11-mile, 3-lane</t>
  </si>
  <si>
    <t>1/8-mile, 4-lane</t>
  </si>
  <si>
    <t xml:space="preserve">1/14th-mile, 2-lane Indoor Track </t>
  </si>
  <si>
    <t xml:space="preserve">1/11th-mile, 3-lane Indoor Track </t>
  </si>
  <si>
    <t xml:space="preserve">1/8th-mile, 4-lane Indoor Track </t>
  </si>
  <si>
    <t>5/10 machine combo</t>
  </si>
  <si>
    <t>Army Increment for each add'l 5000</t>
  </si>
  <si>
    <t>1/1</t>
  </si>
  <si>
    <t>Army formulas contain an element to capture quantities and space for the additional 5K population modules.</t>
  </si>
  <si>
    <t>jumbo</t>
  </si>
  <si>
    <t>&gt;30,000</t>
  </si>
  <si>
    <t>For Medium and larger facilities, this number includes area for cardio, selectorized, and free weights.</t>
  </si>
  <si>
    <t>per space (including circulation)</t>
  </si>
  <si>
    <t>Jumbo</t>
  </si>
  <si>
    <t>Navy formulas contain an element to capture quantities and space for the Jumbo size.</t>
  </si>
  <si>
    <t>need to include corners</t>
  </si>
  <si>
    <t>1/12th-mile, 3-lane Indoor Track</t>
  </si>
  <si>
    <t>1/12th-mile, 3-lane Indoor Track (1284 linear ft.)</t>
  </si>
  <si>
    <t>1/12th-mile Indoor Track</t>
  </si>
  <si>
    <t>10% of total Fitness (Army) / 250 sf (AF) (=(15*10)+(0.1*fitness))
=(0.05*fitness)</t>
  </si>
  <si>
    <t>Public Restroom(s)</t>
  </si>
  <si>
    <t>Arena-style</t>
  </si>
  <si>
    <r>
      <t>Rows 45 - 48 are hidden</t>
    </r>
    <r>
      <rPr>
        <sz val="10"/>
        <rFont val="Arial Narrow"/>
        <family val="2"/>
      </rPr>
      <t xml:space="preserve"> and contain the default data for the two-court and arena-style court options (47&amp;48) and the non-default data for the Arena-style (45) and 4-court option (46--unused).  If the default is altered, the yellow cells become active.  The grey cell formulas have been modified to accommodate the non-default, yellow options--do not copy to other rows.</t>
    </r>
  </si>
  <si>
    <t>Optional or Service-specific Program Spaces</t>
  </si>
  <si>
    <t>see K121 for select boxes</t>
  </si>
  <si>
    <t>Indoor track lobby(ies)</t>
  </si>
  <si>
    <t>FOR MOST MONITORS (1024x768) VIEW AT 100%.</t>
  </si>
  <si>
    <t>5 lockers/3 slots</t>
  </si>
  <si>
    <t>4 lockers/3 slots</t>
  </si>
  <si>
    <r>
      <t xml:space="preserve">  </t>
    </r>
    <r>
      <rPr>
        <b/>
        <sz val="10"/>
        <color indexed="10"/>
        <rFont val="Arial"/>
        <family val="2"/>
      </rPr>
      <t>&lt;</t>
    </r>
    <r>
      <rPr>
        <b/>
        <sz val="10"/>
        <rFont val="Arial"/>
        <family val="2"/>
      </rPr>
      <t xml:space="preserve"> Shaded cells in J can indicate if there is data in that row that may be hidden. If so, shows the appropriate column letter.</t>
    </r>
  </si>
  <si>
    <t>Notes/ Comments</t>
  </si>
  <si>
    <r>
      <t>All:</t>
    </r>
    <r>
      <rPr>
        <sz val="10"/>
        <rFont val="Arial"/>
        <family val="0"/>
      </rPr>
      <t xml:space="preserve">  The "Click Here to Reset Sheet" will clear all the entries in preparation for a new program. </t>
    </r>
  </si>
  <si>
    <t>See UFC Section B-1 for a complete description of the court modules.</t>
  </si>
  <si>
    <t>Select "Yes" to get 300 sf for every 200 gym seats. Need to have a gym.</t>
  </si>
  <si>
    <r>
      <t xml:space="preserve">This option is tied to the number of potential spectators. The more gym seats you have, the larger the bathroom option you can choose. </t>
    </r>
  </si>
  <si>
    <r>
      <t>Can</t>
    </r>
    <r>
      <rPr>
        <sz val="10"/>
        <rFont val="Arial"/>
        <family val="0"/>
      </rPr>
      <t xml:space="preserve"> go from a 50-50 split up to a 90-10 male/female split.</t>
    </r>
  </si>
  <si>
    <t>Options to change the number of half-sized vs. full-sized lockers vary by Service.</t>
  </si>
  <si>
    <t>Hidden Rows Below - Track defaults</t>
  </si>
  <si>
    <t>None</t>
  </si>
  <si>
    <t>This option becomes available when expand juice is selected</t>
  </si>
  <si>
    <r>
      <t>stations at 6.0 m</t>
    </r>
    <r>
      <rPr>
        <vertAlign val="superscript"/>
        <sz val="9"/>
        <rFont val="Arial"/>
        <family val="2"/>
      </rPr>
      <t>2</t>
    </r>
    <r>
      <rPr>
        <sz val="9"/>
        <rFont val="Arial"/>
        <family val="2"/>
      </rPr>
      <t xml:space="preserve"> (65 ft.</t>
    </r>
    <r>
      <rPr>
        <vertAlign val="superscript"/>
        <sz val="9"/>
        <rFont val="Arial"/>
        <family val="2"/>
      </rPr>
      <t>2</t>
    </r>
    <r>
      <rPr>
        <sz val="9"/>
        <rFont val="Arial"/>
        <family val="2"/>
      </rPr>
      <t>)/stations</t>
    </r>
  </si>
  <si>
    <t>Steam Room, cool-down area</t>
  </si>
  <si>
    <t>Sauna, cool-down area</t>
  </si>
  <si>
    <t>Yes</t>
  </si>
  <si>
    <t>Health Promotion Spaces - Marine Corps Only (Required or Optional)</t>
  </si>
  <si>
    <t>1,500 SF Med/Lge &amp; 2,250 SF for Xtra Lge/Jumbo</t>
  </si>
  <si>
    <t>per 25-person Training Room</t>
  </si>
  <si>
    <t>Janitor's Closet(s)</t>
  </si>
  <si>
    <t>40 SF/closet</t>
  </si>
  <si>
    <t>2 for X small &amp; small, 3 for Medium, and 4 for Lg X Lg &amp; Jumbo</t>
  </si>
  <si>
    <t>Per Janitor's Closet</t>
  </si>
  <si>
    <t>25-person Module at 750 SF</t>
  </si>
  <si>
    <t>Not included in MC facilities</t>
  </si>
  <si>
    <t>Not included in Navy facilities</t>
  </si>
  <si>
    <t>Optional in MC facilities</t>
  </si>
  <si>
    <t>* fitness area sized on actual population</t>
  </si>
  <si>
    <t>Women's Locker Room</t>
  </si>
  <si>
    <t>Convertible Locker Space</t>
  </si>
  <si>
    <t>Add'l male or female space</t>
  </si>
  <si>
    <t>Optional MC-only space.  Large and larger facilities only</t>
  </si>
  <si>
    <t>750 sf</t>
  </si>
  <si>
    <t>*Use default or select from range:</t>
  </si>
  <si>
    <t>*Use at least 28% if Fitness Center is more than 1 story</t>
  </si>
  <si>
    <t>Auxiliary Gym (MC-only)</t>
  </si>
  <si>
    <t>MC-only</t>
  </si>
  <si>
    <t>2000 or 4000 ft2</t>
  </si>
  <si>
    <t>HITT Center (MC-only)</t>
  </si>
  <si>
    <t>Spectator/officiating (MC Option)</t>
  </si>
  <si>
    <t>Demonstration Kitchen (MC-only)</t>
  </si>
  <si>
    <t>Multiplier is 27%, unless changed in dropdown selection</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</si>
</sst>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
    <numFmt numFmtId="167" formatCode="0.000000"/>
    <numFmt numFmtId="168" formatCode="0.0000000"/>
    <numFmt numFmtId="169" formatCode="0.00000000"/>
    <numFmt numFmtId="170" formatCode="0.000000000"/>
    <numFmt numFmtId="171" formatCode="0.0000000000"/>
    <numFmt numFmtId="172" formatCode="0.0"/>
    <numFmt numFmtId="173" formatCode="_(* #,##0.000_);_(* \(#,##0.000\);_(* &quot;-&quot;??_);_(@_)"/>
    <numFmt numFmtId="174" formatCode="_(* #,##0.0_);_(* \(#,##0.0\);_(* &quot;-&quot;??_);_(@_)"/>
    <numFmt numFmtId="175" formatCode="_(* #,##0_);_(* \(#,##0\);_(* &quot;-&quot;??_);_(@_)"/>
    <numFmt numFmtId="176" formatCode="#,##0.000"/>
    <numFmt numFmtId="177" formatCode="#,##0.0"/>
    <numFmt numFmtId="178" formatCode="#,##0.0000"/>
    <numFmt numFmtId="179" formatCode="#,##0.00000"/>
    <numFmt numFmtId="180" formatCode="#,##0.000000"/>
    <numFmt numFmtId="181" formatCode="#,##0.0000000"/>
    <numFmt numFmtId="182" formatCode="#,##0.00000000"/>
  </numFmts>
  <fonts count="68">
    <font>
      <sz val="10"/>
      <name val="Arial"/>
      <family val="0"/>
    </font>
    <font>
      <sz val="10"/>
      <color indexed="9"/>
      <name val="Arial"/>
      <family val="2"/>
    </font>
    <font>
      <b/>
      <sz val="10"/>
      <name val="Arial"/>
      <family val="2"/>
    </font>
    <font>
      <b/>
      <vertAlign val="superscript"/>
      <sz val="10"/>
      <name val="Arial"/>
      <family val="2"/>
    </font>
    <font>
      <b/>
      <sz val="9"/>
      <name val="Arial"/>
      <family val="2"/>
    </font>
    <font>
      <sz val="9"/>
      <name val="Arial"/>
      <family val="2"/>
    </font>
    <font>
      <sz val="8"/>
      <name val="Arial"/>
      <family val="2"/>
    </font>
    <font>
      <b/>
      <sz val="8"/>
      <name val="Tahoma"/>
      <family val="2"/>
    </font>
    <font>
      <u val="single"/>
      <sz val="10"/>
      <color indexed="36"/>
      <name val="Arial"/>
      <family val="2"/>
    </font>
    <font>
      <u val="single"/>
      <sz val="10"/>
      <color indexed="12"/>
      <name val="Arial"/>
      <family val="2"/>
    </font>
    <font>
      <b/>
      <sz val="12"/>
      <name val="Arial"/>
      <family val="2"/>
    </font>
    <font>
      <b/>
      <u val="single"/>
      <sz val="10"/>
      <name val="Arial"/>
      <family val="2"/>
    </font>
    <font>
      <b/>
      <sz val="13"/>
      <name val="Arial Narrow"/>
      <family val="2"/>
    </font>
    <font>
      <b/>
      <vertAlign val="superscript"/>
      <sz val="10.5"/>
      <name val="Arial Narrow"/>
      <family val="2"/>
    </font>
    <font>
      <b/>
      <sz val="10.5"/>
      <name val="Arial Narrow"/>
      <family val="2"/>
    </font>
    <font>
      <sz val="10.5"/>
      <name val="Arial Narrow"/>
      <family val="2"/>
    </font>
    <font>
      <b/>
      <u val="single"/>
      <sz val="10.5"/>
      <name val="Arial Narrow"/>
      <family val="2"/>
    </font>
    <font>
      <b/>
      <sz val="8"/>
      <name val="Arial"/>
      <family val="2"/>
    </font>
    <font>
      <sz val="8"/>
      <name val="Tahoma"/>
      <family val="2"/>
    </font>
    <font>
      <b/>
      <sz val="10"/>
      <name val="Arial Narrow"/>
      <family val="2"/>
    </font>
    <font>
      <b/>
      <sz val="8"/>
      <color indexed="10"/>
      <name val="Arial"/>
      <family val="2"/>
    </font>
    <font>
      <sz val="10"/>
      <name val="Arial Narrow"/>
      <family val="2"/>
    </font>
    <font>
      <u val="single"/>
      <sz val="10"/>
      <name val="Arial"/>
      <family val="2"/>
    </font>
    <font>
      <vertAlign val="superscript"/>
      <sz val="9"/>
      <name val="Arial"/>
      <family val="2"/>
    </font>
    <font>
      <b/>
      <sz val="10"/>
      <color indexed="13"/>
      <name val="Arial"/>
      <family val="2"/>
    </font>
    <font>
      <b/>
      <sz val="10"/>
      <color indexed="10"/>
      <name val="Arial Narrow"/>
      <family val="2"/>
    </font>
    <font>
      <u val="single"/>
      <sz val="10"/>
      <name val="Arial Narrow"/>
      <family val="2"/>
    </font>
    <font>
      <b/>
      <sz val="10"/>
      <color indexed="10"/>
      <name val="Arial"/>
      <family val="2"/>
    </font>
    <font>
      <sz val="10"/>
      <color indexed="10"/>
      <name val="Arial Narrow"/>
      <family val="2"/>
    </font>
    <font>
      <sz val="7.8"/>
      <name val="Arial"/>
      <family val="2"/>
    </font>
    <font>
      <b/>
      <u val="single"/>
      <sz val="12"/>
      <name val="Arial Narrow"/>
      <family val="2"/>
    </font>
    <font>
      <b/>
      <sz val="12"/>
      <name val="Arial Narrow"/>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Segoe U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0"/>
      <color rgb="FFFF0000"/>
      <name val="Arial Narrow"/>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8"/>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hair"/>
      <bottom style="hair"/>
    </border>
    <border>
      <left style="medium"/>
      <right>
        <color indexed="63"/>
      </right>
      <top>
        <color indexed="63"/>
      </top>
      <bottom style="medium"/>
    </border>
    <border>
      <left style="thin"/>
      <right style="thin"/>
      <top style="hair"/>
      <bottom style="thin"/>
    </border>
    <border>
      <left style="medium"/>
      <right style="thin"/>
      <top style="hair"/>
      <bottom style="hair"/>
    </border>
    <border>
      <left style="thin"/>
      <right style="thin"/>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color indexed="63"/>
      </left>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hair"/>
    </border>
    <border>
      <left style="thin"/>
      <right style="thin"/>
      <top style="thin"/>
      <bottom style="medium"/>
    </border>
    <border>
      <left style="thin"/>
      <right style="thin"/>
      <top style="thin"/>
      <bottom style="thin"/>
    </border>
    <border>
      <left style="thin"/>
      <right style="thin"/>
      <top style="hair"/>
      <bottom>
        <color indexed="63"/>
      </bottom>
    </border>
    <border>
      <left style="medium"/>
      <right style="thin"/>
      <top style="hair"/>
      <bottom>
        <color indexed="63"/>
      </bottom>
    </border>
    <border>
      <left style="medium"/>
      <right style="medium"/>
      <top style="medium"/>
      <bottom style="hair"/>
    </border>
    <border>
      <left style="medium"/>
      <right style="medium"/>
      <top style="hair"/>
      <bottom style="hair"/>
    </border>
    <border>
      <left style="medium"/>
      <right style="medium"/>
      <top style="thin"/>
      <bottom style="hair"/>
    </border>
    <border>
      <left style="medium"/>
      <right style="medium"/>
      <top style="hair"/>
      <bottom style="medium"/>
    </border>
    <border>
      <left style="medium"/>
      <right style="medium"/>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color indexed="63"/>
      </top>
      <bottom style="hair"/>
    </border>
    <border>
      <left style="medium"/>
      <right>
        <color indexed="63"/>
      </right>
      <top style="thin"/>
      <bottom style="hair"/>
    </border>
    <border>
      <left>
        <color indexed="63"/>
      </left>
      <right>
        <color indexed="63"/>
      </right>
      <top style="thin"/>
      <bottom style="hair"/>
    </border>
    <border>
      <left style="medium"/>
      <right style="medium"/>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medium"/>
      <top style="thin"/>
      <bottom style="medium"/>
    </border>
    <border>
      <left>
        <color indexed="63"/>
      </left>
      <right>
        <color indexed="63"/>
      </right>
      <top>
        <color indexed="63"/>
      </top>
      <bottom style="hair"/>
    </border>
    <border>
      <left>
        <color indexed="63"/>
      </left>
      <right style="medium"/>
      <top>
        <color indexed="63"/>
      </top>
      <bottom style="hair"/>
    </border>
    <border>
      <left style="thin"/>
      <right style="medium"/>
      <top style="hair"/>
      <bottom style="hair"/>
    </border>
    <border>
      <left style="thin"/>
      <right style="medium"/>
      <top style="hair"/>
      <bottom style="thin"/>
    </border>
    <border>
      <left>
        <color indexed="63"/>
      </left>
      <right style="medium"/>
      <top style="thin"/>
      <bottom style="hair"/>
    </border>
    <border>
      <left style="medium"/>
      <right style="thin"/>
      <top style="hair"/>
      <bottom style="thin"/>
    </border>
    <border>
      <left style="thin"/>
      <right>
        <color indexed="63"/>
      </right>
      <top style="hair"/>
      <bottom style="hair"/>
    </border>
    <border>
      <left style="thin"/>
      <right style="medium"/>
      <top>
        <color indexed="63"/>
      </top>
      <bottom style="hair"/>
    </border>
    <border>
      <left style="medium"/>
      <right style="thin"/>
      <top style="medium"/>
      <bottom style="thin"/>
    </border>
    <border>
      <left>
        <color indexed="63"/>
      </left>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style="thick"/>
      <top style="thin"/>
      <bottom style="thin"/>
    </border>
    <border>
      <left>
        <color indexed="63"/>
      </left>
      <right style="thick"/>
      <top style="thin"/>
      <bottom>
        <color indexed="63"/>
      </bottom>
    </border>
    <border>
      <left>
        <color indexed="63"/>
      </left>
      <right style="thick"/>
      <top>
        <color indexed="63"/>
      </top>
      <bottom>
        <color indexed="63"/>
      </bottom>
    </border>
    <border>
      <left style="thin"/>
      <right style="thin"/>
      <top style="thin"/>
      <bottom style="thick"/>
    </border>
    <border>
      <left style="thin"/>
      <right style="thick"/>
      <top style="thin"/>
      <bottom style="thick"/>
    </border>
    <border>
      <left style="medium"/>
      <right>
        <color indexed="63"/>
      </right>
      <top>
        <color indexed="63"/>
      </top>
      <bottom style="thin"/>
    </border>
    <border>
      <left style="medium"/>
      <right style="thin"/>
      <top style="thin"/>
      <bottom style="medium"/>
    </border>
    <border>
      <left style="medium"/>
      <right style="medium"/>
      <top style="hair"/>
      <bottom style="thin"/>
    </border>
    <border>
      <left>
        <color indexed="63"/>
      </left>
      <right style="medium"/>
      <top style="thin"/>
      <bottom style="thin"/>
    </border>
    <border>
      <left style="medium"/>
      <right>
        <color indexed="63"/>
      </right>
      <top style="thin"/>
      <bottom>
        <color indexed="63"/>
      </bottom>
    </border>
    <border>
      <left style="medium"/>
      <right style="thin"/>
      <top>
        <color indexed="63"/>
      </top>
      <bottom>
        <color indexed="63"/>
      </bottom>
    </border>
    <border>
      <left style="thin"/>
      <right style="medium"/>
      <top style="hair"/>
      <bottom>
        <color indexed="63"/>
      </bottom>
    </border>
    <border>
      <left style="thin"/>
      <right>
        <color indexed="63"/>
      </right>
      <top style="hair"/>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ck"/>
      <right style="thin"/>
      <top style="thin"/>
      <bottom style="thin"/>
    </border>
    <border>
      <left style="thick"/>
      <right style="thin"/>
      <top style="thin"/>
      <bottom>
        <color indexed="63"/>
      </bottom>
    </border>
    <border>
      <left style="thick"/>
      <right style="thin"/>
      <top>
        <color indexed="63"/>
      </top>
      <bottom>
        <color indexed="63"/>
      </bottom>
    </border>
    <border>
      <left style="thick"/>
      <right style="thin"/>
      <top style="thin"/>
      <bottom style="thick"/>
    </border>
    <border>
      <left style="thin"/>
      <right style="thin"/>
      <top style="medium"/>
      <bottom style="thin"/>
    </border>
    <border>
      <left>
        <color indexed="63"/>
      </left>
      <right style="thin"/>
      <top style="hair"/>
      <bottom style="hair"/>
    </border>
    <border>
      <left>
        <color indexed="63"/>
      </left>
      <right style="thin"/>
      <top>
        <color indexed="63"/>
      </top>
      <bottom style="medium"/>
    </border>
    <border>
      <left>
        <color indexed="63"/>
      </left>
      <right>
        <color indexed="63"/>
      </right>
      <top style="medium"/>
      <bottom style="hair"/>
    </border>
    <border>
      <left>
        <color indexed="63"/>
      </left>
      <right style="thin"/>
      <top>
        <color indexed="63"/>
      </top>
      <bottom style="hair"/>
    </border>
    <border>
      <left>
        <color indexed="63"/>
      </left>
      <right style="thin"/>
      <top style="hair"/>
      <bottom>
        <color indexed="63"/>
      </bottom>
    </border>
    <border>
      <left>
        <color indexed="63"/>
      </left>
      <right style="thin"/>
      <top style="hair"/>
      <bottom style="thin"/>
    </border>
    <border>
      <left>
        <color indexed="63"/>
      </left>
      <right style="thin"/>
      <top style="thin"/>
      <bottom style="medium"/>
    </border>
    <border>
      <left>
        <color indexed="63"/>
      </left>
      <right style="thin"/>
      <top style="thin"/>
      <bottom style="hair"/>
    </border>
    <border>
      <left>
        <color indexed="63"/>
      </left>
      <right style="thick"/>
      <top>
        <color indexed="63"/>
      </top>
      <bottom style="thin"/>
    </border>
    <border>
      <left style="medium"/>
      <right style="medium"/>
      <top style="medium"/>
      <bottom>
        <color indexed="63"/>
      </bottom>
    </border>
    <border>
      <left style="medium"/>
      <right style="medium"/>
      <top>
        <color indexed="63"/>
      </top>
      <bottom style="medium"/>
    </border>
    <border>
      <left style="thin"/>
      <right>
        <color indexed="63"/>
      </right>
      <top style="medium"/>
      <bottom style="thin"/>
    </border>
    <border>
      <left style="medium"/>
      <right>
        <color indexed="63"/>
      </right>
      <top style="medium"/>
      <bottom style="hair"/>
    </border>
    <border>
      <left>
        <color indexed="63"/>
      </left>
      <right style="medium"/>
      <top style="medium"/>
      <bottom style="hair"/>
    </border>
    <border>
      <left style="medium"/>
      <right style="medium"/>
      <top>
        <color indexed="63"/>
      </top>
      <bottom>
        <color indexed="63"/>
      </bottom>
    </border>
    <border>
      <left style="thin"/>
      <right style="medium"/>
      <top style="medium"/>
      <bottom style="thin"/>
    </border>
    <border>
      <left style="medium"/>
      <right>
        <color indexed="63"/>
      </right>
      <top>
        <color indexed="63"/>
      </top>
      <bottom style="hair"/>
    </border>
    <border>
      <left style="thin"/>
      <right>
        <color indexed="63"/>
      </right>
      <top style="medium"/>
      <bottom>
        <color indexed="63"/>
      </bottom>
    </border>
    <border>
      <left style="thick"/>
      <right>
        <color indexed="63"/>
      </right>
      <top style="thick"/>
      <bottom style="thin"/>
    </border>
    <border>
      <left>
        <color indexed="63"/>
      </left>
      <right>
        <color indexed="63"/>
      </right>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9"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718">
    <xf numFmtId="0" fontId="0" fillId="0" borderId="0" xfId="0" applyAlignment="1">
      <alignment/>
    </xf>
    <xf numFmtId="0" fontId="0"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left"/>
    </xf>
    <xf numFmtId="0" fontId="5" fillId="0" borderId="0" xfId="0" applyFont="1" applyFill="1" applyBorder="1" applyAlignment="1">
      <alignment/>
    </xf>
    <xf numFmtId="0" fontId="5" fillId="0" borderId="0" xfId="0" applyFont="1" applyFill="1" applyBorder="1" applyAlignment="1">
      <alignment horizontal="center"/>
    </xf>
    <xf numFmtId="0" fontId="4" fillId="0" borderId="0" xfId="0" applyFont="1" applyFill="1" applyBorder="1" applyAlignment="1">
      <alignment horizontal="right" vertical="center"/>
    </xf>
    <xf numFmtId="0" fontId="0" fillId="0" borderId="10" xfId="0" applyFont="1" applyBorder="1" applyAlignment="1">
      <alignment vertical="center"/>
    </xf>
    <xf numFmtId="3" fontId="5" fillId="0" borderId="0" xfId="0" applyNumberFormat="1" applyFont="1" applyFill="1" applyBorder="1" applyAlignment="1">
      <alignment horizontal="center"/>
    </xf>
    <xf numFmtId="0" fontId="4" fillId="0" borderId="0" xfId="0" applyFont="1" applyFill="1" applyBorder="1" applyAlignment="1">
      <alignment horizontal="left"/>
    </xf>
    <xf numFmtId="2" fontId="5" fillId="0" borderId="0" xfId="0" applyNumberFormat="1" applyFont="1" applyFill="1" applyBorder="1" applyAlignment="1">
      <alignment horizontal="center"/>
    </xf>
    <xf numFmtId="3" fontId="5" fillId="0" borderId="11" xfId="0" applyNumberFormat="1" applyFont="1" applyFill="1" applyBorder="1" applyAlignment="1">
      <alignment horizontal="center" vertical="center"/>
    </xf>
    <xf numFmtId="0" fontId="5" fillId="0" borderId="12" xfId="0" applyFont="1" applyFill="1" applyBorder="1" applyAlignment="1">
      <alignment/>
    </xf>
    <xf numFmtId="0" fontId="5" fillId="0" borderId="10" xfId="0" applyFont="1" applyFill="1" applyBorder="1" applyAlignment="1">
      <alignment horizontal="center"/>
    </xf>
    <xf numFmtId="3" fontId="5" fillId="0" borderId="10" xfId="0" applyNumberFormat="1" applyFont="1" applyFill="1" applyBorder="1" applyAlignment="1">
      <alignment horizontal="center"/>
    </xf>
    <xf numFmtId="0" fontId="4" fillId="0" borderId="10" xfId="0" applyFont="1" applyFill="1" applyBorder="1" applyAlignment="1">
      <alignment horizontal="right" vertical="center"/>
    </xf>
    <xf numFmtId="2" fontId="5" fillId="0" borderId="11" xfId="0" applyNumberFormat="1" applyFont="1" applyFill="1" applyBorder="1" applyAlignment="1">
      <alignment horizontal="center" vertical="center"/>
    </xf>
    <xf numFmtId="0" fontId="5" fillId="0" borderId="1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horizontal="left" vertical="center"/>
    </xf>
    <xf numFmtId="0" fontId="0" fillId="0" borderId="0" xfId="0" applyFont="1" applyFill="1" applyBorder="1" applyAlignment="1">
      <alignment/>
    </xf>
    <xf numFmtId="3" fontId="5" fillId="0" borderId="15" xfId="0" applyNumberFormat="1" applyFont="1" applyFill="1" applyBorder="1" applyAlignment="1">
      <alignment horizontal="center" vertical="center"/>
    </xf>
    <xf numFmtId="0" fontId="5" fillId="0" borderId="15" xfId="0" applyFont="1" applyFill="1" applyBorder="1" applyAlignment="1">
      <alignment vertical="center"/>
    </xf>
    <xf numFmtId="0" fontId="5" fillId="0" borderId="14" xfId="0" applyFont="1" applyFill="1" applyBorder="1" applyAlignment="1">
      <alignment horizontal="left" vertical="center" indent="1"/>
    </xf>
    <xf numFmtId="0" fontId="0" fillId="0" borderId="0" xfId="0" applyFont="1" applyAlignment="1" applyProtection="1">
      <alignment/>
      <protection/>
    </xf>
    <xf numFmtId="0" fontId="0" fillId="32"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32" borderId="16" xfId="0" applyFont="1" applyFill="1" applyBorder="1" applyAlignment="1" applyProtection="1">
      <alignment horizontal="left" vertical="center"/>
      <protection/>
    </xf>
    <xf numFmtId="0" fontId="0" fillId="32" borderId="17" xfId="0" applyFont="1" applyFill="1" applyBorder="1" applyAlignment="1" applyProtection="1">
      <alignment horizontal="left" vertical="center"/>
      <protection/>
    </xf>
    <xf numFmtId="0" fontId="0" fillId="0" borderId="17" xfId="0" applyFont="1" applyBorder="1" applyAlignment="1" applyProtection="1">
      <alignment horizontal="left" vertical="center"/>
      <protection/>
    </xf>
    <xf numFmtId="0" fontId="0" fillId="32" borderId="17" xfId="0" applyFont="1" applyFill="1" applyBorder="1" applyAlignment="1" applyProtection="1">
      <alignment/>
      <protection/>
    </xf>
    <xf numFmtId="0" fontId="0" fillId="32" borderId="18" xfId="0" applyFont="1" applyFill="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protection/>
    </xf>
    <xf numFmtId="0" fontId="12" fillId="32" borderId="19" xfId="0" applyFont="1" applyFill="1" applyBorder="1" applyAlignment="1" applyProtection="1">
      <alignment horizontal="left" vertical="center"/>
      <protection/>
    </xf>
    <xf numFmtId="0" fontId="2" fillId="32" borderId="0" xfId="0" applyFont="1" applyFill="1" applyBorder="1" applyAlignment="1" applyProtection="1">
      <alignment horizontal="left" vertical="center"/>
      <protection/>
    </xf>
    <xf numFmtId="0" fontId="10" fillId="32" borderId="0" xfId="0" applyFont="1" applyFill="1" applyBorder="1" applyAlignment="1" applyProtection="1">
      <alignment horizontal="left" vertical="center"/>
      <protection/>
    </xf>
    <xf numFmtId="0" fontId="2" fillId="32" borderId="0" xfId="0" applyFont="1" applyFill="1" applyBorder="1" applyAlignment="1" applyProtection="1">
      <alignment horizontal="center" vertical="center"/>
      <protection/>
    </xf>
    <xf numFmtId="0" fontId="0" fillId="32" borderId="20" xfId="0" applyFont="1" applyFill="1" applyBorder="1" applyAlignment="1" applyProtection="1">
      <alignment/>
      <protection/>
    </xf>
    <xf numFmtId="0" fontId="0" fillId="32" borderId="19" xfId="0" applyFont="1" applyFill="1" applyBorder="1" applyAlignment="1" applyProtection="1">
      <alignment/>
      <protection/>
    </xf>
    <xf numFmtId="0" fontId="14" fillId="32" borderId="19" xfId="0" applyFont="1" applyFill="1" applyBorder="1" applyAlignment="1" applyProtection="1">
      <alignment/>
      <protection/>
    </xf>
    <xf numFmtId="0" fontId="2" fillId="32" borderId="0" xfId="0" applyFont="1" applyFill="1" applyBorder="1" applyAlignment="1" applyProtection="1">
      <alignment/>
      <protection/>
    </xf>
    <xf numFmtId="0" fontId="15" fillId="32" borderId="0" xfId="0" applyFont="1" applyFill="1" applyBorder="1" applyAlignment="1" applyProtection="1">
      <alignment horizontal="right"/>
      <protection/>
    </xf>
    <xf numFmtId="0" fontId="15" fillId="32" borderId="0" xfId="0" applyFont="1" applyFill="1" applyBorder="1" applyAlignment="1" applyProtection="1">
      <alignment/>
      <protection/>
    </xf>
    <xf numFmtId="3" fontId="0" fillId="32" borderId="21" xfId="0" applyNumberFormat="1" applyFont="1" applyFill="1" applyBorder="1" applyAlignment="1" applyProtection="1">
      <alignment horizontal="right" vertical="center"/>
      <protection/>
    </xf>
    <xf numFmtId="0" fontId="2" fillId="32" borderId="19" xfId="0" applyFont="1" applyFill="1" applyBorder="1" applyAlignment="1" applyProtection="1">
      <alignment/>
      <protection/>
    </xf>
    <xf numFmtId="0" fontId="0" fillId="32" borderId="0" xfId="0" applyFont="1" applyFill="1" applyBorder="1" applyAlignment="1" applyProtection="1">
      <alignment horizontal="center"/>
      <protection/>
    </xf>
    <xf numFmtId="2" fontId="0" fillId="32" borderId="0" xfId="0" applyNumberFormat="1" applyFont="1" applyFill="1" applyBorder="1" applyAlignment="1" applyProtection="1">
      <alignment horizontal="center" vertical="center"/>
      <protection/>
    </xf>
    <xf numFmtId="3" fontId="0" fillId="32" borderId="20" xfId="0" applyNumberFormat="1" applyFont="1" applyFill="1" applyBorder="1" applyAlignment="1" applyProtection="1">
      <alignment horizontal="right" vertical="center"/>
      <protection/>
    </xf>
    <xf numFmtId="0" fontId="14" fillId="32" borderId="0" xfId="0" applyFont="1" applyFill="1" applyBorder="1" applyAlignment="1" applyProtection="1">
      <alignment horizontal="left"/>
      <protection/>
    </xf>
    <xf numFmtId="0" fontId="6" fillId="32" borderId="0" xfId="0" applyFont="1" applyFill="1" applyBorder="1" applyAlignment="1" applyProtection="1">
      <alignment horizontal="left" vertical="top" wrapText="1" indent="1"/>
      <protection/>
    </xf>
    <xf numFmtId="0" fontId="0" fillId="32" borderId="0" xfId="0" applyFont="1" applyFill="1" applyBorder="1" applyAlignment="1" applyProtection="1">
      <alignment horizontal="right"/>
      <protection/>
    </xf>
    <xf numFmtId="0" fontId="14" fillId="32" borderId="0" xfId="0" applyFont="1" applyFill="1" applyBorder="1" applyAlignment="1" applyProtection="1">
      <alignment/>
      <protection/>
    </xf>
    <xf numFmtId="0" fontId="16" fillId="32" borderId="19" xfId="0" applyFont="1" applyFill="1" applyBorder="1" applyAlignment="1" applyProtection="1">
      <alignment/>
      <protection/>
    </xf>
    <xf numFmtId="0" fontId="6" fillId="32" borderId="0" xfId="0" applyFont="1" applyFill="1" applyBorder="1" applyAlignment="1" applyProtection="1" quotePrefix="1">
      <alignment vertical="top" wrapText="1"/>
      <protection/>
    </xf>
    <xf numFmtId="0" fontId="0" fillId="32" borderId="19" xfId="0" applyFont="1" applyFill="1" applyBorder="1" applyAlignment="1" applyProtection="1">
      <alignment/>
      <protection/>
    </xf>
    <xf numFmtId="0" fontId="14" fillId="32" borderId="0" xfId="0" applyFont="1" applyFill="1" applyBorder="1" applyAlignment="1" applyProtection="1">
      <alignment horizontal="right"/>
      <protection/>
    </xf>
    <xf numFmtId="0" fontId="0" fillId="32" borderId="0" xfId="0" applyFont="1" applyFill="1" applyBorder="1" applyAlignment="1" applyProtection="1">
      <alignment/>
      <protection/>
    </xf>
    <xf numFmtId="3" fontId="2" fillId="32" borderId="21" xfId="0" applyNumberFormat="1" applyFont="1" applyFill="1" applyBorder="1" applyAlignment="1" applyProtection="1">
      <alignment/>
      <protection/>
    </xf>
    <xf numFmtId="0" fontId="0" fillId="32" borderId="12" xfId="0" applyFont="1" applyFill="1" applyBorder="1" applyAlignment="1" applyProtection="1">
      <alignment/>
      <protection/>
    </xf>
    <xf numFmtId="0" fontId="0" fillId="32" borderId="10" xfId="0" applyFont="1" applyFill="1" applyBorder="1" applyAlignment="1" applyProtection="1">
      <alignment/>
      <protection/>
    </xf>
    <xf numFmtId="0" fontId="14" fillId="32" borderId="10" xfId="0" applyFont="1" applyFill="1" applyBorder="1" applyAlignment="1" applyProtection="1">
      <alignment horizontal="right"/>
      <protection/>
    </xf>
    <xf numFmtId="0" fontId="2" fillId="32" borderId="10" xfId="0" applyFont="1" applyFill="1" applyBorder="1" applyAlignment="1" applyProtection="1">
      <alignment/>
      <protection/>
    </xf>
    <xf numFmtId="0" fontId="2" fillId="32" borderId="22" xfId="0" applyFont="1" applyFill="1" applyBorder="1" applyAlignment="1" applyProtection="1">
      <alignment/>
      <protection/>
    </xf>
    <xf numFmtId="0" fontId="6" fillId="32" borderId="0" xfId="0" applyFont="1" applyFill="1" applyBorder="1" applyAlignment="1" applyProtection="1" quotePrefix="1">
      <alignment horizontal="left" vertical="top" wrapText="1" indent="1"/>
      <protection/>
    </xf>
    <xf numFmtId="0" fontId="0" fillId="0" borderId="0" xfId="0" applyFont="1" applyBorder="1" applyAlignment="1" applyProtection="1">
      <alignment/>
      <protection/>
    </xf>
    <xf numFmtId="0" fontId="14" fillId="32" borderId="23" xfId="0" applyFont="1" applyFill="1" applyBorder="1" applyAlignment="1" applyProtection="1">
      <alignment horizontal="right"/>
      <protection/>
    </xf>
    <xf numFmtId="2" fontId="2" fillId="32" borderId="23" xfId="0" applyNumberFormat="1" applyFont="1" applyFill="1" applyBorder="1" applyAlignment="1" applyProtection="1">
      <alignment horizontal="center" vertical="center"/>
      <protection/>
    </xf>
    <xf numFmtId="3" fontId="2" fillId="32" borderId="24" xfId="0" applyNumberFormat="1" applyFont="1" applyFill="1" applyBorder="1" applyAlignment="1" applyProtection="1">
      <alignment/>
      <protection/>
    </xf>
    <xf numFmtId="0" fontId="0" fillId="32" borderId="22" xfId="0" applyFont="1" applyFill="1" applyBorder="1" applyAlignment="1" applyProtection="1">
      <alignment/>
      <protection/>
    </xf>
    <xf numFmtId="2" fontId="0" fillId="32" borderId="0" xfId="0" applyNumberFormat="1" applyFont="1" applyFill="1" applyBorder="1" applyAlignment="1" applyProtection="1">
      <alignment horizontal="right" vertical="center"/>
      <protection/>
    </xf>
    <xf numFmtId="0" fontId="0" fillId="32" borderId="0" xfId="0" applyFont="1" applyFill="1" applyBorder="1" applyAlignment="1" applyProtection="1">
      <alignment horizontal="center"/>
      <protection/>
    </xf>
    <xf numFmtId="0" fontId="0" fillId="32" borderId="0" xfId="0" applyFont="1" applyFill="1" applyBorder="1" applyAlignment="1" applyProtection="1">
      <alignment/>
      <protection/>
    </xf>
    <xf numFmtId="2" fontId="2" fillId="32" borderId="20" xfId="0" applyNumberFormat="1" applyFont="1" applyFill="1" applyBorder="1" applyAlignment="1" applyProtection="1">
      <alignment/>
      <protection/>
    </xf>
    <xf numFmtId="0" fontId="6" fillId="32" borderId="0" xfId="0" applyFont="1" applyFill="1" applyBorder="1" applyAlignment="1" applyProtection="1">
      <alignment horizontal="left" vertical="top" wrapText="1"/>
      <protection/>
    </xf>
    <xf numFmtId="0" fontId="0" fillId="0" borderId="0" xfId="0" applyFont="1" applyFill="1" applyBorder="1" applyAlignment="1">
      <alignment vertical="center"/>
    </xf>
    <xf numFmtId="0" fontId="6" fillId="32" borderId="0" xfId="0" applyFont="1" applyFill="1" applyBorder="1" applyAlignment="1" applyProtection="1">
      <alignment horizontal="left"/>
      <protection/>
    </xf>
    <xf numFmtId="3" fontId="0" fillId="32" borderId="20" xfId="0" applyNumberFormat="1" applyFont="1" applyFill="1" applyBorder="1" applyAlignment="1" applyProtection="1" quotePrefix="1">
      <alignment horizontal="right" vertical="center"/>
      <protection/>
    </xf>
    <xf numFmtId="0" fontId="17" fillId="32" borderId="0" xfId="0" applyFont="1" applyFill="1" applyBorder="1" applyAlignment="1" applyProtection="1">
      <alignment horizontal="right"/>
      <protection/>
    </xf>
    <xf numFmtId="0" fontId="0" fillId="0" borderId="0" xfId="0" applyFont="1" applyFill="1" applyBorder="1" applyAlignment="1" applyProtection="1">
      <alignment horizontal="left" wrapText="1"/>
      <protection/>
    </xf>
    <xf numFmtId="0" fontId="17" fillId="32" borderId="0" xfId="0" applyFont="1" applyFill="1" applyBorder="1" applyAlignment="1" applyProtection="1">
      <alignment horizontal="left" vertical="top" wrapText="1" indent="1"/>
      <protection/>
    </xf>
    <xf numFmtId="0" fontId="14" fillId="32" borderId="0" xfId="0" applyFont="1" applyFill="1" applyBorder="1" applyAlignment="1" applyProtection="1">
      <alignment horizontal="left" indent="2"/>
      <protection/>
    </xf>
    <xf numFmtId="0" fontId="6" fillId="32" borderId="0" xfId="0" applyFont="1" applyFill="1" applyBorder="1" applyAlignment="1" applyProtection="1" quotePrefix="1">
      <alignment horizontal="left" vertical="top" wrapText="1"/>
      <protection/>
    </xf>
    <xf numFmtId="0" fontId="5" fillId="32" borderId="0" xfId="0" applyFont="1" applyFill="1" applyBorder="1" applyAlignment="1" applyProtection="1">
      <alignment horizontal="left" vertical="top" wrapText="1"/>
      <protection/>
    </xf>
    <xf numFmtId="0" fontId="20" fillId="32" borderId="0" xfId="0" applyFont="1" applyFill="1" applyBorder="1" applyAlignment="1" applyProtection="1">
      <alignment horizontal="left" indent="2"/>
      <protection/>
    </xf>
    <xf numFmtId="0" fontId="14" fillId="32" borderId="0" xfId="0" applyFont="1" applyFill="1" applyBorder="1" applyAlignment="1" applyProtection="1">
      <alignment horizontal="right" vertical="center"/>
      <protection/>
    </xf>
    <xf numFmtId="0" fontId="0" fillId="33" borderId="23" xfId="0" applyFont="1" applyFill="1" applyBorder="1" applyAlignment="1" applyProtection="1">
      <alignment horizontal="center" vertical="center"/>
      <protection locked="0"/>
    </xf>
    <xf numFmtId="0" fontId="1" fillId="0" borderId="16" xfId="0" applyFont="1" applyFill="1" applyBorder="1" applyAlignment="1">
      <alignment wrapText="1"/>
    </xf>
    <xf numFmtId="0" fontId="2" fillId="0" borderId="25" xfId="0" applyFont="1" applyFill="1" applyBorder="1" applyAlignment="1">
      <alignment vertical="center"/>
    </xf>
    <xf numFmtId="0" fontId="2" fillId="0" borderId="26" xfId="0" applyFont="1" applyFill="1" applyBorder="1" applyAlignment="1">
      <alignment horizontal="center" vertical="center" wrapText="1"/>
    </xf>
    <xf numFmtId="3" fontId="2" fillId="0" borderId="26" xfId="0" applyNumberFormat="1" applyFont="1" applyFill="1" applyBorder="1" applyAlignment="1">
      <alignment horizontal="center" vertical="center"/>
    </xf>
    <xf numFmtId="0" fontId="2" fillId="0" borderId="26" xfId="0" applyFont="1" applyFill="1" applyBorder="1" applyAlignment="1">
      <alignment horizontal="center" vertical="center"/>
    </xf>
    <xf numFmtId="0" fontId="5" fillId="0" borderId="14" xfId="0" applyFont="1" applyFill="1" applyBorder="1" applyAlignment="1">
      <alignment horizontal="left" vertical="center" wrapText="1" indent="1"/>
    </xf>
    <xf numFmtId="0" fontId="0" fillId="0" borderId="0" xfId="0" applyFont="1" applyFill="1" applyBorder="1" applyAlignment="1">
      <alignment horizontal="center"/>
    </xf>
    <xf numFmtId="3" fontId="0" fillId="0" borderId="0" xfId="0" applyNumberFormat="1" applyFont="1" applyFill="1" applyBorder="1" applyAlignment="1">
      <alignment horizontal="center"/>
    </xf>
    <xf numFmtId="0" fontId="20" fillId="32" borderId="0" xfId="0" applyFont="1" applyFill="1" applyBorder="1" applyAlignment="1" applyProtection="1">
      <alignment horizontal="right" wrapText="1"/>
      <protection/>
    </xf>
    <xf numFmtId="0" fontId="5" fillId="0" borderId="0" xfId="0" applyFont="1" applyFill="1" applyBorder="1" applyAlignment="1" applyProtection="1">
      <alignment horizontal="left" vertical="top" wrapText="1"/>
      <protection/>
    </xf>
    <xf numFmtId="177" fontId="2" fillId="32" borderId="27" xfId="42" applyNumberFormat="1" applyFont="1" applyFill="1" applyBorder="1" applyAlignment="1" applyProtection="1">
      <alignment horizontal="right" vertical="center"/>
      <protection/>
    </xf>
    <xf numFmtId="177" fontId="2" fillId="32" borderId="27" xfId="0" applyNumberFormat="1" applyFont="1" applyFill="1" applyBorder="1" applyAlignment="1" applyProtection="1">
      <alignment horizontal="right" vertical="center"/>
      <protection/>
    </xf>
    <xf numFmtId="177" fontId="2" fillId="32" borderId="27" xfId="0" applyNumberFormat="1" applyFont="1" applyFill="1" applyBorder="1" applyAlignment="1" applyProtection="1">
      <alignment/>
      <protection/>
    </xf>
    <xf numFmtId="0" fontId="5" fillId="0" borderId="28" xfId="0" applyFont="1" applyFill="1" applyBorder="1" applyAlignment="1">
      <alignment vertical="center"/>
    </xf>
    <xf numFmtId="0" fontId="5" fillId="0" borderId="14" xfId="0" applyFont="1" applyFill="1" applyBorder="1" applyAlignment="1">
      <alignment horizontal="left" vertical="center" wrapText="1" indent="2"/>
    </xf>
    <xf numFmtId="0" fontId="5" fillId="0" borderId="14" xfId="0" applyFont="1" applyFill="1" applyBorder="1" applyAlignment="1">
      <alignment horizontal="left" vertical="center" wrapText="1"/>
    </xf>
    <xf numFmtId="3" fontId="5" fillId="34" borderId="11" xfId="0" applyNumberFormat="1" applyFont="1" applyFill="1" applyBorder="1" applyAlignment="1">
      <alignment horizontal="center" vertical="center"/>
    </xf>
    <xf numFmtId="0" fontId="5" fillId="0" borderId="29" xfId="0" applyFont="1" applyFill="1" applyBorder="1" applyAlignment="1">
      <alignment horizontal="left" vertical="center" indent="1"/>
    </xf>
    <xf numFmtId="0" fontId="5" fillId="0" borderId="19" xfId="0" applyFont="1" applyFill="1" applyBorder="1" applyAlignment="1">
      <alignment horizontal="center" vertical="center"/>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Font="1" applyFill="1" applyBorder="1" applyAlignment="1">
      <alignment vertical="center" wrapText="1"/>
    </xf>
    <xf numFmtId="0" fontId="2" fillId="0" borderId="0" xfId="0" applyFont="1" applyFill="1" applyBorder="1" applyAlignment="1">
      <alignment horizontal="center" vertical="center"/>
    </xf>
    <xf numFmtId="0" fontId="5" fillId="0" borderId="34"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31" xfId="0" applyFont="1" applyFill="1" applyBorder="1" applyAlignment="1">
      <alignment horizontal="left" vertical="center" wrapText="1"/>
    </xf>
    <xf numFmtId="2" fontId="6" fillId="0" borderId="11" xfId="0" applyNumberFormat="1" applyFont="1" applyFill="1" applyBorder="1" applyAlignment="1">
      <alignment horizontal="center" vertical="center"/>
    </xf>
    <xf numFmtId="0" fontId="0" fillId="0" borderId="35" xfId="0" applyBorder="1" applyAlignment="1">
      <alignment/>
    </xf>
    <xf numFmtId="0" fontId="22" fillId="0" borderId="0" xfId="0" applyFont="1" applyBorder="1" applyAlignment="1">
      <alignment/>
    </xf>
    <xf numFmtId="0" fontId="0" fillId="0" borderId="36" xfId="0" applyBorder="1" applyAlignment="1">
      <alignment/>
    </xf>
    <xf numFmtId="0" fontId="0" fillId="0" borderId="0" xfId="0" applyBorder="1" applyAlignment="1">
      <alignment/>
    </xf>
    <xf numFmtId="0" fontId="0" fillId="0" borderId="23" xfId="0" applyBorder="1" applyAlignment="1">
      <alignment/>
    </xf>
    <xf numFmtId="0" fontId="0" fillId="0" borderId="0" xfId="0" applyFill="1" applyBorder="1" applyAlignment="1">
      <alignment/>
    </xf>
    <xf numFmtId="0" fontId="0" fillId="0" borderId="37" xfId="0" applyBorder="1" applyAlignment="1">
      <alignment/>
    </xf>
    <xf numFmtId="0" fontId="0" fillId="0" borderId="38" xfId="0" applyBorder="1" applyAlignment="1">
      <alignment/>
    </xf>
    <xf numFmtId="0" fontId="5" fillId="0" borderId="25" xfId="0" applyFont="1" applyFill="1" applyBorder="1" applyAlignment="1">
      <alignment horizontal="left" vertical="center"/>
    </xf>
    <xf numFmtId="0" fontId="5" fillId="0" borderId="39" xfId="0" applyFont="1" applyFill="1" applyBorder="1" applyAlignment="1">
      <alignment vertical="center" wrapText="1"/>
    </xf>
    <xf numFmtId="0" fontId="11" fillId="0" borderId="0" xfId="0" applyFont="1" applyAlignment="1">
      <alignment/>
    </xf>
    <xf numFmtId="0" fontId="0" fillId="0" borderId="0" xfId="0" applyAlignment="1" quotePrefix="1">
      <alignment/>
    </xf>
    <xf numFmtId="0" fontId="4" fillId="33" borderId="40" xfId="0" applyFont="1" applyFill="1" applyBorder="1" applyAlignment="1">
      <alignment horizontal="left" vertical="center"/>
    </xf>
    <xf numFmtId="0" fontId="4" fillId="33" borderId="41" xfId="0" applyFont="1" applyFill="1" applyBorder="1" applyAlignment="1">
      <alignment horizontal="left" vertical="center"/>
    </xf>
    <xf numFmtId="0" fontId="5" fillId="0" borderId="42" xfId="0" applyFont="1" applyFill="1" applyBorder="1" applyAlignment="1">
      <alignment horizontal="left" vertical="center" wrapText="1"/>
    </xf>
    <xf numFmtId="0" fontId="6" fillId="32" borderId="0" xfId="0" applyFont="1" applyFill="1" applyBorder="1" applyAlignment="1" applyProtection="1">
      <alignment horizontal="left" vertical="top" wrapText="1" indent="1"/>
      <protection/>
    </xf>
    <xf numFmtId="2" fontId="19" fillId="32" borderId="0" xfId="0" applyNumberFormat="1" applyFont="1" applyFill="1" applyBorder="1" applyAlignment="1" applyProtection="1">
      <alignment horizontal="left" vertical="center" wrapText="1"/>
      <protection/>
    </xf>
    <xf numFmtId="2" fontId="19" fillId="32" borderId="20" xfId="0" applyNumberFormat="1" applyFont="1" applyFill="1" applyBorder="1" applyAlignment="1" applyProtection="1">
      <alignment horizontal="left" vertical="center" wrapText="1"/>
      <protection/>
    </xf>
    <xf numFmtId="0" fontId="16" fillId="32" borderId="0" xfId="0" applyFont="1" applyFill="1" applyBorder="1" applyAlignment="1" applyProtection="1">
      <alignment horizontal="center"/>
      <protection/>
    </xf>
    <xf numFmtId="3" fontId="0" fillId="0" borderId="0" xfId="0" applyNumberFormat="1" applyFont="1" applyFill="1" applyBorder="1" applyAlignment="1" applyProtection="1" quotePrefix="1">
      <alignment horizontal="right" vertical="center"/>
      <protection locked="0"/>
    </xf>
    <xf numFmtId="0" fontId="21" fillId="32" borderId="0" xfId="0" applyFont="1" applyFill="1" applyBorder="1" applyAlignment="1" applyProtection="1">
      <alignment horizontal="left" indent="2"/>
      <protection/>
    </xf>
    <xf numFmtId="0" fontId="21" fillId="32" borderId="0" xfId="0" applyFont="1" applyFill="1" applyBorder="1" applyAlignment="1" applyProtection="1">
      <alignment horizontal="left"/>
      <protection/>
    </xf>
    <xf numFmtId="3" fontId="6" fillId="32" borderId="20" xfId="0" applyNumberFormat="1" applyFont="1" applyFill="1" applyBorder="1" applyAlignment="1" applyProtection="1">
      <alignment horizontal="center" vertical="center"/>
      <protection/>
    </xf>
    <xf numFmtId="0" fontId="21" fillId="32" borderId="0" xfId="0" applyFont="1" applyFill="1" applyBorder="1" applyAlignment="1" applyProtection="1">
      <alignment horizontal="left" vertical="top" wrapText="1"/>
      <protection/>
    </xf>
    <xf numFmtId="0" fontId="15" fillId="32" borderId="0" xfId="0" applyFont="1" applyFill="1" applyBorder="1" applyAlignment="1" applyProtection="1">
      <alignment horizontal="left"/>
      <protection/>
    </xf>
    <xf numFmtId="0" fontId="25" fillId="32" borderId="0" xfId="0" applyFont="1" applyFill="1" applyBorder="1" applyAlignment="1" applyProtection="1">
      <alignment horizontal="center" vertical="top" wrapText="1"/>
      <protection/>
    </xf>
    <xf numFmtId="2" fontId="0" fillId="32" borderId="0" xfId="0" applyNumberFormat="1" applyFont="1" applyFill="1" applyBorder="1" applyAlignment="1" applyProtection="1">
      <alignment horizontal="right" vertical="center"/>
      <protection/>
    </xf>
    <xf numFmtId="3" fontId="0" fillId="32" borderId="20" xfId="0" applyNumberFormat="1" applyFont="1" applyFill="1" applyBorder="1" applyAlignment="1" applyProtection="1">
      <alignment horizontal="right" vertical="center"/>
      <protection/>
    </xf>
    <xf numFmtId="0" fontId="15" fillId="32" borderId="19" xfId="0" applyFont="1" applyFill="1" applyBorder="1" applyAlignment="1" applyProtection="1">
      <alignment/>
      <protection/>
    </xf>
    <xf numFmtId="0" fontId="25" fillId="32" borderId="0" xfId="0" applyFont="1" applyFill="1" applyBorder="1" applyAlignment="1" applyProtection="1">
      <alignment horizontal="left" indent="1"/>
      <protection/>
    </xf>
    <xf numFmtId="3" fontId="0" fillId="32" borderId="20" xfId="0" applyNumberFormat="1" applyFont="1" applyFill="1" applyBorder="1" applyAlignment="1" applyProtection="1">
      <alignment horizontal="center" vertical="center"/>
      <protection/>
    </xf>
    <xf numFmtId="0" fontId="14" fillId="32" borderId="43" xfId="0" applyFont="1" applyFill="1" applyBorder="1" applyAlignment="1" applyProtection="1">
      <alignment horizontal="center"/>
      <protection/>
    </xf>
    <xf numFmtId="177" fontId="0" fillId="32" borderId="0" xfId="0" applyNumberFormat="1" applyFont="1" applyFill="1" applyBorder="1" applyAlignment="1" applyProtection="1">
      <alignment horizontal="right" vertical="center"/>
      <protection/>
    </xf>
    <xf numFmtId="3" fontId="2" fillId="32" borderId="0" xfId="42" applyNumberFormat="1" applyFont="1" applyFill="1" applyBorder="1" applyAlignment="1" applyProtection="1">
      <alignment horizontal="center" vertical="center"/>
      <protection/>
    </xf>
    <xf numFmtId="175" fontId="0" fillId="0" borderId="27" xfId="0" applyNumberFormat="1" applyFont="1" applyBorder="1" applyAlignment="1" applyProtection="1">
      <alignment vertical="center"/>
      <protection locked="0"/>
    </xf>
    <xf numFmtId="175" fontId="0" fillId="0" borderId="27" xfId="42" applyNumberFormat="1"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33" borderId="27" xfId="0" applyFont="1" applyFill="1" applyBorder="1" applyAlignment="1" applyProtection="1">
      <alignment horizontal="center" vertical="center"/>
      <protection locked="0"/>
    </xf>
    <xf numFmtId="0" fontId="0" fillId="0" borderId="44"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45" xfId="0" applyFont="1" applyBorder="1" applyAlignment="1" applyProtection="1">
      <alignment vertical="center"/>
      <protection locked="0"/>
    </xf>
    <xf numFmtId="0" fontId="0" fillId="0" borderId="46" xfId="0" applyFont="1" applyFill="1" applyBorder="1" applyAlignment="1" applyProtection="1">
      <alignment vertical="center"/>
      <protection locked="0"/>
    </xf>
    <xf numFmtId="0" fontId="0" fillId="0" borderId="23" xfId="0" applyFont="1" applyBorder="1" applyAlignment="1" applyProtection="1">
      <alignment vertical="center"/>
      <protection locked="0"/>
    </xf>
    <xf numFmtId="0" fontId="0" fillId="0" borderId="45" xfId="0" applyFont="1" applyFill="1" applyBorder="1" applyAlignment="1" applyProtection="1">
      <alignment vertical="center"/>
      <protection locked="0"/>
    </xf>
    <xf numFmtId="0" fontId="0" fillId="0" borderId="27" xfId="0" applyFont="1" applyBorder="1" applyAlignment="1" applyProtection="1">
      <alignment vertical="center"/>
      <protection locked="0"/>
    </xf>
    <xf numFmtId="0" fontId="22" fillId="0" borderId="0" xfId="0" applyFont="1" applyFill="1" applyBorder="1" applyAlignment="1" applyProtection="1">
      <alignment horizontal="center" vertical="center"/>
      <protection locked="0"/>
    </xf>
    <xf numFmtId="0" fontId="0" fillId="0" borderId="27" xfId="0" applyFont="1" applyFill="1" applyBorder="1" applyAlignment="1" applyProtection="1">
      <alignment vertical="center"/>
      <protection locked="0"/>
    </xf>
    <xf numFmtId="0" fontId="0" fillId="0" borderId="45" xfId="0" applyFont="1" applyBorder="1" applyAlignment="1" applyProtection="1">
      <alignment horizontal="center" vertical="center"/>
      <protection locked="0"/>
    </xf>
    <xf numFmtId="0" fontId="15" fillId="0" borderId="45" xfId="0" applyFont="1" applyFill="1" applyBorder="1" applyAlignment="1" applyProtection="1">
      <alignment horizontal="center" vertical="center"/>
      <protection locked="0"/>
    </xf>
    <xf numFmtId="0" fontId="0" fillId="0" borderId="45" xfId="0" applyFont="1" applyBorder="1" applyAlignment="1" applyProtection="1" quotePrefix="1">
      <alignment horizontal="center" vertical="center"/>
      <protection locked="0"/>
    </xf>
    <xf numFmtId="3" fontId="0" fillId="0" borderId="45" xfId="0" applyNumberFormat="1" applyFont="1" applyBorder="1" applyAlignment="1" applyProtection="1">
      <alignment horizontal="center" vertical="center"/>
      <protection locked="0"/>
    </xf>
    <xf numFmtId="0" fontId="0" fillId="0" borderId="45" xfId="0" applyFont="1" applyFill="1" applyBorder="1" applyAlignment="1" applyProtection="1">
      <alignment horizontal="center" vertical="center"/>
      <protection locked="0"/>
    </xf>
    <xf numFmtId="0" fontId="0" fillId="0" borderId="47" xfId="0" applyFont="1" applyBorder="1" applyAlignment="1" applyProtection="1">
      <alignment vertical="center"/>
      <protection locked="0"/>
    </xf>
    <xf numFmtId="3" fontId="0" fillId="35" borderId="23" xfId="0" applyNumberFormat="1" applyFont="1" applyFill="1" applyBorder="1" applyAlignment="1" applyProtection="1">
      <alignment horizontal="right" vertical="center"/>
      <protection locked="0"/>
    </xf>
    <xf numFmtId="0" fontId="14" fillId="32" borderId="0" xfId="0" applyFont="1" applyFill="1" applyBorder="1" applyAlignment="1" applyProtection="1">
      <alignment horizontal="left" indent="1"/>
      <protection/>
    </xf>
    <xf numFmtId="0" fontId="2" fillId="0" borderId="26"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wrapText="1"/>
      <protection locked="0"/>
    </xf>
    <xf numFmtId="3" fontId="2" fillId="0" borderId="48" xfId="0" applyNumberFormat="1" applyFont="1" applyFill="1" applyBorder="1" applyAlignment="1" applyProtection="1">
      <alignment horizontal="center" vertical="center" wrapText="1"/>
      <protection locked="0"/>
    </xf>
    <xf numFmtId="0" fontId="4" fillId="33" borderId="49" xfId="0" applyFont="1" applyFill="1" applyBorder="1" applyAlignment="1" applyProtection="1">
      <alignment horizontal="left" vertical="center"/>
      <protection locked="0"/>
    </xf>
    <xf numFmtId="0" fontId="4" fillId="33" borderId="50" xfId="0" applyFont="1" applyFill="1" applyBorder="1" applyAlignment="1" applyProtection="1">
      <alignment horizontal="left" vertical="center"/>
      <protection locked="0"/>
    </xf>
    <xf numFmtId="0" fontId="4" fillId="36" borderId="14" xfId="0" applyFont="1" applyFill="1" applyBorder="1" applyAlignment="1">
      <alignment horizontal="left" vertical="center"/>
    </xf>
    <xf numFmtId="2" fontId="5" fillId="36" borderId="11" xfId="0" applyNumberFormat="1" applyFont="1" applyFill="1" applyBorder="1" applyAlignment="1">
      <alignment horizontal="center" vertical="center"/>
    </xf>
    <xf numFmtId="3" fontId="5" fillId="36" borderId="15" xfId="0" applyNumberFormat="1" applyFont="1" applyFill="1" applyBorder="1" applyAlignment="1">
      <alignment horizontal="center" vertical="center"/>
    </xf>
    <xf numFmtId="0" fontId="5" fillId="36" borderId="15" xfId="0" applyFont="1" applyFill="1" applyBorder="1" applyAlignment="1">
      <alignment vertical="center"/>
    </xf>
    <xf numFmtId="0" fontId="5" fillId="0" borderId="11" xfId="0" applyFont="1" applyFill="1" applyBorder="1" applyAlignment="1" applyProtection="1">
      <alignment horizontal="center" vertical="center"/>
      <protection locked="0"/>
    </xf>
    <xf numFmtId="2" fontId="5" fillId="0" borderId="11" xfId="0" applyNumberFormat="1" applyFont="1" applyFill="1" applyBorder="1" applyAlignment="1" applyProtection="1">
      <alignment vertical="center"/>
      <protection locked="0"/>
    </xf>
    <xf numFmtId="0" fontId="5" fillId="0" borderId="11" xfId="0" applyFont="1" applyFill="1" applyBorder="1" applyAlignment="1" applyProtection="1">
      <alignment vertical="center"/>
      <protection locked="0"/>
    </xf>
    <xf numFmtId="0" fontId="5" fillId="0" borderId="15" xfId="0" applyFont="1" applyFill="1" applyBorder="1" applyAlignment="1" applyProtection="1">
      <alignment vertical="center"/>
      <protection locked="0"/>
    </xf>
    <xf numFmtId="3" fontId="5" fillId="0" borderId="51" xfId="0" applyNumberFormat="1" applyFont="1" applyFill="1" applyBorder="1" applyAlignment="1" applyProtection="1">
      <alignment horizontal="right" vertical="center"/>
      <protection locked="0"/>
    </xf>
    <xf numFmtId="2" fontId="5" fillId="0" borderId="15" xfId="0" applyNumberFormat="1" applyFont="1" applyFill="1" applyBorder="1" applyAlignment="1" applyProtection="1">
      <alignment vertical="center"/>
      <protection locked="0"/>
    </xf>
    <xf numFmtId="0" fontId="5" fillId="34" borderId="11" xfId="0" applyFont="1" applyFill="1" applyBorder="1" applyAlignment="1" applyProtection="1">
      <alignment horizontal="center" vertical="center"/>
      <protection locked="0"/>
    </xf>
    <xf numFmtId="2" fontId="5" fillId="34" borderId="15" xfId="0" applyNumberFormat="1" applyFont="1" applyFill="1" applyBorder="1" applyAlignment="1" applyProtection="1">
      <alignment vertical="center"/>
      <protection locked="0"/>
    </xf>
    <xf numFmtId="0" fontId="5" fillId="34" borderId="15" xfId="0" applyFont="1" applyFill="1" applyBorder="1" applyAlignment="1" applyProtection="1">
      <alignment vertical="center"/>
      <protection locked="0"/>
    </xf>
    <xf numFmtId="3" fontId="5" fillId="36" borderId="11" xfId="0" applyNumberFormat="1" applyFont="1" applyFill="1" applyBorder="1" applyAlignment="1">
      <alignment horizontal="center" vertical="center"/>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0" fontId="5" fillId="36" borderId="11" xfId="0" applyFont="1" applyFill="1" applyBorder="1" applyAlignment="1" applyProtection="1">
      <alignment horizontal="center" vertical="center"/>
      <protection locked="0"/>
    </xf>
    <xf numFmtId="2" fontId="5" fillId="36" borderId="15" xfId="0" applyNumberFormat="1" applyFont="1" applyFill="1" applyBorder="1" applyAlignment="1" applyProtection="1">
      <alignment vertical="center"/>
      <protection locked="0"/>
    </xf>
    <xf numFmtId="0" fontId="5" fillId="36" borderId="15" xfId="0" applyFont="1" applyFill="1" applyBorder="1" applyAlignment="1" applyProtection="1">
      <alignment vertical="center"/>
      <protection locked="0"/>
    </xf>
    <xf numFmtId="0" fontId="5" fillId="36" borderId="11" xfId="0" applyFont="1" applyFill="1" applyBorder="1" applyAlignment="1">
      <alignment/>
    </xf>
    <xf numFmtId="2" fontId="5" fillId="36" borderId="11" xfId="0" applyNumberFormat="1" applyFont="1" applyFill="1" applyBorder="1" applyAlignment="1" applyProtection="1">
      <alignment vertical="center"/>
      <protection locked="0"/>
    </xf>
    <xf numFmtId="0" fontId="5" fillId="36" borderId="11" xfId="0" applyFont="1" applyFill="1" applyBorder="1" applyAlignment="1" applyProtection="1">
      <alignment vertical="center"/>
      <protection locked="0"/>
    </xf>
    <xf numFmtId="2" fontId="5" fillId="34" borderId="11" xfId="0" applyNumberFormat="1" applyFont="1" applyFill="1" applyBorder="1" applyAlignment="1" applyProtection="1">
      <alignment vertical="center"/>
      <protection locked="0"/>
    </xf>
    <xf numFmtId="0" fontId="5" fillId="34" borderId="11" xfId="0" applyFont="1" applyFill="1" applyBorder="1" applyAlignment="1" applyProtection="1">
      <alignment vertical="center"/>
      <protection locked="0"/>
    </xf>
    <xf numFmtId="3" fontId="5" fillId="34" borderId="51" xfId="0" applyNumberFormat="1" applyFont="1" applyFill="1" applyBorder="1" applyAlignment="1" applyProtection="1">
      <alignment horizontal="right" vertical="center"/>
      <protection locked="0"/>
    </xf>
    <xf numFmtId="3" fontId="5" fillId="34" borderId="28" xfId="0" applyNumberFormat="1" applyFont="1" applyFill="1" applyBorder="1" applyAlignment="1">
      <alignment horizontal="center" vertical="center"/>
    </xf>
    <xf numFmtId="0" fontId="5" fillId="34" borderId="13" xfId="0" applyFont="1" applyFill="1" applyBorder="1" applyAlignment="1" applyProtection="1">
      <alignment horizontal="center" vertical="center"/>
      <protection locked="0"/>
    </xf>
    <xf numFmtId="2" fontId="5" fillId="34" borderId="13" xfId="0" applyNumberFormat="1" applyFont="1" applyFill="1" applyBorder="1" applyAlignment="1" applyProtection="1">
      <alignment vertical="center"/>
      <protection locked="0"/>
    </xf>
    <xf numFmtId="0" fontId="5" fillId="34" borderId="13" xfId="0" applyFont="1" applyFill="1" applyBorder="1" applyAlignment="1" applyProtection="1">
      <alignment vertical="center"/>
      <protection locked="0"/>
    </xf>
    <xf numFmtId="3" fontId="5" fillId="34" borderId="52" xfId="0" applyNumberFormat="1" applyFont="1" applyFill="1" applyBorder="1" applyAlignment="1" applyProtection="1">
      <alignment horizontal="right" vertical="center"/>
      <protection locked="0"/>
    </xf>
    <xf numFmtId="0" fontId="4" fillId="33" borderId="41" xfId="0" applyFont="1" applyFill="1" applyBorder="1" applyAlignment="1" applyProtection="1">
      <alignment horizontal="left" vertical="center"/>
      <protection locked="0"/>
    </xf>
    <xf numFmtId="0" fontId="4" fillId="33" borderId="53" xfId="0" applyFont="1" applyFill="1" applyBorder="1" applyAlignment="1" applyProtection="1">
      <alignment horizontal="left" vertical="center"/>
      <protection locked="0"/>
    </xf>
    <xf numFmtId="2" fontId="5" fillId="0" borderId="11" xfId="0" applyNumberFormat="1" applyFont="1" applyFill="1" applyBorder="1" applyAlignment="1" applyProtection="1">
      <alignment horizontal="right" vertical="center"/>
      <protection locked="0"/>
    </xf>
    <xf numFmtId="0" fontId="5" fillId="0" borderId="54" xfId="0" applyFont="1" applyFill="1" applyBorder="1" applyAlignment="1">
      <alignment horizontal="left" vertical="center"/>
    </xf>
    <xf numFmtId="2" fontId="5" fillId="0" borderId="13" xfId="0" applyNumberFormat="1" applyFont="1" applyFill="1" applyBorder="1" applyAlignment="1">
      <alignment horizontal="center" vertical="center"/>
    </xf>
    <xf numFmtId="3" fontId="5" fillId="0" borderId="13" xfId="0" applyNumberFormat="1" applyFont="1" applyFill="1" applyBorder="1" applyAlignment="1">
      <alignment horizontal="center" vertical="center"/>
    </xf>
    <xf numFmtId="0" fontId="5" fillId="0" borderId="13" xfId="0" applyFont="1" applyFill="1" applyBorder="1" applyAlignment="1" applyProtection="1">
      <alignment horizontal="center" vertical="center"/>
      <protection locked="0"/>
    </xf>
    <xf numFmtId="2" fontId="5" fillId="0" borderId="13" xfId="0" applyNumberFormat="1"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3" fontId="5" fillId="0" borderId="52" xfId="0" applyNumberFormat="1" applyFont="1" applyFill="1" applyBorder="1" applyAlignment="1" applyProtection="1">
      <alignment horizontal="right" vertical="center"/>
      <protection locked="0"/>
    </xf>
    <xf numFmtId="3" fontId="5" fillId="0" borderId="55" xfId="0" applyNumberFormat="1" applyFont="1" applyFill="1" applyBorder="1" applyAlignment="1" applyProtection="1">
      <alignment horizontal="right" vertical="center"/>
      <protection locked="0"/>
    </xf>
    <xf numFmtId="0" fontId="5" fillId="0" borderId="15" xfId="0" applyFont="1" applyFill="1" applyBorder="1" applyAlignment="1" applyProtection="1">
      <alignment horizontal="center" vertical="center"/>
      <protection locked="0"/>
    </xf>
    <xf numFmtId="4" fontId="5" fillId="0" borderId="11" xfId="0" applyNumberFormat="1" applyFont="1" applyFill="1" applyBorder="1" applyAlignment="1" applyProtection="1">
      <alignment vertical="center"/>
      <protection locked="0"/>
    </xf>
    <xf numFmtId="3" fontId="5" fillId="0" borderId="11"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4" fontId="5" fillId="0" borderId="15" xfId="0" applyNumberFormat="1" applyFont="1" applyFill="1" applyBorder="1" applyAlignment="1" applyProtection="1">
      <alignment vertical="center"/>
      <protection locked="0"/>
    </xf>
    <xf numFmtId="3" fontId="5" fillId="0" borderId="56" xfId="0" applyNumberFormat="1" applyFont="1" applyFill="1" applyBorder="1" applyAlignment="1" applyProtection="1">
      <alignment vertical="center"/>
      <protection locked="0"/>
    </xf>
    <xf numFmtId="3" fontId="5" fillId="0" borderId="51" xfId="0" applyNumberFormat="1" applyFont="1" applyFill="1" applyBorder="1" applyAlignment="1" applyProtection="1">
      <alignment vertical="center"/>
      <protection locked="0"/>
    </xf>
    <xf numFmtId="0" fontId="4" fillId="0" borderId="10" xfId="0" applyFont="1" applyFill="1" applyBorder="1" applyAlignment="1" applyProtection="1">
      <alignment horizontal="right" vertical="center"/>
      <protection locked="0"/>
    </xf>
    <xf numFmtId="0" fontId="5" fillId="0" borderId="10" xfId="0" applyFont="1" applyFill="1" applyBorder="1" applyAlignment="1" applyProtection="1">
      <alignment horizontal="center"/>
      <protection locked="0"/>
    </xf>
    <xf numFmtId="2" fontId="4" fillId="0" borderId="10" xfId="0" applyNumberFormat="1" applyFont="1" applyFill="1" applyBorder="1" applyAlignment="1" applyProtection="1">
      <alignment horizontal="right"/>
      <protection locked="0"/>
    </xf>
    <xf numFmtId="3" fontId="4" fillId="0" borderId="22" xfId="0" applyNumberFormat="1" applyFont="1" applyFill="1" applyBorder="1" applyAlignment="1" applyProtection="1">
      <alignment horizontal="right"/>
      <protection locked="0"/>
    </xf>
    <xf numFmtId="0" fontId="4" fillId="0" borderId="0" xfId="0" applyFont="1" applyFill="1" applyBorder="1" applyAlignment="1" applyProtection="1">
      <alignment horizontal="right" vertical="center"/>
      <protection locked="0"/>
    </xf>
    <xf numFmtId="0" fontId="5" fillId="0" borderId="0" xfId="0" applyFont="1" applyFill="1" applyBorder="1" applyAlignment="1" applyProtection="1">
      <alignment horizontal="center"/>
      <protection locked="0"/>
    </xf>
    <xf numFmtId="2" fontId="4" fillId="0" borderId="0" xfId="0" applyNumberFormat="1" applyFont="1" applyFill="1" applyBorder="1" applyAlignment="1" applyProtection="1">
      <alignment horizontal="right"/>
      <protection locked="0"/>
    </xf>
    <xf numFmtId="3" fontId="4" fillId="0" borderId="0" xfId="0" applyNumberFormat="1" applyFont="1" applyFill="1" applyBorder="1" applyAlignment="1" applyProtection="1">
      <alignment horizontal="right"/>
      <protection locked="0"/>
    </xf>
    <xf numFmtId="0" fontId="5"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2" fontId="5" fillId="0" borderId="0" xfId="0" applyNumberFormat="1" applyFont="1" applyFill="1" applyBorder="1" applyAlignment="1" applyProtection="1">
      <alignment/>
      <protection locked="0"/>
    </xf>
    <xf numFmtId="3" fontId="5" fillId="0" borderId="0" xfId="0" applyNumberFormat="1" applyFont="1" applyFill="1" applyBorder="1" applyAlignment="1" applyProtection="1">
      <alignment/>
      <protection locked="0"/>
    </xf>
    <xf numFmtId="0" fontId="0" fillId="0" borderId="0" xfId="0" applyFont="1" applyFill="1" applyBorder="1" applyAlignment="1" applyProtection="1">
      <alignment horizontal="center"/>
      <protection locked="0"/>
    </xf>
    <xf numFmtId="0" fontId="27" fillId="0" borderId="57" xfId="0" applyFont="1" applyFill="1" applyBorder="1" applyAlignment="1">
      <alignment vertical="center" wrapText="1"/>
    </xf>
    <xf numFmtId="0" fontId="14" fillId="32" borderId="19" xfId="0" applyFont="1" applyFill="1" applyBorder="1" applyAlignment="1" applyProtection="1">
      <alignment horizontal="left" indent="1"/>
      <protection/>
    </xf>
    <xf numFmtId="0" fontId="6" fillId="32" borderId="0" xfId="0" applyFont="1" applyFill="1" applyBorder="1" applyAlignment="1" applyProtection="1" quotePrefix="1">
      <alignment horizontal="left" vertical="top" wrapText="1" indent="2"/>
      <protection/>
    </xf>
    <xf numFmtId="0" fontId="6" fillId="32" borderId="0" xfId="0" applyFont="1" applyFill="1" applyBorder="1" applyAlignment="1" applyProtection="1">
      <alignment horizontal="left" vertical="top" wrapText="1" indent="2"/>
      <protection/>
    </xf>
    <xf numFmtId="0" fontId="2" fillId="32" borderId="0" xfId="0" applyFont="1" applyFill="1" applyBorder="1" applyAlignment="1" applyProtection="1">
      <alignment horizontal="left" wrapText="1" indent="1"/>
      <protection/>
    </xf>
    <xf numFmtId="2" fontId="0" fillId="32" borderId="27" xfId="0" applyNumberFormat="1" applyFont="1" applyFill="1" applyBorder="1" applyAlignment="1" applyProtection="1">
      <alignment horizontal="right" vertical="center"/>
      <protection/>
    </xf>
    <xf numFmtId="0" fontId="16" fillId="32" borderId="19" xfId="0" applyFont="1" applyFill="1" applyBorder="1" applyAlignment="1" applyProtection="1">
      <alignment horizontal="left"/>
      <protection/>
    </xf>
    <xf numFmtId="0" fontId="21" fillId="32" borderId="0" xfId="0" applyFont="1" applyFill="1" applyBorder="1" applyAlignment="1" applyProtection="1">
      <alignment horizontal="right"/>
      <protection/>
    </xf>
    <xf numFmtId="3" fontId="5" fillId="0" borderId="15" xfId="0" applyNumberFormat="1" applyFont="1" applyFill="1" applyBorder="1" applyAlignment="1">
      <alignment horizontal="left" vertical="center"/>
    </xf>
    <xf numFmtId="3" fontId="5" fillId="36" borderId="15" xfId="0" applyNumberFormat="1" applyFont="1" applyFill="1" applyBorder="1" applyAlignment="1">
      <alignment horizontal="left" vertical="center"/>
    </xf>
    <xf numFmtId="3" fontId="5" fillId="0" borderId="11" xfId="0" applyNumberFormat="1" applyFont="1" applyFill="1" applyBorder="1" applyAlignment="1">
      <alignment horizontal="left" vertical="center"/>
    </xf>
    <xf numFmtId="3" fontId="5" fillId="36" borderId="11" xfId="0" applyNumberFormat="1" applyFont="1" applyFill="1" applyBorder="1" applyAlignment="1">
      <alignment horizontal="left" vertical="center"/>
    </xf>
    <xf numFmtId="2" fontId="5" fillId="36" borderId="11" xfId="0" applyNumberFormat="1" applyFont="1" applyFill="1" applyBorder="1" applyAlignment="1">
      <alignment horizontal="left" vertical="center"/>
    </xf>
    <xf numFmtId="3" fontId="5" fillId="34" borderId="11" xfId="0" applyNumberFormat="1" applyFont="1" applyFill="1" applyBorder="1" applyAlignment="1">
      <alignment horizontal="left" vertical="center"/>
    </xf>
    <xf numFmtId="3" fontId="5" fillId="34" borderId="28" xfId="0" applyNumberFormat="1" applyFont="1" applyFill="1" applyBorder="1" applyAlignment="1">
      <alignment horizontal="left" vertical="center"/>
    </xf>
    <xf numFmtId="175" fontId="0" fillId="0" borderId="0" xfId="0" applyNumberFormat="1" applyFont="1" applyBorder="1" applyAlignment="1" applyProtection="1">
      <alignment vertical="center"/>
      <protection locked="0"/>
    </xf>
    <xf numFmtId="0" fontId="0" fillId="0" borderId="38"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3" xfId="0" applyFont="1" applyBorder="1" applyAlignment="1" applyProtection="1">
      <alignment vertical="center"/>
      <protection locked="0"/>
    </xf>
    <xf numFmtId="0" fontId="0" fillId="0" borderId="58" xfId="0" applyFont="1" applyBorder="1" applyAlignment="1" applyProtection="1">
      <alignment vertical="center"/>
      <protection locked="0"/>
    </xf>
    <xf numFmtId="3" fontId="2" fillId="32" borderId="0" xfId="0" applyNumberFormat="1" applyFont="1" applyFill="1" applyBorder="1" applyAlignment="1" applyProtection="1">
      <alignment horizontal="center" vertical="center"/>
      <protection/>
    </xf>
    <xf numFmtId="0" fontId="0" fillId="0" borderId="20" xfId="0" applyFont="1" applyBorder="1" applyAlignment="1" applyProtection="1">
      <alignment/>
      <protection/>
    </xf>
    <xf numFmtId="0" fontId="12" fillId="32" borderId="0" xfId="0" applyFont="1" applyFill="1" applyBorder="1" applyAlignment="1" applyProtection="1">
      <alignment horizontal="left" vertical="center"/>
      <protection/>
    </xf>
    <xf numFmtId="0" fontId="16" fillId="32" borderId="0" xfId="0" applyFont="1" applyFill="1" applyBorder="1" applyAlignment="1" applyProtection="1">
      <alignment/>
      <protection/>
    </xf>
    <xf numFmtId="0" fontId="16" fillId="32" borderId="0" xfId="0" applyFont="1" applyFill="1" applyBorder="1" applyAlignment="1" applyProtection="1">
      <alignment horizontal="left"/>
      <protection/>
    </xf>
    <xf numFmtId="0" fontId="0" fillId="0" borderId="19" xfId="0" applyFont="1" applyBorder="1" applyAlignment="1" applyProtection="1">
      <alignment/>
      <protection/>
    </xf>
    <xf numFmtId="0" fontId="19" fillId="32" borderId="0" xfId="0" applyFont="1" applyFill="1" applyBorder="1" applyAlignment="1" applyProtection="1">
      <alignment horizontal="left"/>
      <protection/>
    </xf>
    <xf numFmtId="0" fontId="21" fillId="32" borderId="58" xfId="0" applyFont="1" applyFill="1" applyBorder="1" applyAlignment="1" applyProtection="1">
      <alignment horizontal="left"/>
      <protection/>
    </xf>
    <xf numFmtId="0" fontId="0" fillId="34" borderId="46" xfId="0" applyFont="1" applyFill="1" applyBorder="1" applyAlignment="1" applyProtection="1">
      <alignment horizontal="center" vertical="center"/>
      <protection locked="0"/>
    </xf>
    <xf numFmtId="0" fontId="0" fillId="32" borderId="0" xfId="0" applyFont="1" applyFill="1" applyBorder="1" applyAlignment="1" applyProtection="1">
      <alignment horizontal="center"/>
      <protection/>
    </xf>
    <xf numFmtId="3" fontId="5" fillId="32" borderId="15" xfId="0" applyNumberFormat="1" applyFont="1" applyFill="1" applyBorder="1" applyAlignment="1">
      <alignment horizontal="left" vertical="center"/>
    </xf>
    <xf numFmtId="3" fontId="5" fillId="32" borderId="11" xfId="0" applyNumberFormat="1" applyFont="1" applyFill="1" applyBorder="1" applyAlignment="1">
      <alignment horizontal="left" vertical="center"/>
    </xf>
    <xf numFmtId="16" fontId="5" fillId="34" borderId="11" xfId="0" applyNumberFormat="1" applyFont="1" applyFill="1" applyBorder="1" applyAlignment="1" applyProtection="1">
      <alignment horizontal="center" vertical="center"/>
      <protection locked="0"/>
    </xf>
    <xf numFmtId="0" fontId="0" fillId="35" borderId="23" xfId="0" applyFont="1" applyFill="1" applyBorder="1" applyAlignment="1" applyProtection="1">
      <alignment horizontal="center"/>
      <protection locked="0"/>
    </xf>
    <xf numFmtId="0" fontId="0" fillId="35" borderId="23" xfId="0" applyFont="1" applyFill="1" applyBorder="1" applyAlignment="1" applyProtection="1">
      <alignment horizontal="center"/>
      <protection locked="0"/>
    </xf>
    <xf numFmtId="0" fontId="5" fillId="3" borderId="15" xfId="0" applyFont="1" applyFill="1" applyBorder="1" applyAlignment="1" applyProtection="1">
      <alignment vertical="center"/>
      <protection locked="0"/>
    </xf>
    <xf numFmtId="0" fontId="0" fillId="34" borderId="27" xfId="0" applyFont="1" applyFill="1" applyBorder="1" applyAlignment="1" applyProtection="1">
      <alignment vertical="center"/>
      <protection locked="0"/>
    </xf>
    <xf numFmtId="0" fontId="0" fillId="34" borderId="44" xfId="0" applyFont="1" applyFill="1" applyBorder="1" applyAlignment="1" applyProtection="1">
      <alignment horizontal="center" vertical="center"/>
      <protection locked="0"/>
    </xf>
    <xf numFmtId="0" fontId="0" fillId="34" borderId="45" xfId="0" applyFont="1" applyFill="1" applyBorder="1" applyAlignment="1" applyProtection="1">
      <alignment horizontal="center" vertical="center"/>
      <protection locked="0"/>
    </xf>
    <xf numFmtId="2" fontId="0" fillId="32" borderId="59" xfId="0" applyNumberFormat="1" applyFont="1" applyFill="1" applyBorder="1" applyAlignment="1" applyProtection="1">
      <alignment horizontal="right" vertical="center"/>
      <protection/>
    </xf>
    <xf numFmtId="3" fontId="0" fillId="32" borderId="60" xfId="0" applyNumberFormat="1" applyFont="1" applyFill="1" applyBorder="1" applyAlignment="1" applyProtection="1">
      <alignment horizontal="right" vertical="center"/>
      <protection/>
    </xf>
    <xf numFmtId="2" fontId="0" fillId="32" borderId="23" xfId="0" applyNumberFormat="1" applyFont="1" applyFill="1" applyBorder="1" applyAlignment="1" applyProtection="1">
      <alignment horizontal="right" vertical="center"/>
      <protection/>
    </xf>
    <xf numFmtId="3" fontId="0" fillId="32" borderId="24" xfId="0" applyNumberFormat="1" applyFont="1" applyFill="1" applyBorder="1" applyAlignment="1" applyProtection="1">
      <alignment horizontal="right" vertical="center"/>
      <protection/>
    </xf>
    <xf numFmtId="0" fontId="0" fillId="0" borderId="59" xfId="0" applyFont="1" applyFill="1" applyBorder="1" applyAlignment="1" applyProtection="1">
      <alignment vertical="center"/>
      <protection locked="0"/>
    </xf>
    <xf numFmtId="0" fontId="0" fillId="0" borderId="35" xfId="0" applyFont="1" applyFill="1" applyBorder="1" applyAlignment="1" applyProtection="1">
      <alignment vertical="center"/>
      <protection locked="0"/>
    </xf>
    <xf numFmtId="0" fontId="0" fillId="0" borderId="37" xfId="0" applyFont="1" applyFill="1" applyBorder="1" applyAlignment="1" applyProtection="1">
      <alignment vertical="center"/>
      <protection locked="0"/>
    </xf>
    <xf numFmtId="0" fontId="0" fillId="0" borderId="23" xfId="0" applyFont="1" applyFill="1" applyBorder="1" applyAlignment="1" applyProtection="1">
      <alignment vertical="center"/>
      <protection locked="0"/>
    </xf>
    <xf numFmtId="0" fontId="14" fillId="32" borderId="0" xfId="0" applyFont="1" applyFill="1" applyBorder="1" applyAlignment="1" applyProtection="1">
      <alignment horizontal="left" vertical="top"/>
      <protection/>
    </xf>
    <xf numFmtId="0" fontId="5" fillId="0" borderId="14" xfId="0" applyFont="1" applyFill="1" applyBorder="1" applyAlignment="1">
      <alignment horizontal="left" vertical="center" indent="2"/>
    </xf>
    <xf numFmtId="0" fontId="0" fillId="36" borderId="37" xfId="0" applyFont="1" applyFill="1" applyBorder="1" applyAlignment="1" applyProtection="1">
      <alignment horizontal="left" vertical="center"/>
      <protection locked="0"/>
    </xf>
    <xf numFmtId="0" fontId="0" fillId="36" borderId="47" xfId="0" applyFont="1" applyFill="1" applyBorder="1" applyAlignment="1" applyProtection="1">
      <alignment vertical="center"/>
      <protection locked="0"/>
    </xf>
    <xf numFmtId="0" fontId="0" fillId="36" borderId="58" xfId="0" applyFont="1" applyFill="1" applyBorder="1" applyAlignment="1" applyProtection="1">
      <alignment vertical="center"/>
      <protection locked="0"/>
    </xf>
    <xf numFmtId="175" fontId="0" fillId="36" borderId="27" xfId="42" applyNumberFormat="1" applyFont="1" applyFill="1" applyBorder="1" applyAlignment="1" applyProtection="1">
      <alignment vertical="center"/>
      <protection locked="0"/>
    </xf>
    <xf numFmtId="0" fontId="0" fillId="36" borderId="43" xfId="0" applyFont="1" applyFill="1" applyBorder="1" applyAlignment="1" applyProtection="1">
      <alignment horizontal="left" vertical="center"/>
      <protection locked="0"/>
    </xf>
    <xf numFmtId="0" fontId="0" fillId="36" borderId="27" xfId="0" applyFont="1" applyFill="1" applyBorder="1" applyAlignment="1" applyProtection="1">
      <alignment vertical="center"/>
      <protection locked="0"/>
    </xf>
    <xf numFmtId="0" fontId="0" fillId="34" borderId="61" xfId="0" applyFont="1" applyFill="1" applyBorder="1" applyAlignment="1" applyProtection="1" quotePrefix="1">
      <alignment vertical="center"/>
      <protection locked="0"/>
    </xf>
    <xf numFmtId="0" fontId="0" fillId="0" borderId="62" xfId="0" applyFont="1" applyFill="1" applyBorder="1" applyAlignment="1" applyProtection="1" quotePrefix="1">
      <alignment vertical="center"/>
      <protection locked="0"/>
    </xf>
    <xf numFmtId="0" fontId="0" fillId="0" borderId="63" xfId="0" applyFont="1" applyFill="1" applyBorder="1" applyAlignment="1" applyProtection="1" quotePrefix="1">
      <alignment vertical="center"/>
      <protection locked="0"/>
    </xf>
    <xf numFmtId="0" fontId="0" fillId="34" borderId="64" xfId="0" applyFont="1" applyFill="1" applyBorder="1" applyAlignment="1" applyProtection="1">
      <alignment vertical="center"/>
      <protection locked="0"/>
    </xf>
    <xf numFmtId="0" fontId="0" fillId="34" borderId="65" xfId="0" applyFont="1" applyFill="1" applyBorder="1" applyAlignment="1" applyProtection="1" quotePrefix="1">
      <alignment vertical="center"/>
      <protection locked="0"/>
    </xf>
    <xf numFmtId="0" fontId="12" fillId="32" borderId="66" xfId="0" applyFont="1" applyFill="1" applyBorder="1" applyAlignment="1" applyProtection="1">
      <alignment horizontal="left"/>
      <protection/>
    </xf>
    <xf numFmtId="0" fontId="12" fillId="32" borderId="23" xfId="0" applyFont="1" applyFill="1" applyBorder="1" applyAlignment="1" applyProtection="1">
      <alignment horizontal="left"/>
      <protection/>
    </xf>
    <xf numFmtId="0" fontId="12" fillId="32" borderId="38" xfId="0" applyFont="1" applyFill="1" applyBorder="1" applyAlignment="1" applyProtection="1">
      <alignment horizontal="left"/>
      <protection/>
    </xf>
    <xf numFmtId="0" fontId="0" fillId="0" borderId="0" xfId="0" applyFont="1" applyFill="1" applyBorder="1" applyAlignment="1" applyProtection="1">
      <alignment horizontal="left" vertical="top" wrapText="1"/>
      <protection/>
    </xf>
    <xf numFmtId="0" fontId="0" fillId="35" borderId="23" xfId="0" applyFont="1" applyFill="1" applyBorder="1" applyAlignment="1" applyProtection="1">
      <alignment horizontal="left" vertical="top" wrapText="1"/>
      <protection locked="0"/>
    </xf>
    <xf numFmtId="16" fontId="5" fillId="34" borderId="15" xfId="0" applyNumberFormat="1" applyFont="1" applyFill="1" applyBorder="1" applyAlignment="1" applyProtection="1">
      <alignment vertical="center"/>
      <protection locked="0"/>
    </xf>
    <xf numFmtId="16" fontId="5" fillId="0" borderId="11" xfId="0" applyNumberFormat="1" applyFont="1" applyFill="1" applyBorder="1" applyAlignment="1" applyProtection="1">
      <alignment horizontal="center" vertical="center"/>
      <protection locked="0"/>
    </xf>
    <xf numFmtId="0" fontId="5" fillId="0" borderId="23" xfId="0" applyFont="1" applyBorder="1" applyAlignment="1">
      <alignment/>
    </xf>
    <xf numFmtId="0" fontId="5" fillId="0" borderId="11" xfId="0" applyFont="1" applyFill="1" applyBorder="1" applyAlignment="1">
      <alignment horizontal="center" vertical="center"/>
    </xf>
    <xf numFmtId="0" fontId="2" fillId="0" borderId="67" xfId="0" applyFont="1" applyFill="1" applyBorder="1" applyAlignment="1">
      <alignment vertical="center"/>
    </xf>
    <xf numFmtId="4" fontId="5" fillId="0" borderId="13"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5" fillId="0" borderId="52" xfId="0" applyNumberFormat="1" applyFont="1" applyFill="1" applyBorder="1" applyAlignment="1" applyProtection="1">
      <alignment vertical="center"/>
      <protection locked="0"/>
    </xf>
    <xf numFmtId="0" fontId="5" fillId="0" borderId="68" xfId="0" applyFont="1" applyFill="1" applyBorder="1" applyAlignment="1">
      <alignment vertical="center" wrapText="1"/>
    </xf>
    <xf numFmtId="2" fontId="0" fillId="32" borderId="47" xfId="0" applyNumberFormat="1" applyFont="1" applyFill="1" applyBorder="1" applyAlignment="1" applyProtection="1">
      <alignment horizontal="right" vertical="center"/>
      <protection/>
    </xf>
    <xf numFmtId="3" fontId="0" fillId="32" borderId="69" xfId="0" applyNumberFormat="1" applyFont="1" applyFill="1" applyBorder="1" applyAlignment="1" applyProtection="1">
      <alignment horizontal="right" vertical="center"/>
      <protection/>
    </xf>
    <xf numFmtId="0" fontId="14" fillId="0" borderId="0" xfId="0" applyFont="1" applyFill="1" applyBorder="1" applyAlignment="1" applyProtection="1">
      <alignment horizontal="left" indent="1"/>
      <protection/>
    </xf>
    <xf numFmtId="0" fontId="14" fillId="32" borderId="19" xfId="0" applyFont="1" applyFill="1" applyBorder="1" applyAlignment="1" applyProtection="1">
      <alignment horizontal="left" indent="2"/>
      <protection/>
    </xf>
    <xf numFmtId="3" fontId="5" fillId="34" borderId="55" xfId="0" applyNumberFormat="1" applyFont="1" applyFill="1" applyBorder="1" applyAlignment="1">
      <alignment horizontal="center" vertical="center"/>
    </xf>
    <xf numFmtId="0" fontId="5" fillId="0" borderId="11" xfId="0" applyFont="1" applyFill="1" applyBorder="1" applyAlignment="1">
      <alignment horizontal="left" vertical="center" wrapText="1"/>
    </xf>
    <xf numFmtId="3" fontId="5" fillId="0" borderId="28" xfId="0" applyNumberFormat="1" applyFont="1" applyFill="1" applyBorder="1" applyAlignment="1">
      <alignment horizontal="left" vertical="center"/>
    </xf>
    <xf numFmtId="49" fontId="5" fillId="0" borderId="11" xfId="0" applyNumberFormat="1" applyFont="1" applyFill="1" applyBorder="1" applyAlignment="1" applyProtection="1">
      <alignment horizontal="left" vertical="center"/>
      <protection locked="0"/>
    </xf>
    <xf numFmtId="3" fontId="0" fillId="34" borderId="27" xfId="0" applyNumberFormat="1" applyFont="1" applyFill="1" applyBorder="1" applyAlignment="1" applyProtection="1" quotePrefix="1">
      <alignment horizontal="right" vertical="center"/>
      <protection locked="0"/>
    </xf>
    <xf numFmtId="3" fontId="5" fillId="0" borderId="13" xfId="0" applyNumberFormat="1" applyFont="1" applyFill="1" applyBorder="1" applyAlignment="1">
      <alignment horizontal="left" vertical="center"/>
    </xf>
    <xf numFmtId="3" fontId="5" fillId="36" borderId="51" xfId="0" applyNumberFormat="1" applyFont="1" applyFill="1" applyBorder="1" applyAlignment="1" applyProtection="1">
      <alignment horizontal="right" vertical="center"/>
      <protection locked="0"/>
    </xf>
    <xf numFmtId="0" fontId="5" fillId="36" borderId="31" xfId="0" applyFont="1" applyFill="1" applyBorder="1" applyAlignment="1">
      <alignment vertical="center" wrapText="1"/>
    </xf>
    <xf numFmtId="0" fontId="5" fillId="36" borderId="0" xfId="0" applyFont="1" applyFill="1" applyBorder="1" applyAlignment="1">
      <alignment/>
    </xf>
    <xf numFmtId="0" fontId="5" fillId="36" borderId="31" xfId="0" applyFont="1" applyFill="1" applyBorder="1" applyAlignment="1">
      <alignment horizontal="center" vertical="center" wrapText="1"/>
    </xf>
    <xf numFmtId="0" fontId="5" fillId="0" borderId="52" xfId="0" applyFont="1" applyFill="1" applyBorder="1" applyAlignment="1">
      <alignment vertical="center"/>
    </xf>
    <xf numFmtId="0" fontId="5" fillId="0" borderId="0" xfId="0" applyFont="1" applyBorder="1" applyAlignment="1">
      <alignment vertical="center"/>
    </xf>
    <xf numFmtId="0" fontId="5" fillId="0" borderId="59" xfId="0" applyFont="1" applyFill="1" applyBorder="1" applyAlignment="1">
      <alignment horizontal="center" vertical="center"/>
    </xf>
    <xf numFmtId="3" fontId="5" fillId="0" borderId="59" xfId="0" applyNumberFormat="1" applyFont="1" applyFill="1" applyBorder="1" applyAlignment="1">
      <alignment horizontal="center" vertical="center"/>
    </xf>
    <xf numFmtId="0" fontId="4" fillId="0" borderId="60" xfId="0" applyFont="1" applyFill="1" applyBorder="1" applyAlignment="1">
      <alignment horizontal="right" vertical="center"/>
    </xf>
    <xf numFmtId="0" fontId="5" fillId="0" borderId="10" xfId="0" applyFont="1" applyFill="1" applyBorder="1" applyAlignment="1">
      <alignment horizontal="center" vertical="center"/>
    </xf>
    <xf numFmtId="3" fontId="5" fillId="0" borderId="10" xfId="0" applyNumberFormat="1" applyFont="1" applyFill="1" applyBorder="1" applyAlignment="1">
      <alignment horizontal="center" vertical="center"/>
    </xf>
    <xf numFmtId="0" fontId="4" fillId="0" borderId="22" xfId="0" applyFont="1" applyFill="1" applyBorder="1" applyAlignment="1">
      <alignment horizontal="right" vertical="center"/>
    </xf>
    <xf numFmtId="0" fontId="5" fillId="0" borderId="70" xfId="0" applyFont="1" applyFill="1" applyBorder="1" applyAlignment="1">
      <alignment horizontal="left" vertical="center" indent="1"/>
    </xf>
    <xf numFmtId="0" fontId="23" fillId="0" borderId="12" xfId="0" applyFont="1" applyFill="1" applyBorder="1" applyAlignment="1">
      <alignment horizontal="left" vertical="center" indent="1"/>
    </xf>
    <xf numFmtId="0" fontId="2" fillId="0" borderId="71" xfId="0" applyFont="1" applyFill="1" applyBorder="1" applyAlignment="1">
      <alignment vertical="center"/>
    </xf>
    <xf numFmtId="0" fontId="5" fillId="36" borderId="56" xfId="0" applyFont="1" applyFill="1" applyBorder="1" applyAlignment="1">
      <alignment vertical="center"/>
    </xf>
    <xf numFmtId="0" fontId="5" fillId="0" borderId="56" xfId="0" applyFont="1" applyFill="1" applyBorder="1" applyAlignment="1">
      <alignment vertical="center"/>
    </xf>
    <xf numFmtId="0" fontId="5" fillId="0" borderId="51" xfId="0" applyFont="1" applyFill="1" applyBorder="1" applyAlignment="1">
      <alignment vertical="center"/>
    </xf>
    <xf numFmtId="0" fontId="5" fillId="36" borderId="51" xfId="0" applyFont="1" applyFill="1" applyBorder="1" applyAlignment="1">
      <alignment horizontal="center" vertical="center"/>
    </xf>
    <xf numFmtId="0" fontId="5" fillId="0" borderId="51" xfId="0" applyFont="1" applyFill="1" applyBorder="1" applyAlignment="1">
      <alignment horizontal="left" vertical="center"/>
    </xf>
    <xf numFmtId="0" fontId="5" fillId="36" borderId="51" xfId="0" applyFont="1" applyFill="1" applyBorder="1" applyAlignment="1">
      <alignment vertical="center"/>
    </xf>
    <xf numFmtId="2" fontId="5" fillId="36" borderId="51" xfId="0" applyNumberFormat="1" applyFont="1" applyFill="1" applyBorder="1" applyAlignment="1">
      <alignment horizontal="center" vertical="center"/>
    </xf>
    <xf numFmtId="0" fontId="5" fillId="0" borderId="72" xfId="0" applyFont="1" applyFill="1" applyBorder="1" applyAlignment="1">
      <alignment vertical="center"/>
    </xf>
    <xf numFmtId="0" fontId="4" fillId="33" borderId="53" xfId="0" applyFont="1" applyFill="1" applyBorder="1" applyAlignment="1">
      <alignment horizontal="left" vertical="center"/>
    </xf>
    <xf numFmtId="0" fontId="2" fillId="0" borderId="48" xfId="0" applyFont="1" applyFill="1" applyBorder="1" applyAlignment="1">
      <alignment horizontal="center" vertical="center"/>
    </xf>
    <xf numFmtId="0" fontId="5" fillId="0" borderId="29" xfId="0" applyFont="1" applyFill="1" applyBorder="1" applyAlignment="1">
      <alignment horizontal="left" vertical="center"/>
    </xf>
    <xf numFmtId="2" fontId="5" fillId="0" borderId="28" xfId="0" applyNumberFormat="1" applyFont="1" applyFill="1" applyBorder="1" applyAlignment="1">
      <alignment horizontal="center" vertical="center"/>
    </xf>
    <xf numFmtId="3" fontId="5" fillId="0" borderId="28" xfId="0" applyNumberFormat="1" applyFont="1" applyFill="1" applyBorder="1" applyAlignment="1">
      <alignment horizontal="center" vertical="center"/>
    </xf>
    <xf numFmtId="0" fontId="5" fillId="0" borderId="34" xfId="0" applyFont="1" applyFill="1" applyBorder="1" applyAlignment="1">
      <alignment vertical="center" wrapText="1"/>
    </xf>
    <xf numFmtId="0" fontId="5" fillId="0" borderId="28" xfId="0" applyFont="1" applyFill="1" applyBorder="1" applyAlignment="1">
      <alignment horizontal="center" vertical="center"/>
    </xf>
    <xf numFmtId="0" fontId="5" fillId="0" borderId="28" xfId="0" applyFont="1" applyFill="1" applyBorder="1" applyAlignment="1">
      <alignment horizontal="left" vertical="center"/>
    </xf>
    <xf numFmtId="0" fontId="5" fillId="0" borderId="28" xfId="0" applyFont="1" applyFill="1" applyBorder="1" applyAlignment="1" applyProtection="1">
      <alignment horizontal="center" vertical="center"/>
      <protection locked="0"/>
    </xf>
    <xf numFmtId="2" fontId="5" fillId="0" borderId="28" xfId="0" applyNumberFormat="1"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3" fontId="5" fillId="0" borderId="73" xfId="0" applyNumberFormat="1" applyFont="1" applyFill="1" applyBorder="1" applyAlignment="1" applyProtection="1">
      <alignment horizontal="right" vertical="center"/>
      <protection locked="0"/>
    </xf>
    <xf numFmtId="2" fontId="5" fillId="0" borderId="15" xfId="0" applyNumberFormat="1" applyFont="1" applyFill="1" applyBorder="1" applyAlignment="1">
      <alignment horizontal="center" vertical="center"/>
    </xf>
    <xf numFmtId="0" fontId="5" fillId="0" borderId="41" xfId="0" applyFont="1" applyFill="1" applyBorder="1" applyAlignment="1">
      <alignment vertical="center" wrapText="1"/>
    </xf>
    <xf numFmtId="0" fontId="5" fillId="0" borderId="41" xfId="0" applyFont="1" applyFill="1" applyBorder="1" applyAlignment="1">
      <alignment/>
    </xf>
    <xf numFmtId="0" fontId="5" fillId="0" borderId="41" xfId="0" applyFont="1" applyBorder="1" applyAlignment="1">
      <alignment/>
    </xf>
    <xf numFmtId="2" fontId="5" fillId="33" borderId="41" xfId="0" applyNumberFormat="1" applyFont="1" applyFill="1" applyBorder="1" applyAlignment="1">
      <alignment horizontal="center" vertical="center"/>
    </xf>
    <xf numFmtId="3" fontId="5" fillId="33" borderId="41" xfId="0" applyNumberFormat="1" applyFont="1" applyFill="1" applyBorder="1" applyAlignment="1">
      <alignment horizontal="center" vertical="center"/>
    </xf>
    <xf numFmtId="3" fontId="5" fillId="33" borderId="41" xfId="0" applyNumberFormat="1" applyFont="1" applyFill="1" applyBorder="1" applyAlignment="1">
      <alignment horizontal="left" vertical="center"/>
    </xf>
    <xf numFmtId="0" fontId="5" fillId="33" borderId="41" xfId="0" applyFont="1" applyFill="1" applyBorder="1" applyAlignment="1">
      <alignment vertical="center"/>
    </xf>
    <xf numFmtId="0" fontId="5" fillId="33" borderId="41" xfId="0" applyFont="1" applyFill="1" applyBorder="1" applyAlignment="1">
      <alignment horizontal="center" vertical="center"/>
    </xf>
    <xf numFmtId="0" fontId="5" fillId="33" borderId="41" xfId="0" applyFont="1" applyFill="1" applyBorder="1" applyAlignment="1">
      <alignment horizontal="left" vertical="center"/>
    </xf>
    <xf numFmtId="0" fontId="5" fillId="33" borderId="53" xfId="0" applyFont="1" applyFill="1" applyBorder="1" applyAlignment="1">
      <alignment vertical="center"/>
    </xf>
    <xf numFmtId="0" fontId="5" fillId="33" borderId="41" xfId="0" applyFont="1" applyFill="1" applyBorder="1" applyAlignment="1" applyProtection="1">
      <alignment horizontal="center" vertical="center"/>
      <protection locked="0"/>
    </xf>
    <xf numFmtId="2" fontId="5" fillId="33" borderId="41" xfId="0" applyNumberFormat="1" applyFont="1" applyFill="1" applyBorder="1" applyAlignment="1" applyProtection="1">
      <alignment vertical="center"/>
      <protection locked="0"/>
    </xf>
    <xf numFmtId="0" fontId="5" fillId="33" borderId="41" xfId="0" applyFont="1" applyFill="1" applyBorder="1" applyAlignment="1" applyProtection="1">
      <alignment vertical="center"/>
      <protection locked="0"/>
    </xf>
    <xf numFmtId="3" fontId="5" fillId="33" borderId="41" xfId="0" applyNumberFormat="1" applyFont="1" applyFill="1" applyBorder="1" applyAlignment="1" applyProtection="1">
      <alignment horizontal="right" vertical="center"/>
      <protection locked="0"/>
    </xf>
    <xf numFmtId="0" fontId="5" fillId="33" borderId="41" xfId="0" applyFont="1" applyFill="1" applyBorder="1" applyAlignment="1">
      <alignment vertical="center" wrapText="1"/>
    </xf>
    <xf numFmtId="0" fontId="5" fillId="33" borderId="41" xfId="0" applyFont="1" applyFill="1" applyBorder="1" applyAlignment="1">
      <alignment/>
    </xf>
    <xf numFmtId="0" fontId="14" fillId="32" borderId="12" xfId="0" applyFont="1" applyFill="1" applyBorder="1" applyAlignment="1" applyProtection="1">
      <alignment horizontal="left" indent="1"/>
      <protection/>
    </xf>
    <xf numFmtId="0" fontId="0" fillId="32" borderId="10" xfId="0" applyFont="1" applyFill="1" applyBorder="1" applyAlignment="1" applyProtection="1">
      <alignment/>
      <protection/>
    </xf>
    <xf numFmtId="0" fontId="6" fillId="32" borderId="10" xfId="0" applyFont="1" applyFill="1" applyBorder="1" applyAlignment="1" applyProtection="1" quotePrefix="1">
      <alignment horizontal="left" vertical="top" wrapText="1" indent="1"/>
      <protection/>
    </xf>
    <xf numFmtId="0" fontId="6" fillId="32" borderId="10" xfId="0" applyFont="1" applyFill="1" applyBorder="1" applyAlignment="1" applyProtection="1" quotePrefix="1">
      <alignment vertical="top" wrapText="1"/>
      <protection/>
    </xf>
    <xf numFmtId="0" fontId="21" fillId="32" borderId="10" xfId="0" applyFont="1" applyFill="1" applyBorder="1" applyAlignment="1" applyProtection="1">
      <alignment horizontal="right"/>
      <protection/>
    </xf>
    <xf numFmtId="0" fontId="0" fillId="32" borderId="10" xfId="0" applyFont="1" applyFill="1" applyBorder="1" applyAlignment="1" applyProtection="1">
      <alignment horizontal="right"/>
      <protection/>
    </xf>
    <xf numFmtId="2" fontId="0" fillId="32" borderId="10" xfId="0" applyNumberFormat="1" applyFont="1" applyFill="1" applyBorder="1" applyAlignment="1" applyProtection="1">
      <alignment horizontal="right" vertical="center"/>
      <protection/>
    </xf>
    <xf numFmtId="3" fontId="0" fillId="32" borderId="22" xfId="0" applyNumberFormat="1" applyFont="1" applyFill="1" applyBorder="1" applyAlignment="1" applyProtection="1">
      <alignment horizontal="right" vertical="center"/>
      <protection/>
    </xf>
    <xf numFmtId="0" fontId="14" fillId="0" borderId="0" xfId="0" applyFont="1" applyBorder="1" applyAlignment="1" applyProtection="1">
      <alignment vertical="center"/>
      <protection/>
    </xf>
    <xf numFmtId="0" fontId="15" fillId="32" borderId="0" xfId="0" applyFont="1" applyFill="1" applyBorder="1" applyAlignment="1" applyProtection="1">
      <alignment horizontal="left" vertical="center" wrapText="1" indent="1"/>
      <protection/>
    </xf>
    <xf numFmtId="0" fontId="2" fillId="0" borderId="0" xfId="0" applyFont="1" applyBorder="1" applyAlignment="1" applyProtection="1">
      <alignment/>
      <protection/>
    </xf>
    <xf numFmtId="0" fontId="0" fillId="32" borderId="23" xfId="0" applyFont="1" applyFill="1" applyBorder="1" applyAlignment="1" applyProtection="1">
      <alignment/>
      <protection/>
    </xf>
    <xf numFmtId="0" fontId="2" fillId="32" borderId="23" xfId="0" applyFont="1" applyFill="1" applyBorder="1" applyAlignment="1" applyProtection="1">
      <alignment/>
      <protection/>
    </xf>
    <xf numFmtId="0" fontId="6" fillId="32" borderId="38" xfId="0" applyFont="1" applyFill="1" applyBorder="1" applyAlignment="1" applyProtection="1">
      <alignment horizontal="left" vertical="top" wrapText="1" indent="1"/>
      <protection/>
    </xf>
    <xf numFmtId="0" fontId="0" fillId="32" borderId="10" xfId="0" applyFont="1" applyFill="1" applyBorder="1" applyAlignment="1" applyProtection="1">
      <alignment horizontal="right"/>
      <protection/>
    </xf>
    <xf numFmtId="0" fontId="14" fillId="32" borderId="38" xfId="0" applyFont="1" applyFill="1" applyBorder="1" applyAlignment="1" applyProtection="1">
      <alignment/>
      <protection/>
    </xf>
    <xf numFmtId="0" fontId="2" fillId="32" borderId="10" xfId="0" applyFont="1" applyFill="1" applyBorder="1" applyAlignment="1" applyProtection="1">
      <alignment/>
      <protection/>
    </xf>
    <xf numFmtId="0" fontId="6" fillId="32" borderId="10" xfId="0" applyFont="1" applyFill="1" applyBorder="1" applyAlignment="1" applyProtection="1">
      <alignment horizontal="left" vertical="top" wrapText="1" indent="1"/>
      <protection/>
    </xf>
    <xf numFmtId="2" fontId="0" fillId="32" borderId="74" xfId="0" applyNumberFormat="1" applyFont="1" applyFill="1" applyBorder="1" applyAlignment="1" applyProtection="1">
      <alignment horizontal="right" vertical="center"/>
      <protection/>
    </xf>
    <xf numFmtId="3" fontId="0" fillId="32" borderId="75" xfId="0" applyNumberFormat="1" applyFont="1" applyFill="1" applyBorder="1" applyAlignment="1" applyProtection="1">
      <alignment horizontal="right" vertical="center"/>
      <protection/>
    </xf>
    <xf numFmtId="0" fontId="14" fillId="32" borderId="38" xfId="0" applyFont="1" applyFill="1" applyBorder="1" applyAlignment="1" applyProtection="1">
      <alignment horizontal="center"/>
      <protection/>
    </xf>
    <xf numFmtId="0" fontId="14" fillId="32" borderId="24" xfId="0" applyFont="1" applyFill="1" applyBorder="1" applyAlignment="1" applyProtection="1">
      <alignment horizontal="center"/>
      <protection/>
    </xf>
    <xf numFmtId="0" fontId="2" fillId="32" borderId="12" xfId="0" applyFont="1" applyFill="1" applyBorder="1" applyAlignment="1" applyProtection="1">
      <alignment horizontal="left" vertical="center"/>
      <protection/>
    </xf>
    <xf numFmtId="0" fontId="2" fillId="32" borderId="10" xfId="0" applyFont="1" applyFill="1" applyBorder="1" applyAlignment="1" applyProtection="1">
      <alignment horizontal="left" vertical="center"/>
      <protection/>
    </xf>
    <xf numFmtId="0" fontId="0" fillId="0" borderId="10" xfId="0" applyFont="1" applyBorder="1" applyAlignment="1" applyProtection="1">
      <alignment horizontal="center" vertical="center"/>
      <protection/>
    </xf>
    <xf numFmtId="0" fontId="0" fillId="32" borderId="10" xfId="0" applyFont="1" applyFill="1" applyBorder="1" applyAlignment="1" applyProtection="1">
      <alignment horizontal="center" vertical="center"/>
      <protection/>
    </xf>
    <xf numFmtId="0" fontId="14" fillId="32" borderId="10" xfId="0" applyFont="1" applyFill="1" applyBorder="1" applyAlignment="1" applyProtection="1">
      <alignment horizontal="center" vertical="center"/>
      <protection/>
    </xf>
    <xf numFmtId="0" fontId="14" fillId="32" borderId="22" xfId="0" applyFont="1" applyFill="1" applyBorder="1" applyAlignment="1" applyProtection="1">
      <alignment horizontal="center" vertical="center"/>
      <protection/>
    </xf>
    <xf numFmtId="0" fontId="0" fillId="32" borderId="16" xfId="0" applyFont="1" applyFill="1" applyBorder="1" applyAlignment="1" applyProtection="1">
      <alignment/>
      <protection/>
    </xf>
    <xf numFmtId="0" fontId="0" fillId="0" borderId="17" xfId="0" applyFont="1" applyBorder="1" applyAlignment="1" applyProtection="1">
      <alignment/>
      <protection/>
    </xf>
    <xf numFmtId="0" fontId="2" fillId="32" borderId="12" xfId="0" applyFont="1" applyFill="1" applyBorder="1" applyAlignment="1" applyProtection="1">
      <alignment/>
      <protection/>
    </xf>
    <xf numFmtId="0" fontId="6" fillId="32" borderId="10" xfId="0" applyFont="1" applyFill="1" applyBorder="1" applyAlignment="1" applyProtection="1">
      <alignment horizontal="left" vertical="top" wrapText="1"/>
      <protection/>
    </xf>
    <xf numFmtId="0" fontId="21" fillId="32" borderId="10" xfId="0" applyFont="1" applyFill="1" applyBorder="1" applyAlignment="1" applyProtection="1">
      <alignment horizontal="left" indent="3"/>
      <protection/>
    </xf>
    <xf numFmtId="0" fontId="14" fillId="32" borderId="17" xfId="0" applyFont="1" applyFill="1" applyBorder="1" applyAlignment="1" applyProtection="1">
      <alignment horizontal="right"/>
      <protection/>
    </xf>
    <xf numFmtId="0" fontId="14" fillId="32" borderId="76" xfId="0" applyFont="1" applyFill="1" applyBorder="1" applyAlignment="1" applyProtection="1">
      <alignment horizontal="center"/>
      <protection/>
    </xf>
    <xf numFmtId="0" fontId="14" fillId="32" borderId="77" xfId="0" applyFont="1" applyFill="1" applyBorder="1" applyAlignment="1" applyProtection="1">
      <alignment horizontal="center"/>
      <protection/>
    </xf>
    <xf numFmtId="0" fontId="0" fillId="32" borderId="0" xfId="0" applyFont="1" applyFill="1" applyBorder="1" applyAlignment="1" applyProtection="1" quotePrefix="1">
      <alignment horizontal="center"/>
      <protection/>
    </xf>
    <xf numFmtId="0" fontId="0" fillId="35" borderId="23" xfId="0" applyFont="1" applyFill="1" applyBorder="1" applyAlignment="1" applyProtection="1">
      <alignment horizontal="right"/>
      <protection locked="0"/>
    </xf>
    <xf numFmtId="0" fontId="12" fillId="32" borderId="66" xfId="0" applyFont="1" applyFill="1" applyBorder="1" applyAlignment="1" applyProtection="1">
      <alignment/>
      <protection/>
    </xf>
    <xf numFmtId="0" fontId="16" fillId="32" borderId="23" xfId="0" applyFont="1" applyFill="1" applyBorder="1" applyAlignment="1" applyProtection="1">
      <alignment/>
      <protection/>
    </xf>
    <xf numFmtId="2" fontId="2" fillId="32" borderId="10" xfId="0" applyNumberFormat="1" applyFont="1" applyFill="1" applyBorder="1" applyAlignment="1" applyProtection="1">
      <alignment horizontal="center" vertical="center"/>
      <protection/>
    </xf>
    <xf numFmtId="3" fontId="2" fillId="32" borderId="22" xfId="0" applyNumberFormat="1" applyFont="1" applyFill="1" applyBorder="1" applyAlignment="1" applyProtection="1">
      <alignment/>
      <protection/>
    </xf>
    <xf numFmtId="2" fontId="1" fillId="32" borderId="59" xfId="0" applyNumberFormat="1" applyFont="1" applyFill="1" applyBorder="1" applyAlignment="1" applyProtection="1">
      <alignment horizontal="right" vertical="center"/>
      <protection/>
    </xf>
    <xf numFmtId="3" fontId="1" fillId="32" borderId="60" xfId="0" applyNumberFormat="1" applyFont="1" applyFill="1" applyBorder="1" applyAlignment="1" applyProtection="1">
      <alignment horizontal="right" vertical="center"/>
      <protection/>
    </xf>
    <xf numFmtId="2" fontId="1" fillId="32" borderId="0" xfId="0" applyNumberFormat="1" applyFont="1" applyFill="1" applyBorder="1" applyAlignment="1" applyProtection="1">
      <alignment horizontal="right" vertical="center"/>
      <protection/>
    </xf>
    <xf numFmtId="3" fontId="1" fillId="32" borderId="20" xfId="0" applyNumberFormat="1" applyFont="1" applyFill="1" applyBorder="1" applyAlignment="1" applyProtection="1">
      <alignment horizontal="right" vertical="center"/>
      <protection/>
    </xf>
    <xf numFmtId="2" fontId="1" fillId="32" borderId="23" xfId="0" applyNumberFormat="1" applyFont="1" applyFill="1" applyBorder="1" applyAlignment="1" applyProtection="1">
      <alignment horizontal="right" vertical="center"/>
      <protection/>
    </xf>
    <xf numFmtId="3" fontId="1" fillId="32" borderId="24" xfId="0" applyNumberFormat="1" applyFont="1" applyFill="1" applyBorder="1" applyAlignment="1" applyProtection="1">
      <alignment horizontal="right" vertical="center"/>
      <protection/>
    </xf>
    <xf numFmtId="0" fontId="2" fillId="0" borderId="0" xfId="0" applyFont="1" applyFill="1" applyBorder="1" applyAlignment="1" applyProtection="1">
      <alignment horizontal="left" vertical="top" wrapText="1"/>
      <protection/>
    </xf>
    <xf numFmtId="3" fontId="5" fillId="34" borderId="28" xfId="0" applyNumberFormat="1" applyFont="1" applyFill="1" applyBorder="1" applyAlignment="1" quotePrefix="1">
      <alignment horizontal="left" vertical="center"/>
    </xf>
    <xf numFmtId="175" fontId="0" fillId="0" borderId="0" xfId="42" applyNumberFormat="1" applyFont="1" applyBorder="1" applyAlignment="1" applyProtection="1">
      <alignment horizontal="center" vertical="center"/>
      <protection locked="0"/>
    </xf>
    <xf numFmtId="4" fontId="2" fillId="0" borderId="0" xfId="0" applyNumberFormat="1" applyFont="1" applyBorder="1" applyAlignment="1" applyProtection="1">
      <alignment horizontal="center" vertical="center"/>
      <protection locked="0"/>
    </xf>
    <xf numFmtId="0" fontId="0" fillId="0" borderId="0" xfId="0" applyFont="1" applyFill="1" applyBorder="1" applyAlignment="1" applyProtection="1" quotePrefix="1">
      <alignment horizontal="center" vertical="center"/>
      <protection locked="0"/>
    </xf>
    <xf numFmtId="3" fontId="0" fillId="0" borderId="0" xfId="0" applyNumberFormat="1" applyFont="1" applyFill="1" applyBorder="1" applyAlignment="1" applyProtection="1" quotePrefix="1">
      <alignment horizontal="center" vertical="center"/>
      <protection locked="0"/>
    </xf>
    <xf numFmtId="0" fontId="0" fillId="0" borderId="78" xfId="0" applyFont="1" applyFill="1" applyBorder="1" applyAlignment="1" applyProtection="1">
      <alignment horizontal="center" vertical="center"/>
      <protection locked="0"/>
    </xf>
    <xf numFmtId="0" fontId="28" fillId="32" borderId="19" xfId="0" applyFont="1" applyFill="1" applyBorder="1" applyAlignment="1" applyProtection="1">
      <alignment horizontal="left" vertical="top" wrapText="1" indent="1"/>
      <protection/>
    </xf>
    <xf numFmtId="0" fontId="28" fillId="32" borderId="0" xfId="0" applyFont="1" applyFill="1" applyBorder="1" applyAlignment="1" applyProtection="1">
      <alignment horizontal="left" vertical="top" wrapText="1" indent="1"/>
      <protection/>
    </xf>
    <xf numFmtId="0" fontId="0" fillId="0" borderId="35" xfId="0" applyFont="1" applyFill="1" applyBorder="1" applyAlignment="1" applyProtection="1">
      <alignment horizontal="center" vertical="center"/>
      <protection locked="0"/>
    </xf>
    <xf numFmtId="0" fontId="0" fillId="32" borderId="76" xfId="0" applyFont="1" applyFill="1" applyBorder="1" applyAlignment="1" applyProtection="1">
      <alignment/>
      <protection/>
    </xf>
    <xf numFmtId="0" fontId="4" fillId="32" borderId="79" xfId="0" applyFont="1" applyFill="1" applyBorder="1" applyAlignment="1" applyProtection="1">
      <alignment horizontal="left" vertical="top" wrapText="1"/>
      <protection/>
    </xf>
    <xf numFmtId="9" fontId="0" fillId="35" borderId="23" xfId="59" applyFont="1" applyFill="1" applyBorder="1" applyAlignment="1" applyProtection="1">
      <alignment horizontal="center" vertical="top" wrapText="1"/>
      <protection locked="0"/>
    </xf>
    <xf numFmtId="0" fontId="2" fillId="0" borderId="0"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32" borderId="60" xfId="0" applyFont="1" applyFill="1" applyBorder="1" applyAlignment="1" applyProtection="1">
      <alignment/>
      <protection/>
    </xf>
    <xf numFmtId="2" fontId="0" fillId="0" borderId="27" xfId="0" applyNumberFormat="1" applyFont="1" applyFill="1" applyBorder="1" applyAlignment="1" applyProtection="1">
      <alignment horizontal="right" vertical="center"/>
      <protection/>
    </xf>
    <xf numFmtId="0" fontId="0" fillId="32" borderId="12" xfId="0" applyFont="1" applyFill="1" applyBorder="1" applyAlignment="1" applyProtection="1">
      <alignment/>
      <protection/>
    </xf>
    <xf numFmtId="0" fontId="0" fillId="32" borderId="22" xfId="0" applyFont="1" applyFill="1" applyBorder="1" applyAlignment="1" applyProtection="1">
      <alignment/>
      <protection/>
    </xf>
    <xf numFmtId="0" fontId="0" fillId="0" borderId="80" xfId="0" applyFont="1" applyFill="1" applyBorder="1" applyAlignment="1" applyProtection="1">
      <alignment vertical="center"/>
      <protection locked="0"/>
    </xf>
    <xf numFmtId="0" fontId="0" fillId="0" borderId="81" xfId="0"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38" xfId="0" applyFont="1" applyFill="1" applyBorder="1" applyAlignment="1" applyProtection="1">
      <alignment vertical="center"/>
      <protection locked="0"/>
    </xf>
    <xf numFmtId="0" fontId="5" fillId="32" borderId="51" xfId="0" applyFont="1" applyFill="1" applyBorder="1" applyAlignment="1">
      <alignment vertical="center"/>
    </xf>
    <xf numFmtId="0" fontId="14" fillId="32" borderId="19" xfId="0" applyFont="1" applyFill="1" applyBorder="1" applyAlignment="1" applyProtection="1">
      <alignment horizontal="left"/>
      <protection/>
    </xf>
    <xf numFmtId="0" fontId="5" fillId="32" borderId="14" xfId="0" applyFont="1" applyFill="1" applyBorder="1" applyAlignment="1">
      <alignment horizontal="left" vertical="center" indent="1"/>
    </xf>
    <xf numFmtId="0" fontId="5" fillId="32" borderId="31" xfId="0" applyFont="1" applyFill="1" applyBorder="1" applyAlignment="1">
      <alignment vertical="center" wrapText="1"/>
    </xf>
    <xf numFmtId="0" fontId="5" fillId="32" borderId="0" xfId="0" applyFont="1" applyFill="1" applyBorder="1" applyAlignment="1">
      <alignment/>
    </xf>
    <xf numFmtId="2" fontId="5" fillId="34" borderId="11" xfId="0" applyNumberFormat="1" applyFont="1" applyFill="1" applyBorder="1" applyAlignment="1">
      <alignment horizontal="center" vertical="center"/>
    </xf>
    <xf numFmtId="0" fontId="5" fillId="34" borderId="11" xfId="0" applyFont="1" applyFill="1" applyBorder="1" applyAlignment="1">
      <alignment vertical="center"/>
    </xf>
    <xf numFmtId="3" fontId="5" fillId="34" borderId="55" xfId="0" applyNumberFormat="1" applyFont="1" applyFill="1" applyBorder="1" applyAlignment="1" applyProtection="1">
      <alignment horizontal="right" vertical="center"/>
      <protection locked="0"/>
    </xf>
    <xf numFmtId="0" fontId="5" fillId="34" borderId="31" xfId="0" applyFont="1" applyFill="1" applyBorder="1" applyAlignment="1">
      <alignment vertical="center" wrapText="1"/>
    </xf>
    <xf numFmtId="0" fontId="5" fillId="34" borderId="0" xfId="0" applyFont="1" applyFill="1" applyBorder="1" applyAlignment="1">
      <alignment/>
    </xf>
    <xf numFmtId="0" fontId="21" fillId="0" borderId="0" xfId="0" applyFont="1" applyFill="1" applyBorder="1" applyAlignment="1" applyProtection="1">
      <alignment horizontal="right"/>
      <protection/>
    </xf>
    <xf numFmtId="0" fontId="14" fillId="32" borderId="47" xfId="0" applyFont="1" applyFill="1" applyBorder="1" applyAlignment="1" applyProtection="1">
      <alignment horizontal="center"/>
      <protection/>
    </xf>
    <xf numFmtId="0" fontId="14" fillId="32" borderId="69" xfId="0" applyFont="1" applyFill="1" applyBorder="1" applyAlignment="1" applyProtection="1">
      <alignment horizontal="center"/>
      <protection/>
    </xf>
    <xf numFmtId="0" fontId="16" fillId="34" borderId="0" xfId="0" applyFont="1" applyFill="1" applyBorder="1" applyAlignment="1" applyProtection="1">
      <alignment horizontal="left" indent="1"/>
      <protection/>
    </xf>
    <xf numFmtId="0" fontId="2" fillId="34" borderId="0" xfId="0" applyFont="1" applyFill="1" applyBorder="1" applyAlignment="1" applyProtection="1">
      <alignment/>
      <protection/>
    </xf>
    <xf numFmtId="0" fontId="0" fillId="34" borderId="0" xfId="0" applyFont="1" applyFill="1" applyBorder="1" applyAlignment="1" applyProtection="1">
      <alignment horizontal="center"/>
      <protection/>
    </xf>
    <xf numFmtId="0" fontId="21" fillId="34" borderId="0" xfId="0" applyFont="1" applyFill="1" applyBorder="1" applyAlignment="1" applyProtection="1">
      <alignment horizontal="right"/>
      <protection/>
    </xf>
    <xf numFmtId="0" fontId="0" fillId="34" borderId="0" xfId="0" applyFont="1" applyFill="1" applyBorder="1" applyAlignment="1" applyProtection="1">
      <alignment horizontal="right"/>
      <protection/>
    </xf>
    <xf numFmtId="2" fontId="0" fillId="34" borderId="27" xfId="0" applyNumberFormat="1" applyFont="1" applyFill="1" applyBorder="1" applyAlignment="1" applyProtection="1">
      <alignment horizontal="right" vertical="center"/>
      <protection/>
    </xf>
    <xf numFmtId="3" fontId="0" fillId="34" borderId="21" xfId="0" applyNumberFormat="1" applyFont="1" applyFill="1" applyBorder="1" applyAlignment="1" applyProtection="1">
      <alignment horizontal="right" vertical="center"/>
      <protection/>
    </xf>
    <xf numFmtId="0" fontId="0" fillId="34" borderId="0" xfId="0" applyFont="1" applyFill="1" applyBorder="1" applyAlignment="1" applyProtection="1">
      <alignment horizontal="left" indent="1"/>
      <protection/>
    </xf>
    <xf numFmtId="0" fontId="0" fillId="34" borderId="0" xfId="0" applyFont="1" applyFill="1" applyBorder="1" applyAlignment="1" applyProtection="1">
      <alignment/>
      <protection/>
    </xf>
    <xf numFmtId="0" fontId="14" fillId="34" borderId="0" xfId="0" applyFont="1" applyFill="1" applyBorder="1" applyAlignment="1" applyProtection="1">
      <alignment/>
      <protection/>
    </xf>
    <xf numFmtId="0" fontId="0" fillId="0" borderId="0" xfId="0" applyFont="1" applyAlignment="1" applyProtection="1">
      <alignment/>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protection locked="0"/>
    </xf>
    <xf numFmtId="0" fontId="0" fillId="0" borderId="46" xfId="0" applyFont="1" applyBorder="1" applyAlignment="1" applyProtection="1">
      <alignment/>
      <protection locked="0"/>
    </xf>
    <xf numFmtId="0" fontId="0" fillId="0" borderId="0" xfId="0" applyFont="1" applyBorder="1" applyAlignment="1" applyProtection="1">
      <alignment horizontal="center"/>
      <protection locked="0"/>
    </xf>
    <xf numFmtId="3" fontId="0" fillId="34" borderId="82" xfId="0" applyNumberFormat="1" applyFont="1" applyFill="1" applyBorder="1" applyAlignment="1" applyProtection="1">
      <alignment horizontal="right" vertical="center"/>
      <protection locked="0"/>
    </xf>
    <xf numFmtId="0" fontId="0" fillId="34" borderId="27" xfId="0" applyFont="1" applyFill="1" applyBorder="1" applyAlignment="1" applyProtection="1">
      <alignment/>
      <protection locked="0"/>
    </xf>
    <xf numFmtId="3" fontId="0" fillId="36" borderId="83" xfId="0" applyNumberFormat="1" applyFont="1" applyFill="1" applyBorder="1" applyAlignment="1" applyProtection="1">
      <alignment horizontal="center" vertical="center"/>
      <protection locked="0"/>
    </xf>
    <xf numFmtId="3" fontId="0" fillId="36" borderId="84" xfId="0" applyNumberFormat="1" applyFont="1" applyFill="1" applyBorder="1" applyAlignment="1" applyProtection="1">
      <alignment horizontal="center" vertical="center"/>
      <protection locked="0"/>
    </xf>
    <xf numFmtId="3" fontId="0" fillId="34" borderId="85" xfId="0" applyNumberFormat="1" applyFont="1" applyFill="1" applyBorder="1" applyAlignment="1" applyProtection="1">
      <alignment horizontal="right" vertical="center"/>
      <protection locked="0"/>
    </xf>
    <xf numFmtId="0" fontId="0" fillId="34" borderId="64" xfId="0" applyFont="1" applyFill="1" applyBorder="1" applyAlignment="1" applyProtection="1">
      <alignment/>
      <protection locked="0"/>
    </xf>
    <xf numFmtId="3" fontId="0" fillId="0" borderId="45" xfId="0" applyNumberFormat="1" applyFont="1" applyFill="1" applyBorder="1" applyAlignment="1" applyProtection="1">
      <alignment horizontal="right" vertical="center"/>
      <protection locked="0"/>
    </xf>
    <xf numFmtId="0" fontId="27" fillId="0" borderId="45" xfId="0" applyFont="1" applyFill="1" applyBorder="1" applyAlignment="1" applyProtection="1">
      <alignment horizontal="center" vertical="center"/>
      <protection locked="0"/>
    </xf>
    <xf numFmtId="0" fontId="27" fillId="0" borderId="45" xfId="0" applyFont="1" applyFill="1" applyBorder="1" applyAlignment="1" applyProtection="1">
      <alignment horizontal="center"/>
      <protection locked="0"/>
    </xf>
    <xf numFmtId="0" fontId="27" fillId="0" borderId="0" xfId="0" applyFont="1" applyFill="1" applyBorder="1" applyAlignment="1" applyProtection="1">
      <alignment horizontal="center"/>
      <protection locked="0"/>
    </xf>
    <xf numFmtId="0" fontId="0" fillId="0" borderId="45" xfId="0" applyFont="1" applyBorder="1" applyAlignment="1" applyProtection="1">
      <alignment/>
      <protection locked="0"/>
    </xf>
    <xf numFmtId="0" fontId="0" fillId="0" borderId="59" xfId="0" applyFont="1" applyBorder="1" applyAlignment="1" applyProtection="1">
      <alignment/>
      <protection locked="0"/>
    </xf>
    <xf numFmtId="0" fontId="0" fillId="0" borderId="0" xfId="0" applyFont="1" applyBorder="1" applyAlignment="1" applyProtection="1">
      <alignment/>
      <protection locked="0"/>
    </xf>
    <xf numFmtId="0" fontId="2" fillId="0" borderId="0" xfId="0" applyFont="1" applyFill="1" applyBorder="1" applyAlignment="1" applyProtection="1">
      <alignment horizontal="left"/>
      <protection/>
    </xf>
    <xf numFmtId="3" fontId="5" fillId="34" borderId="15" xfId="0" applyNumberFormat="1" applyFont="1" applyFill="1" applyBorder="1" applyAlignment="1">
      <alignment horizontal="center" vertical="center"/>
    </xf>
    <xf numFmtId="0" fontId="5" fillId="34" borderId="15" xfId="0" applyFont="1" applyFill="1" applyBorder="1" applyAlignment="1">
      <alignment vertical="center"/>
    </xf>
    <xf numFmtId="0" fontId="5" fillId="34" borderId="11" xfId="0" applyFont="1" applyFill="1" applyBorder="1" applyAlignment="1">
      <alignment horizontal="center" vertical="center"/>
    </xf>
    <xf numFmtId="0" fontId="5" fillId="34" borderId="11" xfId="0" applyFont="1" applyFill="1" applyBorder="1" applyAlignment="1">
      <alignment horizontal="left" vertical="center"/>
    </xf>
    <xf numFmtId="3" fontId="5" fillId="34" borderId="15" xfId="0" applyNumberFormat="1" applyFont="1" applyFill="1" applyBorder="1" applyAlignment="1">
      <alignment horizontal="left" vertical="center"/>
    </xf>
    <xf numFmtId="0" fontId="21" fillId="32" borderId="0" xfId="0" applyFont="1" applyFill="1" applyBorder="1" applyAlignment="1" applyProtection="1" quotePrefix="1">
      <alignment horizontal="left" indent="2"/>
      <protection/>
    </xf>
    <xf numFmtId="175" fontId="0" fillId="32" borderId="27" xfId="0" applyNumberFormat="1" applyFont="1" applyFill="1" applyBorder="1" applyAlignment="1" applyProtection="1">
      <alignment vertical="center"/>
      <protection locked="0"/>
    </xf>
    <xf numFmtId="0" fontId="0" fillId="0" borderId="47"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protection locked="0"/>
    </xf>
    <xf numFmtId="0" fontId="0" fillId="5" borderId="0" xfId="0" applyFont="1" applyFill="1" applyBorder="1" applyAlignment="1" applyProtection="1">
      <alignment/>
      <protection locked="0"/>
    </xf>
    <xf numFmtId="2" fontId="5" fillId="5" borderId="0" xfId="0" applyNumberFormat="1" applyFont="1" applyFill="1" applyBorder="1" applyAlignment="1" applyProtection="1">
      <alignment/>
      <protection locked="0"/>
    </xf>
    <xf numFmtId="3" fontId="5" fillId="5" borderId="0" xfId="0" applyNumberFormat="1" applyFont="1" applyFill="1" applyBorder="1" applyAlignment="1" applyProtection="1">
      <alignment/>
      <protection locked="0"/>
    </xf>
    <xf numFmtId="0" fontId="0" fillId="5" borderId="0" xfId="0" applyFont="1" applyFill="1" applyBorder="1" applyAlignment="1" applyProtection="1">
      <alignment horizontal="center"/>
      <protection locked="0"/>
    </xf>
    <xf numFmtId="0" fontId="0" fillId="4" borderId="46" xfId="0" applyFont="1" applyFill="1" applyBorder="1" applyAlignment="1" applyProtection="1">
      <alignment horizontal="center" vertical="center"/>
      <protection locked="0"/>
    </xf>
    <xf numFmtId="0" fontId="0" fillId="4" borderId="38" xfId="0" applyFont="1" applyFill="1" applyBorder="1" applyAlignment="1" applyProtection="1">
      <alignment horizontal="center" vertical="center"/>
      <protection locked="0"/>
    </xf>
    <xf numFmtId="0" fontId="0" fillId="4" borderId="27" xfId="0" applyFont="1" applyFill="1" applyBorder="1" applyAlignment="1" applyProtection="1">
      <alignment vertical="center"/>
      <protection locked="0"/>
    </xf>
    <xf numFmtId="0" fontId="0" fillId="34" borderId="43" xfId="0" applyFont="1" applyFill="1" applyBorder="1" applyAlignment="1" applyProtection="1">
      <alignment vertical="center"/>
      <protection locked="0"/>
    </xf>
    <xf numFmtId="0" fontId="0" fillId="0" borderId="27" xfId="0" applyFont="1" applyFill="1" applyBorder="1" applyAlignment="1" applyProtection="1">
      <alignment horizontal="center" vertical="center"/>
      <protection locked="0"/>
    </xf>
    <xf numFmtId="0" fontId="2" fillId="0" borderId="86" xfId="0" applyFont="1" applyFill="1" applyBorder="1" applyAlignment="1" applyProtection="1">
      <alignment horizontal="center" vertical="center"/>
      <protection locked="0"/>
    </xf>
    <xf numFmtId="0" fontId="11" fillId="0" borderId="43" xfId="0" applyFont="1" applyFill="1" applyBorder="1" applyAlignment="1" applyProtection="1">
      <alignment horizontal="center" vertical="center"/>
      <protection locked="0"/>
    </xf>
    <xf numFmtId="0" fontId="0" fillId="37" borderId="46" xfId="0" applyFont="1" applyFill="1" applyBorder="1" applyAlignment="1" applyProtection="1">
      <alignment horizontal="center" vertical="center"/>
      <protection locked="0"/>
    </xf>
    <xf numFmtId="0" fontId="0" fillId="37" borderId="38" xfId="0" applyFont="1" applyFill="1" applyBorder="1" applyAlignment="1" applyProtection="1">
      <alignment horizontal="center" vertical="center"/>
      <protection locked="0"/>
    </xf>
    <xf numFmtId="0" fontId="0" fillId="37" borderId="27" xfId="0" applyFont="1" applyFill="1" applyBorder="1" applyAlignment="1" applyProtection="1">
      <alignment vertical="center"/>
      <protection locked="0"/>
    </xf>
    <xf numFmtId="0" fontId="0" fillId="3" borderId="46" xfId="0" applyFont="1" applyFill="1" applyBorder="1" applyAlignment="1" applyProtection="1">
      <alignment horizontal="center" vertical="center"/>
      <protection locked="0"/>
    </xf>
    <xf numFmtId="0" fontId="0" fillId="3" borderId="38" xfId="0" applyFont="1" applyFill="1" applyBorder="1" applyAlignment="1" applyProtection="1">
      <alignment horizontal="center" vertical="center"/>
      <protection locked="0"/>
    </xf>
    <xf numFmtId="0" fontId="0" fillId="3" borderId="27" xfId="0" applyFont="1" applyFill="1" applyBorder="1" applyAlignment="1" applyProtection="1">
      <alignment vertical="center"/>
      <protection locked="0"/>
    </xf>
    <xf numFmtId="0" fontId="0" fillId="3" borderId="43" xfId="0" applyFont="1" applyFill="1" applyBorder="1" applyAlignment="1" applyProtection="1">
      <alignment vertical="center"/>
      <protection locked="0"/>
    </xf>
    <xf numFmtId="0" fontId="0" fillId="37" borderId="46" xfId="0" applyFont="1" applyFill="1" applyBorder="1" applyAlignment="1" applyProtection="1">
      <alignment vertical="center"/>
      <protection locked="0"/>
    </xf>
    <xf numFmtId="0" fontId="0" fillId="34" borderId="27" xfId="0" applyFont="1" applyFill="1" applyBorder="1" applyAlignment="1" applyProtection="1">
      <alignment horizontal="center" vertical="center"/>
      <protection locked="0"/>
    </xf>
    <xf numFmtId="0" fontId="5" fillId="36" borderId="87" xfId="0" applyFont="1" applyFill="1" applyBorder="1" applyAlignment="1" applyProtection="1">
      <alignment horizontal="center" vertical="center"/>
      <protection locked="0"/>
    </xf>
    <xf numFmtId="0" fontId="5" fillId="34" borderId="87" xfId="0" applyFont="1" applyFill="1" applyBorder="1" applyAlignment="1" applyProtection="1">
      <alignment horizontal="center" vertical="center"/>
      <protection locked="0"/>
    </xf>
    <xf numFmtId="0" fontId="5" fillId="34" borderId="87" xfId="0" applyFont="1" applyFill="1" applyBorder="1" applyAlignment="1" applyProtection="1" quotePrefix="1">
      <alignment horizontal="center" vertical="center"/>
      <protection locked="0"/>
    </xf>
    <xf numFmtId="3" fontId="2" fillId="0" borderId="26" xfId="0" applyNumberFormat="1" applyFont="1" applyFill="1" applyBorder="1" applyAlignment="1" applyProtection="1">
      <alignment horizontal="center" vertical="center" wrapText="1"/>
      <protection locked="0"/>
    </xf>
    <xf numFmtId="3" fontId="5" fillId="36" borderId="11" xfId="0" applyNumberFormat="1" applyFont="1" applyFill="1" applyBorder="1" applyAlignment="1" applyProtection="1">
      <alignment horizontal="right" vertical="center"/>
      <protection locked="0"/>
    </xf>
    <xf numFmtId="3" fontId="5" fillId="34" borderId="11" xfId="0" applyNumberFormat="1" applyFont="1" applyFill="1" applyBorder="1" applyAlignment="1" applyProtection="1">
      <alignment horizontal="right" vertical="center"/>
      <protection locked="0"/>
    </xf>
    <xf numFmtId="3" fontId="5" fillId="34" borderId="13" xfId="0" applyNumberFormat="1" applyFont="1" applyFill="1" applyBorder="1" applyAlignment="1" applyProtection="1">
      <alignment horizontal="right" vertical="center"/>
      <protection locked="0"/>
    </xf>
    <xf numFmtId="3" fontId="5" fillId="0" borderId="11" xfId="0" applyNumberFormat="1" applyFont="1" applyFill="1" applyBorder="1" applyAlignment="1" applyProtection="1">
      <alignment horizontal="right" vertical="center"/>
      <protection locked="0"/>
    </xf>
    <xf numFmtId="3" fontId="5" fillId="0" borderId="13" xfId="0" applyNumberFormat="1" applyFont="1" applyFill="1" applyBorder="1" applyAlignment="1" applyProtection="1">
      <alignment horizontal="right" vertical="center"/>
      <protection locked="0"/>
    </xf>
    <xf numFmtId="3" fontId="5" fillId="0" borderId="28" xfId="0" applyNumberFormat="1" applyFont="1" applyFill="1" applyBorder="1" applyAlignment="1" applyProtection="1">
      <alignment horizontal="right" vertical="center"/>
      <protection locked="0"/>
    </xf>
    <xf numFmtId="3" fontId="4" fillId="0" borderId="88" xfId="0" applyNumberFormat="1" applyFont="1" applyFill="1" applyBorder="1" applyAlignment="1" applyProtection="1">
      <alignment horizontal="right"/>
      <protection locked="0"/>
    </xf>
    <xf numFmtId="3" fontId="4" fillId="0" borderId="36" xfId="0" applyNumberFormat="1" applyFont="1" applyFill="1" applyBorder="1" applyAlignment="1" applyProtection="1">
      <alignment horizontal="right"/>
      <protection locked="0"/>
    </xf>
    <xf numFmtId="0" fontId="5" fillId="0" borderId="36" xfId="0" applyFont="1" applyFill="1" applyBorder="1" applyAlignment="1" applyProtection="1">
      <alignment/>
      <protection locked="0"/>
    </xf>
    <xf numFmtId="0" fontId="0" fillId="0" borderId="36" xfId="0" applyFont="1" applyFill="1" applyBorder="1" applyAlignment="1" applyProtection="1">
      <alignment/>
      <protection locked="0"/>
    </xf>
    <xf numFmtId="3" fontId="5" fillId="0" borderId="36" xfId="0" applyNumberFormat="1" applyFont="1" applyFill="1" applyBorder="1" applyAlignment="1" applyProtection="1">
      <alignment/>
      <protection locked="0"/>
    </xf>
    <xf numFmtId="0" fontId="4" fillId="33" borderId="89" xfId="0" applyFont="1" applyFill="1" applyBorder="1" applyAlignment="1" applyProtection="1">
      <alignment horizontal="left" vertical="center"/>
      <protection locked="0"/>
    </xf>
    <xf numFmtId="0" fontId="5" fillId="0" borderId="90" xfId="0" applyFont="1" applyFill="1" applyBorder="1" applyAlignment="1" applyProtection="1">
      <alignment horizontal="center" vertical="center"/>
      <protection locked="0"/>
    </xf>
    <xf numFmtId="0" fontId="5" fillId="0" borderId="87" xfId="0" applyFont="1" applyFill="1" applyBorder="1" applyAlignment="1" applyProtection="1">
      <alignment horizontal="center" vertical="center"/>
      <protection locked="0"/>
    </xf>
    <xf numFmtId="0" fontId="5" fillId="0" borderId="91" xfId="0" applyFont="1" applyFill="1" applyBorder="1" applyAlignment="1" applyProtection="1">
      <alignment horizontal="center" vertical="center"/>
      <protection locked="0"/>
    </xf>
    <xf numFmtId="0" fontId="5" fillId="0" borderId="92" xfId="0" applyFont="1" applyFill="1" applyBorder="1" applyAlignment="1" applyProtection="1">
      <alignment horizontal="center" vertical="center"/>
      <protection locked="0"/>
    </xf>
    <xf numFmtId="49" fontId="5" fillId="34" borderId="87" xfId="0" applyNumberFormat="1" applyFont="1" applyFill="1" applyBorder="1" applyAlignment="1" applyProtection="1">
      <alignment horizontal="left" vertical="center"/>
      <protection locked="0"/>
    </xf>
    <xf numFmtId="0" fontId="5" fillId="34" borderId="92" xfId="0" applyFont="1" applyFill="1" applyBorder="1" applyAlignment="1" applyProtection="1">
      <alignment horizontal="center" vertical="center"/>
      <protection locked="0"/>
    </xf>
    <xf numFmtId="0" fontId="2" fillId="0" borderId="93" xfId="0" applyFont="1" applyFill="1" applyBorder="1" applyAlignment="1" applyProtection="1">
      <alignment horizontal="center" vertical="center"/>
      <protection locked="0"/>
    </xf>
    <xf numFmtId="3" fontId="5" fillId="33" borderId="53" xfId="0" applyNumberFormat="1" applyFont="1" applyFill="1" applyBorder="1" applyAlignment="1" applyProtection="1">
      <alignment horizontal="right" vertical="center"/>
      <protection locked="0"/>
    </xf>
    <xf numFmtId="49" fontId="5" fillId="0" borderId="87" xfId="0" applyNumberFormat="1" applyFont="1" applyFill="1" applyBorder="1" applyAlignment="1" applyProtection="1">
      <alignment horizontal="left" vertical="center"/>
      <protection locked="0"/>
    </xf>
    <xf numFmtId="0" fontId="4" fillId="33" borderId="90" xfId="0" applyFont="1" applyFill="1" applyBorder="1" applyAlignment="1" applyProtection="1">
      <alignment horizontal="left" vertical="center"/>
      <protection locked="0"/>
    </xf>
    <xf numFmtId="0" fontId="4" fillId="33" borderId="94" xfId="0" applyFont="1" applyFill="1" applyBorder="1" applyAlignment="1" applyProtection="1">
      <alignment horizontal="left" vertical="center"/>
      <protection locked="0"/>
    </xf>
    <xf numFmtId="3" fontId="5" fillId="33" borderId="94" xfId="0" applyNumberFormat="1" applyFont="1" applyFill="1" applyBorder="1" applyAlignment="1" applyProtection="1">
      <alignment horizontal="right" vertical="center"/>
      <protection locked="0"/>
    </xf>
    <xf numFmtId="3" fontId="4" fillId="0" borderId="74" xfId="0" applyNumberFormat="1" applyFont="1" applyFill="1" applyBorder="1" applyAlignment="1" applyProtection="1">
      <alignment horizontal="right"/>
      <protection locked="0"/>
    </xf>
    <xf numFmtId="0" fontId="5" fillId="0" borderId="74" xfId="0" applyFont="1" applyFill="1" applyBorder="1" applyAlignment="1" applyProtection="1">
      <alignment horizontal="center"/>
      <protection locked="0"/>
    </xf>
    <xf numFmtId="0" fontId="0" fillId="32" borderId="0" xfId="0" applyFont="1" applyFill="1" applyBorder="1" applyAlignment="1" applyProtection="1">
      <alignment horizontal="center"/>
      <protection locked="0"/>
    </xf>
    <xf numFmtId="0" fontId="0" fillId="34" borderId="95" xfId="0" applyFont="1" applyFill="1" applyBorder="1" applyAlignment="1" applyProtection="1" quotePrefix="1">
      <alignment vertical="center"/>
      <protection locked="0"/>
    </xf>
    <xf numFmtId="0" fontId="5" fillId="36" borderId="90" xfId="0" applyFont="1" applyFill="1" applyBorder="1" applyAlignment="1" applyProtection="1">
      <alignment horizontal="center" vertical="center"/>
      <protection locked="0"/>
    </xf>
    <xf numFmtId="0" fontId="5" fillId="36" borderId="92"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top" wrapText="1"/>
      <protection/>
    </xf>
    <xf numFmtId="0" fontId="2" fillId="0" borderId="0" xfId="0" applyFont="1" applyFill="1" applyBorder="1" applyAlignment="1" applyProtection="1">
      <alignment horizontal="center"/>
      <protection locked="0"/>
    </xf>
    <xf numFmtId="0" fontId="0" fillId="34" borderId="46" xfId="0" applyFont="1" applyFill="1" applyBorder="1" applyAlignment="1" applyProtection="1">
      <alignment vertical="center"/>
      <protection locked="0"/>
    </xf>
    <xf numFmtId="0" fontId="0" fillId="34" borderId="44" xfId="0" applyFont="1" applyFill="1" applyBorder="1" applyAlignment="1" applyProtection="1">
      <alignment vertical="center"/>
      <protection locked="0"/>
    </xf>
    <xf numFmtId="0" fontId="0" fillId="0" borderId="45" xfId="0" applyFont="1" applyFill="1" applyBorder="1" applyAlignment="1" applyProtection="1">
      <alignment horizontal="center" vertical="center"/>
      <protection locked="0"/>
    </xf>
    <xf numFmtId="0" fontId="0" fillId="34" borderId="45" xfId="0" applyFont="1" applyFill="1" applyBorder="1" applyAlignment="1" applyProtection="1">
      <alignment horizontal="center" vertical="center"/>
      <protection locked="0"/>
    </xf>
    <xf numFmtId="3" fontId="2" fillId="0" borderId="0" xfId="0" applyNumberFormat="1" applyFont="1" applyFill="1" applyBorder="1" applyAlignment="1" applyProtection="1">
      <alignment horizontal="right"/>
      <protection locked="0"/>
    </xf>
    <xf numFmtId="0" fontId="0" fillId="0" borderId="0" xfId="0" applyFont="1" applyBorder="1" applyAlignment="1" applyProtection="1">
      <alignment/>
      <protection locked="0"/>
    </xf>
    <xf numFmtId="0" fontId="2" fillId="34" borderId="0" xfId="0" applyFont="1" applyFill="1" applyBorder="1" applyAlignment="1" applyProtection="1">
      <alignment vertical="center"/>
      <protection locked="0"/>
    </xf>
    <xf numFmtId="0" fontId="0" fillId="34"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ont="1" applyAlignment="1" applyProtection="1">
      <alignment/>
      <protection locked="0"/>
    </xf>
    <xf numFmtId="0" fontId="5" fillId="35" borderId="23" xfId="0" applyFont="1" applyFill="1" applyBorder="1" applyAlignment="1" applyProtection="1">
      <alignment horizontal="center"/>
      <protection locked="0"/>
    </xf>
    <xf numFmtId="3" fontId="5" fillId="34" borderId="13" xfId="0" applyNumberFormat="1" applyFont="1" applyFill="1" applyBorder="1" applyAlignment="1" applyProtection="1">
      <alignment vertical="center"/>
      <protection locked="0"/>
    </xf>
    <xf numFmtId="0" fontId="0" fillId="34" borderId="0" xfId="0" applyFont="1" applyFill="1" applyBorder="1" applyAlignment="1" applyProtection="1">
      <alignment vertical="center"/>
      <protection locked="0"/>
    </xf>
    <xf numFmtId="0" fontId="0" fillId="34" borderId="63" xfId="0" applyFont="1" applyFill="1" applyBorder="1" applyAlignment="1" applyProtection="1" quotePrefix="1">
      <alignment vertical="center"/>
      <protection locked="0"/>
    </xf>
    <xf numFmtId="0" fontId="21" fillId="0" borderId="27" xfId="0" applyFont="1" applyFill="1" applyBorder="1" applyAlignment="1" applyProtection="1">
      <alignment horizontal="center" vertical="center" wrapText="1"/>
      <protection locked="0"/>
    </xf>
    <xf numFmtId="0" fontId="0" fillId="36" borderId="0" xfId="0" applyFont="1" applyFill="1" applyAlignment="1" applyProtection="1">
      <alignment/>
      <protection locked="0"/>
    </xf>
    <xf numFmtId="0" fontId="0" fillId="36" borderId="0" xfId="0" applyFont="1" applyFill="1" applyAlignment="1" applyProtection="1">
      <alignment vertical="center"/>
      <protection locked="0"/>
    </xf>
    <xf numFmtId="0" fontId="0" fillId="36" borderId="0" xfId="0" applyFont="1" applyFill="1" applyAlignment="1" applyProtection="1">
      <alignment horizontal="center" vertical="center"/>
      <protection locked="0"/>
    </xf>
    <xf numFmtId="3" fontId="1" fillId="32" borderId="0" xfId="0" applyNumberFormat="1" applyFont="1" applyFill="1" applyBorder="1" applyAlignment="1" applyProtection="1">
      <alignment horizontal="center" vertical="center"/>
      <protection locked="0"/>
    </xf>
    <xf numFmtId="3" fontId="2" fillId="0" borderId="0" xfId="0" applyNumberFormat="1" applyFont="1" applyFill="1" applyBorder="1" applyAlignment="1" applyProtection="1" quotePrefix="1">
      <alignment horizontal="left"/>
      <protection locked="0"/>
    </xf>
    <xf numFmtId="0" fontId="11" fillId="0" borderId="0" xfId="0" applyFont="1" applyFill="1" applyBorder="1" applyAlignment="1" applyProtection="1">
      <alignment/>
      <protection/>
    </xf>
    <xf numFmtId="0" fontId="0" fillId="0" borderId="0" xfId="0" applyFont="1" applyBorder="1" applyAlignment="1" applyProtection="1">
      <alignment horizontal="left" vertical="top"/>
      <protection/>
    </xf>
    <xf numFmtId="0" fontId="22" fillId="0" borderId="0" xfId="0" applyFont="1" applyFill="1" applyBorder="1" applyAlignment="1" applyProtection="1">
      <alignment horizontal="left" vertical="top" wrapText="1"/>
      <protection/>
    </xf>
    <xf numFmtId="0" fontId="2" fillId="0" borderId="0" xfId="0" applyFont="1" applyFill="1" applyBorder="1" applyAlignment="1" applyProtection="1">
      <alignment vertical="center"/>
      <protection locked="0"/>
    </xf>
    <xf numFmtId="0" fontId="0" fillId="35" borderId="47" xfId="0" applyFont="1" applyFill="1" applyBorder="1" applyAlignment="1" applyProtection="1">
      <alignment horizontal="center"/>
      <protection locked="0"/>
    </xf>
    <xf numFmtId="0" fontId="0" fillId="0" borderId="45" xfId="0" applyBorder="1" applyAlignment="1" applyProtection="1">
      <alignment horizontal="center" vertical="center"/>
      <protection locked="0"/>
    </xf>
    <xf numFmtId="0" fontId="2" fillId="0" borderId="0" xfId="0" applyFont="1" applyFill="1" applyBorder="1" applyAlignment="1" applyProtection="1">
      <alignment vertical="center"/>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0" fillId="0" borderId="0" xfId="0" applyFont="1" applyFill="1" applyBorder="1" applyAlignment="1" applyProtection="1">
      <alignment horizontal="left" vertical="top"/>
      <protection/>
    </xf>
    <xf numFmtId="0" fontId="0" fillId="0" borderId="0" xfId="0" applyFont="1" applyBorder="1" applyAlignment="1" applyProtection="1">
      <alignment horizontal="center" vertical="center"/>
      <protection locked="0"/>
    </xf>
    <xf numFmtId="0" fontId="5" fillId="0" borderId="39" xfId="0" applyFont="1" applyFill="1" applyBorder="1" applyAlignment="1">
      <alignment horizontal="left" vertical="center" wrapText="1"/>
    </xf>
    <xf numFmtId="1" fontId="0" fillId="0" borderId="45" xfId="0" applyNumberFormat="1" applyFont="1" applyBorder="1" applyAlignment="1" applyProtection="1">
      <alignment horizontal="center" vertical="center"/>
      <protection locked="0"/>
    </xf>
    <xf numFmtId="0" fontId="0" fillId="35" borderId="0" xfId="0" applyFont="1" applyFill="1" applyBorder="1" applyAlignment="1" applyProtection="1">
      <alignment horizontal="left" vertical="top" wrapText="1"/>
      <protection locked="0"/>
    </xf>
    <xf numFmtId="0" fontId="0" fillId="0" borderId="36" xfId="0" applyFont="1" applyBorder="1" applyAlignment="1" applyProtection="1">
      <alignment vertical="center"/>
      <protection locked="0"/>
    </xf>
    <xf numFmtId="0" fontId="0" fillId="0" borderId="0" xfId="0" applyFont="1" applyAlignment="1">
      <alignment/>
    </xf>
    <xf numFmtId="0" fontId="67" fillId="32" borderId="0" xfId="0" applyFont="1" applyFill="1" applyBorder="1" applyAlignment="1" applyProtection="1">
      <alignment horizontal="left"/>
      <protection/>
    </xf>
    <xf numFmtId="0" fontId="0" fillId="32" borderId="0" xfId="0" applyFont="1" applyFill="1" applyBorder="1" applyAlignment="1" applyProtection="1">
      <alignment/>
      <protection/>
    </xf>
    <xf numFmtId="9" fontId="0" fillId="0" borderId="45" xfId="59" applyFont="1" applyFill="1" applyBorder="1" applyAlignment="1" applyProtection="1">
      <alignment horizontal="center"/>
      <protection locked="0"/>
    </xf>
    <xf numFmtId="0" fontId="2" fillId="32" borderId="0" xfId="0" applyFont="1" applyFill="1" applyBorder="1" applyAlignment="1" applyProtection="1">
      <alignment horizontal="right"/>
      <protection/>
    </xf>
    <xf numFmtId="0" fontId="21" fillId="32" borderId="0" xfId="0" applyFont="1" applyFill="1" applyBorder="1" applyAlignment="1" applyProtection="1">
      <alignment horizontal="left" vertical="center" indent="1"/>
      <protection/>
    </xf>
    <xf numFmtId="3" fontId="0" fillId="3" borderId="43" xfId="0" applyNumberFormat="1" applyFont="1" applyFill="1" applyBorder="1" applyAlignment="1" applyProtection="1">
      <alignment vertical="center"/>
      <protection locked="0"/>
    </xf>
    <xf numFmtId="0" fontId="29" fillId="32" borderId="0" xfId="0" applyFont="1" applyFill="1" applyBorder="1" applyAlignment="1" applyProtection="1">
      <alignment horizontal="left" vertical="center" wrapText="1" indent="1"/>
      <protection/>
    </xf>
    <xf numFmtId="0" fontId="0" fillId="0" borderId="0" xfId="0" applyFont="1" applyFill="1" applyBorder="1" applyAlignment="1" applyProtection="1">
      <alignment horizontal="left" vertical="top" wrapText="1"/>
      <protection locked="0"/>
    </xf>
    <xf numFmtId="0" fontId="30" fillId="32" borderId="19" xfId="0" applyFont="1" applyFill="1" applyBorder="1" applyAlignment="1" applyProtection="1">
      <alignment/>
      <protection/>
    </xf>
    <xf numFmtId="0" fontId="31" fillId="32" borderId="19" xfId="0" applyFont="1" applyFill="1" applyBorder="1" applyAlignment="1" applyProtection="1">
      <alignment/>
      <protection/>
    </xf>
    <xf numFmtId="0" fontId="2" fillId="0" borderId="0" xfId="0" applyFont="1" applyFill="1" applyBorder="1" applyAlignment="1" applyProtection="1">
      <alignment horizontal="left" vertical="top"/>
      <protection/>
    </xf>
    <xf numFmtId="0" fontId="2" fillId="0" borderId="80" xfId="0" applyFont="1" applyBorder="1" applyAlignment="1">
      <alignment horizontal="center"/>
    </xf>
    <xf numFmtId="0" fontId="2" fillId="0" borderId="59" xfId="0" applyFont="1" applyBorder="1" applyAlignment="1">
      <alignment horizontal="center"/>
    </xf>
    <xf numFmtId="0" fontId="2" fillId="0" borderId="81" xfId="0" applyFont="1" applyBorder="1" applyAlignment="1">
      <alignment horizontal="center"/>
    </xf>
    <xf numFmtId="0" fontId="5" fillId="0" borderId="34"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2" fillId="0" borderId="96" xfId="0" applyFont="1" applyFill="1" applyBorder="1" applyAlignment="1">
      <alignment horizontal="center" vertical="center" wrapText="1"/>
    </xf>
    <xf numFmtId="0" fontId="2" fillId="0" borderId="97" xfId="0" applyFont="1" applyFill="1" applyBorder="1" applyAlignment="1">
      <alignment horizontal="center" vertical="center" wrapText="1"/>
    </xf>
    <xf numFmtId="0" fontId="2" fillId="0" borderId="98" xfId="0" applyFont="1" applyFill="1" applyBorder="1" applyAlignment="1">
      <alignment horizontal="center"/>
    </xf>
    <xf numFmtId="0" fontId="2" fillId="0" borderId="76" xfId="0" applyFont="1" applyFill="1" applyBorder="1" applyAlignment="1">
      <alignment horizontal="center"/>
    </xf>
    <xf numFmtId="0" fontId="2" fillId="0" borderId="77" xfId="0" applyFont="1" applyFill="1" applyBorder="1" applyAlignment="1">
      <alignment horizontal="center"/>
    </xf>
    <xf numFmtId="0" fontId="4" fillId="33" borderId="40" xfId="0" applyFont="1" applyFill="1" applyBorder="1" applyAlignment="1">
      <alignment horizontal="left" vertical="center"/>
    </xf>
    <xf numFmtId="0" fontId="4" fillId="33" borderId="41" xfId="0" applyFont="1" applyFill="1" applyBorder="1" applyAlignment="1">
      <alignment horizontal="left" vertical="center"/>
    </xf>
    <xf numFmtId="0" fontId="4" fillId="33" borderId="53" xfId="0" applyFont="1" applyFill="1" applyBorder="1" applyAlignment="1">
      <alignment horizontal="left" vertical="center"/>
    </xf>
    <xf numFmtId="0" fontId="4" fillId="33" borderId="99" xfId="0" applyFont="1" applyFill="1" applyBorder="1" applyAlignment="1">
      <alignment horizontal="left" vertical="center"/>
    </xf>
    <xf numFmtId="0" fontId="4" fillId="33" borderId="89" xfId="0" applyFont="1" applyFill="1" applyBorder="1" applyAlignment="1">
      <alignment horizontal="left" vertical="center"/>
    </xf>
    <xf numFmtId="0" fontId="4" fillId="33" borderId="100" xfId="0" applyFont="1" applyFill="1" applyBorder="1" applyAlignment="1">
      <alignment horizontal="left" vertical="center"/>
    </xf>
    <xf numFmtId="0" fontId="5" fillId="0" borderId="101" xfId="0" applyFont="1" applyFill="1" applyBorder="1" applyAlignment="1">
      <alignment horizontal="left" vertical="center" wrapText="1"/>
    </xf>
    <xf numFmtId="0" fontId="2" fillId="0" borderId="86" xfId="0" applyFont="1" applyFill="1" applyBorder="1" applyAlignment="1" applyProtection="1">
      <alignment horizontal="center" wrapText="1"/>
      <protection locked="0"/>
    </xf>
    <xf numFmtId="0" fontId="2" fillId="0" borderId="102" xfId="0" applyFont="1" applyFill="1" applyBorder="1" applyAlignment="1" applyProtection="1">
      <alignment horizontal="center" wrapText="1"/>
      <protection locked="0"/>
    </xf>
    <xf numFmtId="0" fontId="2" fillId="0" borderId="86" xfId="0" applyFont="1" applyFill="1" applyBorder="1" applyAlignment="1" applyProtection="1">
      <alignment horizontal="center"/>
      <protection locked="0"/>
    </xf>
    <xf numFmtId="0" fontId="2" fillId="0" borderId="98" xfId="0" applyFont="1" applyFill="1" applyBorder="1" applyAlignment="1" applyProtection="1">
      <alignment horizontal="center"/>
      <protection locked="0"/>
    </xf>
    <xf numFmtId="0" fontId="2" fillId="0" borderId="76" xfId="0" applyFont="1" applyFill="1" applyBorder="1" applyAlignment="1" applyProtection="1">
      <alignment horizontal="center"/>
      <protection locked="0"/>
    </xf>
    <xf numFmtId="0" fontId="2" fillId="0" borderId="79" xfId="0" applyFont="1" applyFill="1" applyBorder="1" applyAlignment="1" applyProtection="1">
      <alignment horizontal="center"/>
      <protection locked="0"/>
    </xf>
    <xf numFmtId="0" fontId="2" fillId="0" borderId="79" xfId="0" applyFont="1" applyFill="1" applyBorder="1" applyAlignment="1">
      <alignment horizontal="center"/>
    </xf>
    <xf numFmtId="0" fontId="4" fillId="33" borderId="103" xfId="0" applyFont="1" applyFill="1" applyBorder="1" applyAlignment="1">
      <alignment horizontal="left" vertical="center"/>
    </xf>
    <xf numFmtId="0" fontId="4" fillId="33" borderId="49" xfId="0" applyFont="1" applyFill="1" applyBorder="1" applyAlignment="1">
      <alignment horizontal="left" vertical="center"/>
    </xf>
    <xf numFmtId="0" fontId="5" fillId="36" borderId="34" xfId="0" applyFont="1" applyFill="1" applyBorder="1" applyAlignment="1">
      <alignment horizontal="left" vertical="center" wrapText="1"/>
    </xf>
    <xf numFmtId="0" fontId="5" fillId="36" borderId="39" xfId="0" applyFont="1" applyFill="1" applyBorder="1" applyAlignment="1">
      <alignment horizontal="left" vertical="center" wrapText="1"/>
    </xf>
    <xf numFmtId="0" fontId="2" fillId="0" borderId="104" xfId="0" applyFont="1" applyFill="1" applyBorder="1" applyAlignment="1" applyProtection="1">
      <alignment horizontal="center"/>
      <protection locked="0"/>
    </xf>
    <xf numFmtId="0" fontId="2" fillId="0" borderId="17" xfId="0" applyFont="1" applyFill="1" applyBorder="1" applyAlignment="1" applyProtection="1">
      <alignment horizontal="center"/>
      <protection locked="0"/>
    </xf>
    <xf numFmtId="0" fontId="2" fillId="0" borderId="18" xfId="0" applyFont="1" applyFill="1" applyBorder="1" applyAlignment="1" applyProtection="1">
      <alignment horizontal="center"/>
      <protection locked="0"/>
    </xf>
    <xf numFmtId="0" fontId="0" fillId="35" borderId="0" xfId="0" applyFont="1" applyFill="1" applyBorder="1" applyAlignment="1" applyProtection="1">
      <alignment horizontal="left" vertical="top" wrapText="1"/>
      <protection locked="0"/>
    </xf>
    <xf numFmtId="0" fontId="0" fillId="35" borderId="0" xfId="0" applyFont="1" applyFill="1" applyBorder="1" applyAlignment="1" applyProtection="1">
      <alignment horizontal="left" vertical="top" wrapText="1"/>
      <protection locked="0"/>
    </xf>
    <xf numFmtId="0" fontId="0" fillId="35" borderId="23" xfId="0" applyFont="1" applyFill="1" applyBorder="1" applyAlignment="1" applyProtection="1">
      <alignment horizontal="left" vertical="top" wrapText="1"/>
      <protection locked="0"/>
    </xf>
    <xf numFmtId="0" fontId="11" fillId="0" borderId="44" xfId="0" applyFont="1" applyFill="1" applyBorder="1" applyAlignment="1" applyProtection="1">
      <alignment horizontal="center" vertical="center"/>
      <protection locked="0"/>
    </xf>
    <xf numFmtId="0" fontId="11" fillId="0" borderId="46"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5" fillId="3" borderId="80" xfId="0" applyFont="1" applyFill="1" applyBorder="1" applyAlignment="1" applyProtection="1">
      <alignment horizontal="center" vertical="center" wrapText="1"/>
      <protection locked="0"/>
    </xf>
    <xf numFmtId="0" fontId="5" fillId="3" borderId="81" xfId="0" applyFont="1" applyFill="1" applyBorder="1" applyAlignment="1" applyProtection="1">
      <alignment horizontal="center" vertical="center" wrapText="1"/>
      <protection locked="0"/>
    </xf>
    <xf numFmtId="0" fontId="5" fillId="3" borderId="35" xfId="0" applyFont="1" applyFill="1" applyBorder="1" applyAlignment="1" applyProtection="1">
      <alignment horizontal="center" vertical="center" wrapText="1"/>
      <protection locked="0"/>
    </xf>
    <xf numFmtId="0" fontId="5" fillId="3" borderId="36" xfId="0" applyFont="1" applyFill="1" applyBorder="1" applyAlignment="1" applyProtection="1">
      <alignment horizontal="center" vertical="center" wrapText="1"/>
      <protection locked="0"/>
    </xf>
    <xf numFmtId="0" fontId="5" fillId="3" borderId="37" xfId="0" applyFont="1" applyFill="1" applyBorder="1" applyAlignment="1" applyProtection="1">
      <alignment horizontal="center" vertical="center" wrapText="1"/>
      <protection locked="0"/>
    </xf>
    <xf numFmtId="0" fontId="5" fillId="3" borderId="38" xfId="0" applyFont="1" applyFill="1" applyBorder="1" applyAlignment="1" applyProtection="1">
      <alignment horizontal="center" vertical="center" wrapText="1"/>
      <protection locked="0"/>
    </xf>
    <xf numFmtId="0" fontId="0" fillId="33" borderId="43" xfId="0" applyFont="1" applyFill="1" applyBorder="1" applyAlignment="1" applyProtection="1">
      <alignment horizontal="center" vertical="center"/>
      <protection locked="0"/>
    </xf>
    <xf numFmtId="0" fontId="0" fillId="33" borderId="47" xfId="0" applyFont="1" applyFill="1" applyBorder="1" applyAlignment="1" applyProtection="1">
      <alignment horizontal="center" vertical="center"/>
      <protection locked="0"/>
    </xf>
    <xf numFmtId="0" fontId="0" fillId="33" borderId="58" xfId="0" applyFont="1" applyFill="1" applyBorder="1" applyAlignment="1" applyProtection="1">
      <alignment horizontal="center" vertical="center"/>
      <protection locked="0"/>
    </xf>
    <xf numFmtId="0" fontId="26" fillId="32" borderId="0" xfId="0" applyFont="1" applyFill="1" applyBorder="1" applyAlignment="1" applyProtection="1">
      <alignment horizontal="left" indent="1"/>
      <protection/>
    </xf>
    <xf numFmtId="0" fontId="26" fillId="32" borderId="20" xfId="0" applyFont="1" applyFill="1" applyBorder="1" applyAlignment="1" applyProtection="1">
      <alignment horizontal="left" indent="1"/>
      <protection/>
    </xf>
    <xf numFmtId="0" fontId="25" fillId="32" borderId="0" xfId="0" applyFont="1" applyFill="1" applyAlignment="1" applyProtection="1">
      <alignment horizontal="left" vertical="top" wrapText="1"/>
      <protection/>
    </xf>
    <xf numFmtId="0" fontId="11" fillId="4" borderId="45" xfId="0" applyFont="1" applyFill="1" applyBorder="1" applyAlignment="1" applyProtection="1">
      <alignment horizontal="center" vertical="center"/>
      <protection locked="0"/>
    </xf>
    <xf numFmtId="0" fontId="11" fillId="37" borderId="45" xfId="0" applyFont="1" applyFill="1" applyBorder="1" applyAlignment="1" applyProtection="1">
      <alignment horizontal="center" vertical="center"/>
      <protection locked="0"/>
    </xf>
    <xf numFmtId="0" fontId="11" fillId="0" borderId="45" xfId="0" applyFont="1" applyFill="1" applyBorder="1" applyAlignment="1" applyProtection="1">
      <alignment horizontal="center" vertical="center"/>
      <protection locked="0"/>
    </xf>
    <xf numFmtId="0" fontId="25" fillId="32" borderId="0" xfId="0" applyFont="1" applyFill="1" applyBorder="1" applyAlignment="1" applyProtection="1">
      <alignment horizontal="right" vertical="center" wrapText="1"/>
      <protection/>
    </xf>
    <xf numFmtId="0" fontId="27" fillId="36" borderId="43" xfId="0" applyFont="1" applyFill="1" applyBorder="1" applyAlignment="1" applyProtection="1">
      <alignment horizontal="center" vertical="center"/>
      <protection locked="0"/>
    </xf>
    <xf numFmtId="0" fontId="27" fillId="36" borderId="47" xfId="0" applyFont="1" applyFill="1" applyBorder="1" applyAlignment="1" applyProtection="1">
      <alignment horizontal="center" vertical="center"/>
      <protection locked="0"/>
    </xf>
    <xf numFmtId="0" fontId="27" fillId="36" borderId="58" xfId="0" applyFont="1" applyFill="1" applyBorder="1" applyAlignment="1" applyProtection="1">
      <alignment horizontal="center" vertical="center"/>
      <protection locked="0"/>
    </xf>
    <xf numFmtId="0" fontId="11" fillId="3" borderId="45" xfId="0" applyFont="1" applyFill="1" applyBorder="1" applyAlignment="1" applyProtection="1">
      <alignment horizontal="center" vertical="center"/>
      <protection locked="0"/>
    </xf>
    <xf numFmtId="0" fontId="19" fillId="36" borderId="105" xfId="0" applyFont="1" applyFill="1" applyBorder="1" applyAlignment="1" applyProtection="1">
      <alignment horizontal="left" vertical="center" wrapText="1"/>
      <protection locked="0"/>
    </xf>
    <xf numFmtId="0" fontId="21" fillId="36" borderId="106" xfId="0" applyFont="1" applyFill="1" applyBorder="1" applyAlignment="1" applyProtection="1">
      <alignment horizontal="left" vertical="center" wrapText="1"/>
      <protection locked="0"/>
    </xf>
    <xf numFmtId="0" fontId="5" fillId="4" borderId="80" xfId="0" applyFont="1" applyFill="1" applyBorder="1" applyAlignment="1" applyProtection="1">
      <alignment horizontal="center" vertical="center" wrapText="1"/>
      <protection locked="0"/>
    </xf>
    <xf numFmtId="0" fontId="5" fillId="4" borderId="81" xfId="0" applyFont="1" applyFill="1" applyBorder="1" applyAlignment="1" applyProtection="1">
      <alignment horizontal="center" vertical="center" wrapText="1"/>
      <protection locked="0"/>
    </xf>
    <xf numFmtId="0" fontId="5" fillId="4" borderId="35" xfId="0" applyFont="1" applyFill="1" applyBorder="1" applyAlignment="1" applyProtection="1">
      <alignment horizontal="center" vertical="center" wrapText="1"/>
      <protection locked="0"/>
    </xf>
    <xf numFmtId="0" fontId="5" fillId="4" borderId="36" xfId="0" applyFont="1" applyFill="1" applyBorder="1" applyAlignment="1" applyProtection="1">
      <alignment horizontal="center" vertical="center" wrapText="1"/>
      <protection locked="0"/>
    </xf>
    <xf numFmtId="0" fontId="5" fillId="4" borderId="37" xfId="0" applyFont="1" applyFill="1" applyBorder="1" applyAlignment="1" applyProtection="1">
      <alignment horizontal="center" vertical="center" wrapText="1"/>
      <protection locked="0"/>
    </xf>
    <xf numFmtId="0" fontId="5" fillId="4" borderId="38" xfId="0" applyFont="1" applyFill="1" applyBorder="1" applyAlignment="1" applyProtection="1">
      <alignment horizontal="center" vertical="center" wrapText="1"/>
      <protection locked="0"/>
    </xf>
    <xf numFmtId="0" fontId="10" fillId="32" borderId="0" xfId="0" applyFont="1" applyFill="1" applyBorder="1" applyAlignment="1" applyProtection="1">
      <alignment horizontal="center" vertical="center"/>
      <protection/>
    </xf>
    <xf numFmtId="0" fontId="21" fillId="32" borderId="0" xfId="0" applyFont="1" applyFill="1" applyBorder="1" applyAlignment="1" applyProtection="1">
      <alignment horizontal="left" vertical="top" wrapText="1"/>
      <protection/>
    </xf>
    <xf numFmtId="0" fontId="5" fillId="37" borderId="80" xfId="0" applyFont="1" applyFill="1" applyBorder="1" applyAlignment="1" applyProtection="1">
      <alignment horizontal="center" vertical="center" wrapText="1"/>
      <protection locked="0"/>
    </xf>
    <xf numFmtId="0" fontId="5" fillId="37" borderId="81" xfId="0" applyFont="1" applyFill="1" applyBorder="1" applyAlignment="1" applyProtection="1">
      <alignment horizontal="center" vertical="center" wrapText="1"/>
      <protection locked="0"/>
    </xf>
    <xf numFmtId="0" fontId="5" fillId="37" borderId="35" xfId="0" applyFont="1" applyFill="1" applyBorder="1" applyAlignment="1" applyProtection="1">
      <alignment horizontal="center" vertical="center" wrapText="1"/>
      <protection locked="0"/>
    </xf>
    <xf numFmtId="0" fontId="5" fillId="37" borderId="36" xfId="0" applyFont="1" applyFill="1" applyBorder="1" applyAlignment="1" applyProtection="1">
      <alignment horizontal="center" vertical="center" wrapText="1"/>
      <protection locked="0"/>
    </xf>
    <xf numFmtId="0" fontId="5" fillId="37" borderId="37" xfId="0" applyFont="1" applyFill="1" applyBorder="1" applyAlignment="1" applyProtection="1">
      <alignment horizontal="center" vertical="center" wrapText="1"/>
      <protection locked="0"/>
    </xf>
    <xf numFmtId="0" fontId="5" fillId="37" borderId="38" xfId="0" applyFont="1" applyFill="1" applyBorder="1" applyAlignment="1" applyProtection="1">
      <alignment horizontal="center" vertical="center" wrapText="1"/>
      <protection locked="0"/>
    </xf>
    <xf numFmtId="0" fontId="2" fillId="0" borderId="0" xfId="0" applyFont="1" applyBorder="1" applyAlignment="1" applyProtection="1">
      <alignment horizontal="left" vertical="top" wrapText="1"/>
      <protection/>
    </xf>
    <xf numFmtId="2" fontId="0" fillId="35" borderId="23" xfId="0" applyNumberFormat="1" applyFont="1" applyFill="1" applyBorder="1" applyAlignment="1" applyProtection="1">
      <alignment horizontal="center" vertical="center"/>
      <protection locked="0"/>
    </xf>
    <xf numFmtId="2" fontId="0" fillId="35" borderId="24" xfId="0" applyNumberFormat="1" applyFont="1" applyFill="1" applyBorder="1" applyAlignment="1" applyProtection="1">
      <alignment horizontal="center" vertical="center"/>
      <protection locked="0"/>
    </xf>
    <xf numFmtId="0" fontId="28" fillId="32" borderId="19" xfId="0" applyFont="1" applyFill="1" applyBorder="1" applyAlignment="1" applyProtection="1">
      <alignment horizontal="left" vertical="top" wrapText="1" indent="3"/>
      <protection/>
    </xf>
    <xf numFmtId="0" fontId="28" fillId="32" borderId="0" xfId="0" applyFont="1" applyFill="1" applyBorder="1" applyAlignment="1" applyProtection="1">
      <alignment horizontal="left" vertical="top" wrapText="1" indent="3"/>
      <protection/>
    </xf>
    <xf numFmtId="0" fontId="28" fillId="32" borderId="19" xfId="0" applyFont="1" applyFill="1" applyBorder="1" applyAlignment="1" applyProtection="1">
      <alignment horizontal="left" vertical="top" wrapText="1" indent="1"/>
      <protection/>
    </xf>
    <xf numFmtId="0" fontId="28" fillId="32" borderId="0" xfId="0" applyFont="1" applyFill="1" applyBorder="1" applyAlignment="1" applyProtection="1">
      <alignment horizontal="left" vertical="top" wrapText="1" indent="1"/>
      <protection/>
    </xf>
    <xf numFmtId="0" fontId="25" fillId="32" borderId="0" xfId="0" applyFont="1" applyFill="1" applyBorder="1" applyAlignment="1" applyProtection="1">
      <alignment horizontal="left" vertical="top" wrapText="1"/>
      <protection/>
    </xf>
    <xf numFmtId="0" fontId="25" fillId="32" borderId="20" xfId="0" applyFont="1" applyFill="1" applyBorder="1" applyAlignment="1" applyProtection="1">
      <alignment horizontal="left" vertical="top" wrapText="1"/>
      <protection/>
    </xf>
    <xf numFmtId="0" fontId="24" fillId="38" borderId="19" xfId="0" applyFont="1" applyFill="1" applyBorder="1" applyAlignment="1" applyProtection="1">
      <alignment horizontal="center" vertical="top" wrapText="1"/>
      <protection/>
    </xf>
    <xf numFmtId="0" fontId="24" fillId="38" borderId="0" xfId="0" applyFont="1" applyFill="1" applyBorder="1" applyAlignment="1" applyProtection="1">
      <alignment horizontal="center" vertical="top" wrapText="1"/>
      <protection/>
    </xf>
    <xf numFmtId="0" fontId="24" fillId="38" borderId="20" xfId="0" applyFont="1" applyFill="1" applyBorder="1" applyAlignment="1" applyProtection="1">
      <alignment horizontal="center" vertical="top" wrapText="1"/>
      <protection/>
    </xf>
    <xf numFmtId="0" fontId="24" fillId="38" borderId="12" xfId="0" applyFont="1" applyFill="1" applyBorder="1" applyAlignment="1" applyProtection="1">
      <alignment horizontal="center" vertical="top" wrapText="1"/>
      <protection/>
    </xf>
    <xf numFmtId="0" fontId="24" fillId="38" borderId="10" xfId="0" applyFont="1" applyFill="1" applyBorder="1" applyAlignment="1" applyProtection="1">
      <alignment horizontal="center" vertical="top" wrapText="1"/>
      <protection/>
    </xf>
    <xf numFmtId="0" fontId="24" fillId="38" borderId="22" xfId="0" applyFont="1" applyFill="1" applyBorder="1" applyAlignment="1" applyProtection="1">
      <alignment horizontal="center" vertical="top" wrapText="1"/>
      <protection/>
    </xf>
    <xf numFmtId="0" fontId="14" fillId="32" borderId="19" xfId="0" applyFont="1" applyFill="1" applyBorder="1" applyAlignment="1" applyProtection="1">
      <alignment horizontal="left" vertical="top" wrapText="1" indent="1"/>
      <protection/>
    </xf>
    <xf numFmtId="0" fontId="14" fillId="32" borderId="0" xfId="0" applyFont="1" applyFill="1" applyBorder="1" applyAlignment="1" applyProtection="1">
      <alignment horizontal="left" vertical="top" wrapText="1" indent="1"/>
      <protection/>
    </xf>
    <xf numFmtId="0" fontId="14" fillId="32" borderId="20" xfId="0" applyFont="1" applyFill="1" applyBorder="1" applyAlignment="1" applyProtection="1">
      <alignment horizontal="left" vertical="top" wrapText="1" indent="1"/>
      <protection/>
    </xf>
    <xf numFmtId="0" fontId="14" fillId="32" borderId="12" xfId="0" applyFont="1" applyFill="1" applyBorder="1" applyAlignment="1" applyProtection="1">
      <alignment horizontal="left" vertical="top" wrapText="1" indent="1"/>
      <protection/>
    </xf>
    <xf numFmtId="0" fontId="14" fillId="32" borderId="10" xfId="0" applyFont="1" applyFill="1" applyBorder="1" applyAlignment="1" applyProtection="1">
      <alignment horizontal="left" vertical="top" wrapText="1" indent="1"/>
      <protection/>
    </xf>
    <xf numFmtId="0" fontId="14" fillId="32" borderId="22" xfId="0" applyFont="1" applyFill="1" applyBorder="1" applyAlignment="1" applyProtection="1">
      <alignment horizontal="left" vertical="top" wrapText="1" indent="1"/>
      <protection/>
    </xf>
    <xf numFmtId="0" fontId="27" fillId="36" borderId="23" xfId="0" applyFont="1" applyFill="1" applyBorder="1" applyAlignment="1" applyProtection="1">
      <alignment horizontal="center" vertical="center"/>
      <protection locked="0"/>
    </xf>
    <xf numFmtId="0" fontId="28" fillId="32" borderId="19" xfId="0" applyFont="1" applyFill="1" applyBorder="1" applyAlignment="1" applyProtection="1">
      <alignment horizontal="left" vertical="top" wrapText="1" indent="2"/>
      <protection/>
    </xf>
    <xf numFmtId="0" fontId="28" fillId="32" borderId="0" xfId="0" applyFont="1" applyFill="1" applyBorder="1" applyAlignment="1" applyProtection="1">
      <alignment horizontal="left" vertical="top" wrapText="1" indent="2"/>
      <protection/>
    </xf>
    <xf numFmtId="0" fontId="21" fillId="32" borderId="59" xfId="0" applyFont="1" applyFill="1" applyBorder="1" applyAlignment="1" applyProtection="1" quotePrefix="1">
      <alignment horizontal="right" vertical="top" wrapText="1"/>
      <protection/>
    </xf>
    <xf numFmtId="0" fontId="21" fillId="32" borderId="0" xfId="0" applyFont="1" applyFill="1" applyBorder="1" applyAlignment="1" applyProtection="1">
      <alignment horizontal="right" vertical="top" wrapText="1"/>
      <protection/>
    </xf>
    <xf numFmtId="0" fontId="25" fillId="32" borderId="0" xfId="0" applyFont="1" applyFill="1" applyBorder="1" applyAlignment="1" applyProtection="1">
      <alignment horizontal="left" vertical="top" wrapText="1" indent="2"/>
      <protection/>
    </xf>
    <xf numFmtId="0" fontId="25" fillId="32" borderId="20" xfId="0" applyFont="1" applyFill="1" applyBorder="1" applyAlignment="1" applyProtection="1">
      <alignment horizontal="left" vertical="top" wrapText="1" indent="2"/>
      <protection/>
    </xf>
    <xf numFmtId="0" fontId="25" fillId="32" borderId="10" xfId="0" applyFont="1" applyFill="1" applyBorder="1" applyAlignment="1" applyProtection="1">
      <alignment horizontal="left" vertical="top" wrapText="1" indent="2"/>
      <protection/>
    </xf>
    <xf numFmtId="0" fontId="25" fillId="32" borderId="22" xfId="0" applyFont="1" applyFill="1" applyBorder="1" applyAlignment="1" applyProtection="1">
      <alignment horizontal="left" vertical="top" wrapText="1" indent="2"/>
      <protection/>
    </xf>
    <xf numFmtId="0" fontId="5" fillId="0" borderId="80"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8">
    <dxf>
      <font>
        <color indexed="9"/>
      </font>
      <fill>
        <patternFill>
          <bgColor indexed="9"/>
        </patternFill>
      </fill>
      <border>
        <left/>
        <right/>
        <top/>
        <bottom/>
      </border>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color indexed="10"/>
      </font>
    </dxf>
    <dxf>
      <font>
        <color indexed="9"/>
      </font>
      <fill>
        <patternFill>
          <bgColor indexed="9"/>
        </patternFill>
      </fill>
      <border>
        <left/>
        <right/>
        <top/>
        <bottom/>
      </border>
    </dxf>
    <dxf>
      <font>
        <color indexed="9"/>
      </font>
    </dxf>
    <dxf>
      <font>
        <color indexed="9"/>
      </font>
    </dxf>
    <dxf>
      <font>
        <color indexed="9"/>
      </font>
    </dxf>
    <dxf>
      <border>
        <left style="thin"/>
        <right style="thin"/>
        <top style="thin"/>
        <bottom style="thin"/>
      </border>
    </dxf>
    <dxf>
      <font>
        <color indexed="43"/>
      </font>
    </dxf>
    <dxf>
      <font>
        <b/>
        <i val="0"/>
        <color indexed="10"/>
      </font>
    </dxf>
    <dxf>
      <border>
        <left style="thin"/>
        <right style="thin"/>
        <top style="thin"/>
        <bottom style="thin"/>
      </border>
    </dxf>
    <dxf>
      <font>
        <color indexed="9"/>
      </font>
      <fill>
        <patternFill>
          <bgColor indexed="9"/>
        </patternFill>
      </fill>
    </dxf>
    <dxf>
      <font>
        <color indexed="9"/>
      </font>
    </dxf>
    <dxf>
      <font>
        <color indexed="22"/>
      </font>
    </dxf>
    <dxf>
      <font>
        <color indexed="9"/>
      </font>
    </dxf>
    <dxf>
      <font>
        <b/>
        <i val="0"/>
      </font>
    </dxf>
    <dxf>
      <font>
        <b/>
        <i val="0"/>
        <color indexed="1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color indexed="9"/>
      </font>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indexed="43"/>
        </patternFill>
      </fill>
      <border>
        <left>
          <color indexed="63"/>
        </left>
        <right>
          <color indexed="63"/>
        </right>
        <top>
          <color indexed="63"/>
        </top>
        <bottom style="thin"/>
      </border>
    </dxf>
    <dxf>
      <font>
        <color indexed="9"/>
      </font>
    </dxf>
    <dxf>
      <font>
        <color indexed="10"/>
      </font>
    </dxf>
    <dxf>
      <font>
        <color auto="1"/>
      </font>
      <fill>
        <patternFill>
          <bgColor rgb="FFFFFF99"/>
        </patternFill>
      </fill>
      <border>
        <left>
          <color rgb="FF000000"/>
        </left>
        <right>
          <color rgb="FF000000"/>
        </right>
        <top/>
        <bottom style="thin">
          <color rgb="FF000000"/>
        </bottom>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1</xdr:row>
      <xdr:rowOff>95250</xdr:rowOff>
    </xdr:from>
    <xdr:to>
      <xdr:col>9</xdr:col>
      <xdr:colOff>95250</xdr:colOff>
      <xdr:row>12</xdr:row>
      <xdr:rowOff>76200</xdr:rowOff>
    </xdr:to>
    <xdr:sp>
      <xdr:nvSpPr>
        <xdr:cNvPr id="1" name="Line 526"/>
        <xdr:cNvSpPr>
          <a:spLocks/>
        </xdr:cNvSpPr>
      </xdr:nvSpPr>
      <xdr:spPr>
        <a:xfrm flipH="1">
          <a:off x="8572500" y="266700"/>
          <a:ext cx="0" cy="18097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G26"/>
  <sheetViews>
    <sheetView zoomScale="150" zoomScaleNormal="150" zoomScalePageLayoutView="0" workbookViewId="0" topLeftCell="A1">
      <selection activeCell="E1" sqref="E1:H2"/>
    </sheetView>
  </sheetViews>
  <sheetFormatPr defaultColWidth="9.140625" defaultRowHeight="12.75"/>
  <sheetData>
    <row r="1" spans="1:6" ht="12.75">
      <c r="A1" s="607" t="s">
        <v>83</v>
      </c>
      <c r="B1" s="608"/>
      <c r="C1" s="608"/>
      <c r="D1" s="608"/>
      <c r="E1" s="608"/>
      <c r="F1" s="609"/>
    </row>
    <row r="2" spans="1:6" ht="12.75">
      <c r="A2" s="120"/>
      <c r="B2" s="121" t="s">
        <v>84</v>
      </c>
      <c r="C2" s="121" t="s">
        <v>85</v>
      </c>
      <c r="D2" s="121" t="s">
        <v>86</v>
      </c>
      <c r="E2" s="121" t="s">
        <v>87</v>
      </c>
      <c r="F2" s="122"/>
    </row>
    <row r="3" spans="1:7" ht="12.75">
      <c r="A3" s="120" t="s">
        <v>88</v>
      </c>
      <c r="B3" s="123">
        <v>100</v>
      </c>
      <c r="C3" s="123">
        <v>100</v>
      </c>
      <c r="D3" s="123">
        <v>100</v>
      </c>
      <c r="E3" s="123">
        <f>4*F3</f>
        <v>200</v>
      </c>
      <c r="F3" s="122">
        <v>50</v>
      </c>
      <c r="G3" t="s">
        <v>107</v>
      </c>
    </row>
    <row r="4" spans="1:6" ht="12.75">
      <c r="A4" s="120" t="s">
        <v>89</v>
      </c>
      <c r="B4" s="123">
        <f>10*F4</f>
        <v>500</v>
      </c>
      <c r="C4" s="123">
        <f>11*F4</f>
        <v>550</v>
      </c>
      <c r="D4" s="123">
        <f>8*F4</f>
        <v>400</v>
      </c>
      <c r="E4" s="123">
        <f>50*F4</f>
        <v>2500</v>
      </c>
      <c r="F4" s="122">
        <v>50</v>
      </c>
    </row>
    <row r="5" spans="1:6" ht="12.75">
      <c r="A5" s="120" t="s">
        <v>90</v>
      </c>
      <c r="B5" s="123">
        <f>15*F5</f>
        <v>750</v>
      </c>
      <c r="C5" s="123">
        <f>16*F5</f>
        <v>800</v>
      </c>
      <c r="D5" s="123">
        <f>(6*0.5)*F5</f>
        <v>150</v>
      </c>
      <c r="E5" s="123">
        <f>38*F5</f>
        <v>1900</v>
      </c>
      <c r="F5" s="122">
        <v>50</v>
      </c>
    </row>
    <row r="6" spans="1:6" ht="12.75">
      <c r="A6" s="120" t="s">
        <v>91</v>
      </c>
      <c r="B6" s="123">
        <f>12*F6</f>
        <v>780</v>
      </c>
      <c r="C6" s="123">
        <f>15*F6</f>
        <v>975</v>
      </c>
      <c r="D6" s="123">
        <f>(6*0.5)*F6</f>
        <v>195</v>
      </c>
      <c r="E6" s="123">
        <f>32*F6</f>
        <v>2080</v>
      </c>
      <c r="F6" s="122">
        <v>65</v>
      </c>
    </row>
    <row r="7" spans="1:6" ht="12.75">
      <c r="A7" s="120"/>
      <c r="B7" s="124"/>
      <c r="C7" s="124"/>
      <c r="D7" s="124"/>
      <c r="E7" s="124"/>
      <c r="F7" s="122"/>
    </row>
    <row r="8" spans="1:7" ht="12.75">
      <c r="A8" s="120"/>
      <c r="B8" s="125">
        <f>SUM(B3:B7)</f>
        <v>2130</v>
      </c>
      <c r="C8" s="125">
        <f>SUM(C3:C7)</f>
        <v>2425</v>
      </c>
      <c r="D8" s="125">
        <f>SUM(D3:D7)</f>
        <v>845</v>
      </c>
      <c r="E8" s="125">
        <f>SUM(E3:E7)</f>
        <v>6680</v>
      </c>
      <c r="F8" s="122"/>
      <c r="G8" s="125">
        <f>0.25*E8</f>
        <v>1670</v>
      </c>
    </row>
    <row r="9" spans="1:6" ht="12.75">
      <c r="A9" s="120"/>
      <c r="B9" s="123"/>
      <c r="C9" s="123"/>
      <c r="D9" s="123"/>
      <c r="E9" s="123"/>
      <c r="F9" s="122"/>
    </row>
    <row r="10" spans="1:6" ht="12.75">
      <c r="A10" s="126" t="s">
        <v>92</v>
      </c>
      <c r="B10" s="124">
        <v>1000</v>
      </c>
      <c r="C10" s="124">
        <v>2325</v>
      </c>
      <c r="D10" s="124">
        <v>1000</v>
      </c>
      <c r="E10" s="124">
        <v>6900</v>
      </c>
      <c r="F10" s="127"/>
    </row>
    <row r="12" spans="2:5" ht="12.75">
      <c r="B12" t="s">
        <v>93</v>
      </c>
      <c r="C12" t="s">
        <v>94</v>
      </c>
      <c r="D12" t="s">
        <v>106</v>
      </c>
      <c r="E12" t="s">
        <v>95</v>
      </c>
    </row>
    <row r="15" spans="1:6" ht="12.75">
      <c r="A15" s="607" t="s">
        <v>96</v>
      </c>
      <c r="B15" s="608"/>
      <c r="C15" s="608"/>
      <c r="D15" s="608"/>
      <c r="E15" s="608"/>
      <c r="F15" s="609"/>
    </row>
    <row r="16" spans="1:6" ht="12.75">
      <c r="A16" s="120"/>
      <c r="B16" s="121" t="s">
        <v>97</v>
      </c>
      <c r="C16" s="121" t="s">
        <v>98</v>
      </c>
      <c r="D16" s="121" t="s">
        <v>100</v>
      </c>
      <c r="E16" s="121" t="s">
        <v>99</v>
      </c>
      <c r="F16" s="122"/>
    </row>
    <row r="17" spans="1:6" ht="12.75">
      <c r="A17" s="120" t="s">
        <v>88</v>
      </c>
      <c r="B17" s="123">
        <f>3*F17</f>
        <v>150</v>
      </c>
      <c r="C17" s="123">
        <f>5*F17</f>
        <v>250</v>
      </c>
      <c r="D17" s="123">
        <f>5*F17</f>
        <v>250</v>
      </c>
      <c r="E17" s="123">
        <f>5*F17</f>
        <v>250</v>
      </c>
      <c r="F17" s="122">
        <v>50</v>
      </c>
    </row>
    <row r="18" spans="1:6" ht="12.75">
      <c r="A18" s="120" t="s">
        <v>89</v>
      </c>
      <c r="B18" s="123">
        <f>30*F18</f>
        <v>1500</v>
      </c>
      <c r="C18" s="123">
        <f>51*F18</f>
        <v>2550</v>
      </c>
      <c r="D18" s="123">
        <f>75*F18</f>
        <v>3750</v>
      </c>
      <c r="E18" s="123">
        <f>65*F18</f>
        <v>3250</v>
      </c>
      <c r="F18" s="122">
        <v>50</v>
      </c>
    </row>
    <row r="19" spans="1:6" ht="12.75">
      <c r="A19" s="120" t="s">
        <v>90</v>
      </c>
      <c r="B19" s="123">
        <f>15*F19</f>
        <v>750</v>
      </c>
      <c r="C19" s="123">
        <f>30*F19</f>
        <v>1500</v>
      </c>
      <c r="D19" s="123">
        <f>(60*0.5)*F19</f>
        <v>1500</v>
      </c>
      <c r="E19" s="123">
        <f>47*F19</f>
        <v>2350</v>
      </c>
      <c r="F19" s="122">
        <v>50</v>
      </c>
    </row>
    <row r="20" spans="1:6" ht="12.75">
      <c r="A20" s="120" t="s">
        <v>91</v>
      </c>
      <c r="B20" s="123">
        <f>24*F20</f>
        <v>1560</v>
      </c>
      <c r="C20" s="123">
        <f>50*F20</f>
        <v>3250</v>
      </c>
      <c r="D20" s="123">
        <f>(60*0.5)*F20</f>
        <v>1950</v>
      </c>
      <c r="E20" s="123">
        <f>35*F20</f>
        <v>2275</v>
      </c>
      <c r="F20" s="122">
        <v>65</v>
      </c>
    </row>
    <row r="21" spans="1:6" ht="12.75">
      <c r="A21" s="120"/>
      <c r="B21" s="124"/>
      <c r="C21" s="124"/>
      <c r="D21" s="124"/>
      <c r="E21" s="124"/>
      <c r="F21" s="122"/>
    </row>
    <row r="22" spans="1:6" ht="12.75">
      <c r="A22" s="120"/>
      <c r="B22" s="125">
        <f>SUM(B17:B21)</f>
        <v>3960</v>
      </c>
      <c r="C22" s="125">
        <f>SUM(C17:C21)</f>
        <v>7550</v>
      </c>
      <c r="D22" s="125">
        <f>SUM(D17:D21)</f>
        <v>7450</v>
      </c>
      <c r="E22" s="125">
        <f>SUM(E17:E21)</f>
        <v>8125</v>
      </c>
      <c r="F22" s="122"/>
    </row>
    <row r="23" spans="1:6" ht="12.75">
      <c r="A23" s="120"/>
      <c r="B23" s="123"/>
      <c r="C23" s="123"/>
      <c r="D23" s="123"/>
      <c r="E23" s="123"/>
      <c r="F23" s="122"/>
    </row>
    <row r="24" spans="1:6" ht="12.75">
      <c r="A24" s="126" t="s">
        <v>92</v>
      </c>
      <c r="B24" s="124">
        <v>2500</v>
      </c>
      <c r="C24" s="124">
        <v>7300</v>
      </c>
      <c r="D24" s="124">
        <v>6750</v>
      </c>
      <c r="E24" s="124">
        <v>6900</v>
      </c>
      <c r="F24" s="127"/>
    </row>
    <row r="26" spans="2:5" ht="12.75">
      <c r="B26" t="s">
        <v>101</v>
      </c>
      <c r="C26" t="s">
        <v>102</v>
      </c>
      <c r="D26" t="s">
        <v>103</v>
      </c>
      <c r="E26" t="s">
        <v>104</v>
      </c>
    </row>
  </sheetData>
  <sheetProtection/>
  <mergeCells count="2">
    <mergeCell ref="A1:F1"/>
    <mergeCell ref="A15:F1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8"/>
  <dimension ref="A1:E31"/>
  <sheetViews>
    <sheetView zoomScale="150" zoomScaleNormal="150" zoomScalePageLayoutView="0" workbookViewId="0" topLeftCell="A27">
      <selection activeCell="D30" sqref="D30"/>
    </sheetView>
  </sheetViews>
  <sheetFormatPr defaultColWidth="9.140625" defaultRowHeight="12.75"/>
  <sheetData>
    <row r="1" spans="1:5" ht="12.75">
      <c r="A1" s="130" t="s">
        <v>8</v>
      </c>
      <c r="C1" s="130" t="s">
        <v>150</v>
      </c>
      <c r="E1" t="s">
        <v>151</v>
      </c>
    </row>
    <row r="2" spans="1:3" ht="12.75">
      <c r="A2" t="s">
        <v>142</v>
      </c>
      <c r="C2" t="s">
        <v>157</v>
      </c>
    </row>
    <row r="3" spans="1:3" ht="12.75">
      <c r="A3" t="s">
        <v>143</v>
      </c>
      <c r="C3" t="s">
        <v>158</v>
      </c>
    </row>
    <row r="4" spans="1:3" ht="12.75">
      <c r="A4" t="s">
        <v>96</v>
      </c>
      <c r="C4" t="s">
        <v>159</v>
      </c>
    </row>
    <row r="5" spans="1:3" ht="12.75">
      <c r="A5" t="s">
        <v>144</v>
      </c>
      <c r="C5" t="s">
        <v>160</v>
      </c>
    </row>
    <row r="6" spans="1:3" ht="12.75">
      <c r="A6" t="s">
        <v>145</v>
      </c>
      <c r="C6" t="s">
        <v>161</v>
      </c>
    </row>
    <row r="7" ht="12.75">
      <c r="A7" s="131" t="s">
        <v>146</v>
      </c>
    </row>
    <row r="9" spans="1:5" ht="12.75">
      <c r="A9" s="130" t="s">
        <v>9</v>
      </c>
      <c r="E9" t="s">
        <v>154</v>
      </c>
    </row>
    <row r="10" spans="1:3" ht="12.75">
      <c r="A10" t="s">
        <v>142</v>
      </c>
      <c r="C10" t="s">
        <v>147</v>
      </c>
    </row>
    <row r="11" spans="1:3" ht="12.75">
      <c r="A11" t="s">
        <v>143</v>
      </c>
      <c r="C11" t="s">
        <v>162</v>
      </c>
    </row>
    <row r="12" spans="1:3" ht="12.75">
      <c r="A12" t="s">
        <v>96</v>
      </c>
      <c r="C12" t="s">
        <v>163</v>
      </c>
    </row>
    <row r="13" spans="1:3" ht="12.75">
      <c r="A13" t="s">
        <v>144</v>
      </c>
      <c r="C13" t="s">
        <v>164</v>
      </c>
    </row>
    <row r="14" spans="1:3" ht="12.75">
      <c r="A14" t="s">
        <v>145</v>
      </c>
      <c r="C14" t="s">
        <v>165</v>
      </c>
    </row>
    <row r="15" spans="1:3" ht="12.75">
      <c r="A15" t="s">
        <v>324</v>
      </c>
      <c r="C15" t="s">
        <v>325</v>
      </c>
    </row>
    <row r="17" spans="1:5" ht="12.75">
      <c r="A17" s="130" t="s">
        <v>141</v>
      </c>
      <c r="E17" t="s">
        <v>153</v>
      </c>
    </row>
    <row r="18" spans="1:3" ht="12.75">
      <c r="A18" t="s">
        <v>143</v>
      </c>
      <c r="C18" t="s">
        <v>166</v>
      </c>
    </row>
    <row r="19" spans="1:3" ht="12.75">
      <c r="A19" t="s">
        <v>96</v>
      </c>
      <c r="C19" t="s">
        <v>167</v>
      </c>
    </row>
    <row r="20" spans="1:3" ht="12.75">
      <c r="A20" t="s">
        <v>144</v>
      </c>
      <c r="C20" t="s">
        <v>168</v>
      </c>
    </row>
    <row r="21" ht="12.75">
      <c r="A21" s="131" t="s">
        <v>148</v>
      </c>
    </row>
    <row r="24" spans="1:5" ht="12.75">
      <c r="A24" s="130" t="s">
        <v>149</v>
      </c>
      <c r="E24" t="s">
        <v>152</v>
      </c>
    </row>
    <row r="25" spans="1:3" ht="12.75">
      <c r="A25" t="s">
        <v>142</v>
      </c>
      <c r="C25" t="s">
        <v>147</v>
      </c>
    </row>
    <row r="26" spans="1:3" ht="12.75">
      <c r="A26" t="s">
        <v>143</v>
      </c>
      <c r="C26" t="s">
        <v>162</v>
      </c>
    </row>
    <row r="27" spans="1:3" ht="12.75">
      <c r="A27" t="s">
        <v>96</v>
      </c>
      <c r="C27" t="s">
        <v>163</v>
      </c>
    </row>
    <row r="28" spans="1:3" ht="12.75">
      <c r="A28" t="s">
        <v>144</v>
      </c>
      <c r="C28" t="s">
        <v>164</v>
      </c>
    </row>
    <row r="29" spans="1:3" ht="12.75">
      <c r="A29" t="s">
        <v>145</v>
      </c>
      <c r="C29" t="s">
        <v>165</v>
      </c>
    </row>
    <row r="30" spans="1:3" ht="12.75">
      <c r="A30" s="595" t="s">
        <v>324</v>
      </c>
      <c r="C30" t="s">
        <v>325</v>
      </c>
    </row>
    <row r="31" ht="12.75">
      <c r="A31" s="595" t="s">
        <v>370</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H116"/>
  <sheetViews>
    <sheetView showGridLines="0" zoomScale="80" zoomScaleNormal="80" zoomScalePageLayoutView="0" workbookViewId="0" topLeftCell="A1">
      <pane ySplit="2" topLeftCell="A49" activePane="bottomLeft" state="frozen"/>
      <selection pane="topLeft" activeCell="E82" sqref="E82"/>
      <selection pane="bottomLeft" activeCell="A83" sqref="A83"/>
    </sheetView>
  </sheetViews>
  <sheetFormatPr defaultColWidth="9.140625" defaultRowHeight="12" customHeight="1"/>
  <cols>
    <col min="1" max="1" width="26.7109375" style="20" customWidth="1"/>
    <col min="2" max="2" width="6.7109375" style="94" customWidth="1"/>
    <col min="3" max="3" width="6.7109375" style="95" customWidth="1"/>
    <col min="4" max="4" width="30.7109375" style="95" customWidth="1"/>
    <col min="5" max="5" width="48.7109375" style="20" customWidth="1"/>
    <col min="6" max="6" width="75.7109375" style="114" customWidth="1"/>
    <col min="7" max="7" width="1.7109375" style="1" customWidth="1"/>
    <col min="8" max="8" width="12.00390625" style="1" customWidth="1"/>
    <col min="9" max="16384" width="9.140625" style="1" customWidth="1"/>
  </cols>
  <sheetData>
    <row r="1" spans="1:8" ht="15" customHeight="1">
      <c r="A1" s="88">
        <v>0.0929</v>
      </c>
      <c r="B1" s="614" t="s">
        <v>0</v>
      </c>
      <c r="C1" s="615"/>
      <c r="D1" s="615"/>
      <c r="E1" s="616"/>
      <c r="F1" s="612" t="s">
        <v>21</v>
      </c>
      <c r="H1" s="115"/>
    </row>
    <row r="2" spans="1:8" s="7" customFormat="1" ht="15" customHeight="1" thickBot="1">
      <c r="A2" s="343" t="s">
        <v>1</v>
      </c>
      <c r="B2" s="90" t="s">
        <v>4</v>
      </c>
      <c r="C2" s="91" t="s">
        <v>5</v>
      </c>
      <c r="D2" s="92" t="s">
        <v>2</v>
      </c>
      <c r="E2" s="353" t="s">
        <v>200</v>
      </c>
      <c r="F2" s="613"/>
      <c r="G2" s="76"/>
      <c r="H2" s="115"/>
    </row>
    <row r="3" spans="1:7" s="2" customFormat="1" ht="15.75" customHeight="1">
      <c r="A3" s="620" t="s">
        <v>29</v>
      </c>
      <c r="B3" s="621"/>
      <c r="C3" s="621"/>
      <c r="D3" s="621"/>
      <c r="E3" s="622"/>
      <c r="F3" s="107"/>
      <c r="G3" s="4"/>
    </row>
    <row r="4" spans="1:7" s="2" customFormat="1" ht="12" customHeight="1">
      <c r="A4" s="184" t="s">
        <v>33</v>
      </c>
      <c r="B4" s="185"/>
      <c r="C4" s="186"/>
      <c r="D4" s="186"/>
      <c r="E4" s="344"/>
      <c r="F4" s="108"/>
      <c r="G4" s="4"/>
    </row>
    <row r="5" spans="1:7" s="2" customFormat="1" ht="12" customHeight="1">
      <c r="A5" s="23" t="s">
        <v>115</v>
      </c>
      <c r="B5" s="16">
        <f aca="true" t="shared" si="0" ref="B5:B49">$A$1*C5</f>
        <v>9.29</v>
      </c>
      <c r="C5" s="21">
        <v>100</v>
      </c>
      <c r="D5" s="253" t="s">
        <v>209</v>
      </c>
      <c r="E5" s="345" t="s">
        <v>201</v>
      </c>
      <c r="F5" s="118" t="s">
        <v>175</v>
      </c>
      <c r="G5" s="4"/>
    </row>
    <row r="6" spans="1:7" s="2" customFormat="1" ht="12" customHeight="1">
      <c r="A6" s="23" t="s">
        <v>116</v>
      </c>
      <c r="B6" s="16">
        <f t="shared" si="0"/>
        <v>11.612499999999999</v>
      </c>
      <c r="C6" s="21">
        <v>125</v>
      </c>
      <c r="D6" s="253" t="s">
        <v>204</v>
      </c>
      <c r="E6" s="345" t="s">
        <v>176</v>
      </c>
      <c r="F6" s="118" t="s">
        <v>122</v>
      </c>
      <c r="G6" s="4"/>
    </row>
    <row r="7" spans="1:7" s="2" customFormat="1" ht="12" customHeight="1">
      <c r="A7" s="23" t="s">
        <v>117</v>
      </c>
      <c r="B7" s="16">
        <f t="shared" si="0"/>
        <v>16.2575</v>
      </c>
      <c r="C7" s="21">
        <v>175</v>
      </c>
      <c r="D7" s="253" t="s">
        <v>205</v>
      </c>
      <c r="E7" s="345" t="s">
        <v>177</v>
      </c>
      <c r="F7" s="118" t="s">
        <v>118</v>
      </c>
      <c r="G7" s="4"/>
    </row>
    <row r="8" spans="1:7" s="2" customFormat="1" ht="12" customHeight="1">
      <c r="A8" s="23" t="s">
        <v>120</v>
      </c>
      <c r="B8" s="16">
        <f t="shared" si="0"/>
        <v>1.8579999999999999</v>
      </c>
      <c r="C8" s="21">
        <v>20</v>
      </c>
      <c r="D8" s="253" t="s">
        <v>206</v>
      </c>
      <c r="E8" s="345" t="s">
        <v>119</v>
      </c>
      <c r="F8" s="118" t="s">
        <v>121</v>
      </c>
      <c r="G8" s="4"/>
    </row>
    <row r="9" spans="1:7" s="2" customFormat="1" ht="12" customHeight="1">
      <c r="A9" s="23" t="s">
        <v>63</v>
      </c>
      <c r="B9" s="16">
        <f t="shared" si="0"/>
        <v>8.360999999999999</v>
      </c>
      <c r="C9" s="21">
        <v>90</v>
      </c>
      <c r="D9" s="253" t="s">
        <v>208</v>
      </c>
      <c r="E9" s="345" t="s">
        <v>210</v>
      </c>
      <c r="F9" s="108" t="s">
        <v>178</v>
      </c>
      <c r="G9" s="4"/>
    </row>
    <row r="10" spans="1:7" s="2" customFormat="1" ht="12" customHeight="1">
      <c r="A10" s="23" t="s">
        <v>128</v>
      </c>
      <c r="B10" s="16">
        <f t="shared" si="0"/>
        <v>27.869999999999997</v>
      </c>
      <c r="C10" s="21">
        <f>(3*200)*0.5</f>
        <v>300</v>
      </c>
      <c r="D10" s="253" t="s">
        <v>207</v>
      </c>
      <c r="E10" s="345" t="s">
        <v>179</v>
      </c>
      <c r="F10" s="108" t="s">
        <v>180</v>
      </c>
      <c r="G10" s="4"/>
    </row>
    <row r="11" spans="1:7" s="2" customFormat="1" ht="12" customHeight="1">
      <c r="A11" s="23" t="s">
        <v>129</v>
      </c>
      <c r="B11" s="457">
        <f t="shared" si="0"/>
        <v>0</v>
      </c>
      <c r="C11" s="494"/>
      <c r="D11" s="253" t="s">
        <v>335</v>
      </c>
      <c r="E11" s="345" t="s">
        <v>181</v>
      </c>
      <c r="F11" s="108" t="s">
        <v>130</v>
      </c>
      <c r="G11" s="4"/>
    </row>
    <row r="12" spans="1:7" s="2" customFormat="1" ht="12" customHeight="1">
      <c r="A12" s="184" t="s">
        <v>27</v>
      </c>
      <c r="B12" s="185"/>
      <c r="C12" s="186"/>
      <c r="D12" s="254"/>
      <c r="E12" s="344"/>
      <c r="F12" s="108"/>
      <c r="G12" s="4"/>
    </row>
    <row r="13" spans="1:7" s="2" customFormat="1" ht="12" customHeight="1">
      <c r="A13" s="23" t="s">
        <v>223</v>
      </c>
      <c r="B13" s="16">
        <f t="shared" si="0"/>
        <v>826.0668</v>
      </c>
      <c r="C13" s="21">
        <f>(10+94+10)*(10+50+10+8)</f>
        <v>8892</v>
      </c>
      <c r="D13" s="275" t="s">
        <v>222</v>
      </c>
      <c r="E13" s="452" t="s">
        <v>71</v>
      </c>
      <c r="F13" s="610" t="s">
        <v>70</v>
      </c>
      <c r="G13" s="4"/>
    </row>
    <row r="14" spans="1:7" s="2" customFormat="1" ht="12" customHeight="1">
      <c r="A14" s="293" t="s">
        <v>182</v>
      </c>
      <c r="B14" s="119">
        <f>$A$1*C14</f>
        <v>1630.9524</v>
      </c>
      <c r="C14" s="11">
        <v>17556</v>
      </c>
      <c r="D14" s="276" t="s">
        <v>221</v>
      </c>
      <c r="E14" s="346" t="s">
        <v>68</v>
      </c>
      <c r="F14" s="623"/>
      <c r="G14" s="4"/>
    </row>
    <row r="15" spans="1:7" s="2" customFormat="1" ht="12" customHeight="1">
      <c r="A15" s="293" t="s">
        <v>214</v>
      </c>
      <c r="B15" s="119">
        <f>$A$1*C15</f>
        <v>1708.6168</v>
      </c>
      <c r="C15" s="11">
        <v>18392</v>
      </c>
      <c r="D15" s="276" t="s">
        <v>219</v>
      </c>
      <c r="E15" s="346" t="s">
        <v>215</v>
      </c>
      <c r="F15" s="623"/>
      <c r="G15" s="4"/>
    </row>
    <row r="16" spans="1:7" s="2" customFormat="1" ht="12" customHeight="1">
      <c r="A16" s="23" t="s">
        <v>211</v>
      </c>
      <c r="B16" s="16">
        <f t="shared" si="0"/>
        <v>84.70621999999999</v>
      </c>
      <c r="C16" s="21">
        <f>(8+1.7)*94</f>
        <v>911.8</v>
      </c>
      <c r="D16" s="275" t="s">
        <v>312</v>
      </c>
      <c r="E16" s="346" t="s">
        <v>66</v>
      </c>
      <c r="F16" s="611"/>
      <c r="G16" s="4"/>
    </row>
    <row r="17" spans="1:7" s="2" customFormat="1" ht="12" customHeight="1">
      <c r="A17" s="23" t="s">
        <v>220</v>
      </c>
      <c r="B17" s="16">
        <f t="shared" si="0"/>
        <v>65.03</v>
      </c>
      <c r="C17" s="11">
        <v>700</v>
      </c>
      <c r="D17" s="276" t="s">
        <v>205</v>
      </c>
      <c r="E17" s="346" t="s">
        <v>67</v>
      </c>
      <c r="F17" s="108"/>
      <c r="G17" s="4"/>
    </row>
    <row r="18" spans="1:7" s="2" customFormat="1" ht="12" customHeight="1">
      <c r="A18" s="23" t="s">
        <v>212</v>
      </c>
      <c r="B18" s="16">
        <f t="shared" si="0"/>
        <v>32.515</v>
      </c>
      <c r="C18" s="11">
        <v>350</v>
      </c>
      <c r="D18" s="276" t="s">
        <v>213</v>
      </c>
      <c r="E18" s="346" t="s">
        <v>183</v>
      </c>
      <c r="F18" s="108"/>
      <c r="G18" s="4"/>
    </row>
    <row r="19" spans="1:7" s="2" customFormat="1" ht="12" customHeight="1">
      <c r="A19" s="184" t="s">
        <v>69</v>
      </c>
      <c r="B19" s="185"/>
      <c r="C19" s="197"/>
      <c r="D19" s="256"/>
      <c r="E19" s="347"/>
      <c r="F19" s="109"/>
      <c r="G19" s="4"/>
    </row>
    <row r="20" spans="1:7" s="2" customFormat="1" ht="12" customHeight="1">
      <c r="A20" s="23" t="s">
        <v>233</v>
      </c>
      <c r="B20" s="16">
        <f t="shared" si="0"/>
        <v>4.645</v>
      </c>
      <c r="C20" s="11">
        <f>50</f>
        <v>50</v>
      </c>
      <c r="D20" s="255" t="s">
        <v>229</v>
      </c>
      <c r="E20" s="348" t="s">
        <v>231</v>
      </c>
      <c r="F20" s="118" t="s">
        <v>75</v>
      </c>
      <c r="G20" s="106"/>
    </row>
    <row r="21" spans="1:7" s="2" customFormat="1" ht="12" customHeight="1">
      <c r="A21" s="23" t="s">
        <v>28</v>
      </c>
      <c r="B21" s="16">
        <f t="shared" si="0"/>
        <v>0.46449999999999997</v>
      </c>
      <c r="C21" s="11">
        <f>C20*0.1</f>
        <v>5</v>
      </c>
      <c r="D21" s="255" t="s">
        <v>227</v>
      </c>
      <c r="E21" s="348" t="s">
        <v>230</v>
      </c>
      <c r="F21" s="108"/>
      <c r="G21" s="4"/>
    </row>
    <row r="22" spans="1:7" s="2" customFormat="1" ht="12" customHeight="1">
      <c r="A22" s="184" t="s">
        <v>29</v>
      </c>
      <c r="B22" s="185"/>
      <c r="C22" s="197"/>
      <c r="D22" s="256"/>
      <c r="E22" s="349"/>
      <c r="F22" s="108"/>
      <c r="G22" s="4"/>
    </row>
    <row r="23" spans="1:7" s="2" customFormat="1" ht="12" customHeight="1">
      <c r="A23" s="93" t="s">
        <v>30</v>
      </c>
      <c r="B23" s="16">
        <f t="shared" si="0"/>
        <v>4.645</v>
      </c>
      <c r="C23" s="11">
        <v>50</v>
      </c>
      <c r="D23" s="255" t="s">
        <v>229</v>
      </c>
      <c r="E23" s="346" t="s">
        <v>105</v>
      </c>
      <c r="F23" s="610" t="s">
        <v>108</v>
      </c>
      <c r="G23" s="4"/>
    </row>
    <row r="24" spans="1:7" s="2" customFormat="1" ht="12" customHeight="1">
      <c r="A24" s="93" t="s">
        <v>31</v>
      </c>
      <c r="B24" s="16">
        <f t="shared" si="0"/>
        <v>4.645</v>
      </c>
      <c r="C24" s="11">
        <v>50</v>
      </c>
      <c r="D24" s="255" t="s">
        <v>232</v>
      </c>
      <c r="E24" s="346" t="s">
        <v>82</v>
      </c>
      <c r="F24" s="623"/>
      <c r="G24" s="4"/>
    </row>
    <row r="25" spans="1:7" s="2" customFormat="1" ht="12" customHeight="1">
      <c r="A25" s="23" t="s">
        <v>288</v>
      </c>
      <c r="B25" s="16">
        <f t="shared" si="0"/>
        <v>4.645</v>
      </c>
      <c r="C25" s="11">
        <v>50</v>
      </c>
      <c r="D25" s="255" t="s">
        <v>232</v>
      </c>
      <c r="E25" s="346" t="s">
        <v>82</v>
      </c>
      <c r="F25" s="623"/>
      <c r="G25" s="4"/>
    </row>
    <row r="26" spans="1:7" s="2" customFormat="1" ht="12" customHeight="1">
      <c r="A26" s="23" t="s">
        <v>293</v>
      </c>
      <c r="B26" s="16">
        <f t="shared" si="0"/>
        <v>6.0385</v>
      </c>
      <c r="C26" s="11">
        <v>65</v>
      </c>
      <c r="D26" s="255" t="s">
        <v>355</v>
      </c>
      <c r="E26" s="346" t="s">
        <v>81</v>
      </c>
      <c r="F26" s="623"/>
      <c r="G26" s="4"/>
    </row>
    <row r="27" spans="1:7" s="2" customFormat="1" ht="12" customHeight="1">
      <c r="A27" s="23" t="s">
        <v>290</v>
      </c>
      <c r="B27" s="16">
        <f t="shared" si="0"/>
        <v>11.612499999999999</v>
      </c>
      <c r="C27" s="11">
        <v>125</v>
      </c>
      <c r="D27" s="255" t="s">
        <v>252</v>
      </c>
      <c r="E27" s="346" t="s">
        <v>291</v>
      </c>
      <c r="F27" s="623"/>
      <c r="G27" s="4"/>
    </row>
    <row r="28" spans="1:7" s="2" customFormat="1" ht="12" customHeight="1">
      <c r="A28" s="23" t="s">
        <v>289</v>
      </c>
      <c r="B28" s="16">
        <f t="shared" si="0"/>
        <v>11.612499999999999</v>
      </c>
      <c r="C28" s="11">
        <v>125</v>
      </c>
      <c r="D28" s="255" t="s">
        <v>228</v>
      </c>
      <c r="E28" s="346" t="s">
        <v>292</v>
      </c>
      <c r="F28" s="623"/>
      <c r="G28" s="4"/>
    </row>
    <row r="29" spans="1:7" s="2" customFormat="1" ht="12" customHeight="1">
      <c r="A29" s="184" t="s">
        <v>294</v>
      </c>
      <c r="B29" s="185"/>
      <c r="C29" s="197"/>
      <c r="D29" s="256"/>
      <c r="E29" s="349"/>
      <c r="F29" s="108"/>
      <c r="G29" s="4"/>
    </row>
    <row r="30" spans="1:7" s="2" customFormat="1" ht="12" customHeight="1">
      <c r="A30" s="23" t="s">
        <v>285</v>
      </c>
      <c r="B30" s="16">
        <f t="shared" si="0"/>
        <v>74.32</v>
      </c>
      <c r="C30" s="11">
        <v>800</v>
      </c>
      <c r="D30" s="255" t="s">
        <v>234</v>
      </c>
      <c r="E30" s="346" t="s">
        <v>235</v>
      </c>
      <c r="F30" s="108" t="s">
        <v>74</v>
      </c>
      <c r="G30" s="4"/>
    </row>
    <row r="31" spans="1:7" s="2" customFormat="1" ht="12" customHeight="1">
      <c r="A31" s="23" t="s">
        <v>32</v>
      </c>
      <c r="B31" s="16">
        <f t="shared" si="0"/>
        <v>74.32</v>
      </c>
      <c r="C31" s="11">
        <v>800</v>
      </c>
      <c r="D31" s="255" t="s">
        <v>236</v>
      </c>
      <c r="E31" s="346" t="s">
        <v>237</v>
      </c>
      <c r="F31" s="108"/>
      <c r="G31" s="4"/>
    </row>
    <row r="32" spans="1:7" s="2" customFormat="1" ht="12" customHeight="1">
      <c r="A32" s="23" t="s">
        <v>378</v>
      </c>
      <c r="B32" s="16">
        <f>$A$1*C32</f>
        <v>826.0668</v>
      </c>
      <c r="C32" s="21">
        <f>(10+94+10)*(10+50+10+8)</f>
        <v>8892</v>
      </c>
      <c r="D32" s="275" t="s">
        <v>222</v>
      </c>
      <c r="E32" s="452" t="s">
        <v>71</v>
      </c>
      <c r="F32" s="108" t="s">
        <v>379</v>
      </c>
      <c r="G32" s="4"/>
    </row>
    <row r="33" spans="1:7" s="2" customFormat="1" ht="12" customHeight="1">
      <c r="A33" s="23" t="s">
        <v>381</v>
      </c>
      <c r="B33" s="16">
        <f>$A$1*C33</f>
        <v>185.79999999999998</v>
      </c>
      <c r="C33" s="21">
        <v>2000</v>
      </c>
      <c r="D33" s="275" t="s">
        <v>380</v>
      </c>
      <c r="E33" s="452"/>
      <c r="F33" s="108" t="s">
        <v>379</v>
      </c>
      <c r="G33" s="4"/>
    </row>
    <row r="34" spans="1:7" s="2" customFormat="1" ht="12" customHeight="1">
      <c r="A34" s="23" t="s">
        <v>382</v>
      </c>
      <c r="B34" s="16">
        <f t="shared" si="0"/>
        <v>18.58</v>
      </c>
      <c r="C34" s="11">
        <f>(5*20)+(5*20)</f>
        <v>200</v>
      </c>
      <c r="D34" s="255" t="s">
        <v>238</v>
      </c>
      <c r="E34" s="346" t="s">
        <v>73</v>
      </c>
      <c r="F34" s="108"/>
      <c r="G34" s="4"/>
    </row>
    <row r="35" spans="1:7" s="2" customFormat="1" ht="12" customHeight="1">
      <c r="A35" s="23" t="s">
        <v>287</v>
      </c>
      <c r="B35" s="16">
        <f t="shared" si="0"/>
        <v>7.4319999999999995</v>
      </c>
      <c r="C35" s="11">
        <f>C30*0.1</f>
        <v>80</v>
      </c>
      <c r="D35" s="255" t="s">
        <v>286</v>
      </c>
      <c r="E35" s="346" t="s">
        <v>295</v>
      </c>
      <c r="F35" s="357"/>
      <c r="G35" s="4"/>
    </row>
    <row r="36" spans="1:7" s="2" customFormat="1" ht="12" customHeight="1">
      <c r="A36" s="184" t="s">
        <v>37</v>
      </c>
      <c r="B36" s="203"/>
      <c r="C36" s="185"/>
      <c r="D36" s="257"/>
      <c r="E36" s="350"/>
      <c r="F36" s="610" t="s">
        <v>184</v>
      </c>
      <c r="G36" s="4"/>
    </row>
    <row r="37" spans="1:7" s="2" customFormat="1" ht="12" customHeight="1">
      <c r="A37" s="93" t="s">
        <v>38</v>
      </c>
      <c r="B37" s="16"/>
      <c r="C37" s="11"/>
      <c r="D37" s="255"/>
      <c r="E37" s="346"/>
      <c r="F37" s="611"/>
      <c r="G37" s="4"/>
    </row>
    <row r="38" spans="1:7" s="2" customFormat="1" ht="12" customHeight="1">
      <c r="A38" s="102" t="s">
        <v>39</v>
      </c>
      <c r="B38" s="16">
        <f t="shared" si="0"/>
        <v>0.7432</v>
      </c>
      <c r="C38" s="11">
        <v>8</v>
      </c>
      <c r="D38" s="255" t="s">
        <v>239</v>
      </c>
      <c r="E38" s="346" t="s">
        <v>185</v>
      </c>
      <c r="F38" s="118" t="s">
        <v>284</v>
      </c>
      <c r="G38" s="4"/>
    </row>
    <row r="39" spans="1:7" s="2" customFormat="1" ht="12" customHeight="1">
      <c r="A39" s="102" t="s">
        <v>40</v>
      </c>
      <c r="B39" s="16">
        <f t="shared" si="0"/>
        <v>2.787</v>
      </c>
      <c r="C39" s="11">
        <f>((2+3+3)*3.5)+2</f>
        <v>30</v>
      </c>
      <c r="D39" s="255" t="s">
        <v>240</v>
      </c>
      <c r="E39" s="346" t="s">
        <v>187</v>
      </c>
      <c r="F39" s="118"/>
      <c r="G39" s="4"/>
    </row>
    <row r="40" spans="1:7" s="2" customFormat="1" ht="12" customHeight="1">
      <c r="A40" s="102" t="s">
        <v>41</v>
      </c>
      <c r="B40" s="16">
        <f t="shared" si="0"/>
        <v>4.180499999999999</v>
      </c>
      <c r="C40" s="11">
        <v>45</v>
      </c>
      <c r="D40" s="255" t="s">
        <v>309</v>
      </c>
      <c r="E40" s="346" t="s">
        <v>188</v>
      </c>
      <c r="F40" s="118" t="s">
        <v>189</v>
      </c>
      <c r="G40" s="4"/>
    </row>
    <row r="41" spans="1:7" s="2" customFormat="1" ht="12" customHeight="1">
      <c r="A41" s="93" t="s">
        <v>371</v>
      </c>
      <c r="B41" s="16"/>
      <c r="C41" s="11"/>
      <c r="D41" s="255"/>
      <c r="E41" s="346"/>
      <c r="F41" s="118"/>
      <c r="G41" s="4"/>
    </row>
    <row r="42" spans="1:7" s="2" customFormat="1" ht="12" customHeight="1">
      <c r="A42" s="102" t="s">
        <v>39</v>
      </c>
      <c r="B42" s="16">
        <f t="shared" si="0"/>
        <v>0.7432</v>
      </c>
      <c r="C42" s="11">
        <v>8</v>
      </c>
      <c r="D42" s="255" t="s">
        <v>239</v>
      </c>
      <c r="E42" s="346" t="s">
        <v>185</v>
      </c>
      <c r="F42" s="118"/>
      <c r="G42" s="4"/>
    </row>
    <row r="43" spans="1:7" s="2" customFormat="1" ht="12" customHeight="1">
      <c r="A43" s="102" t="s">
        <v>40</v>
      </c>
      <c r="B43" s="16">
        <f t="shared" si="0"/>
        <v>2.787</v>
      </c>
      <c r="C43" s="11">
        <f>((2+3+3)*3.5)+2</f>
        <v>30</v>
      </c>
      <c r="D43" s="255" t="s">
        <v>240</v>
      </c>
      <c r="E43" s="346" t="s">
        <v>187</v>
      </c>
      <c r="F43" s="118"/>
      <c r="G43" s="4"/>
    </row>
    <row r="44" spans="1:7" s="2" customFormat="1" ht="12" customHeight="1">
      <c r="A44" s="102" t="s">
        <v>41</v>
      </c>
      <c r="B44" s="16">
        <f t="shared" si="0"/>
        <v>4.180499999999999</v>
      </c>
      <c r="C44" s="11">
        <v>45</v>
      </c>
      <c r="D44" s="255" t="s">
        <v>309</v>
      </c>
      <c r="E44" s="346" t="s">
        <v>190</v>
      </c>
      <c r="F44" s="118" t="s">
        <v>191</v>
      </c>
      <c r="G44" s="4"/>
    </row>
    <row r="45" spans="1:7" s="2" customFormat="1" ht="12" customHeight="1">
      <c r="A45" s="93" t="s">
        <v>357</v>
      </c>
      <c r="B45" s="457"/>
      <c r="C45" s="323"/>
      <c r="D45" s="324" t="s">
        <v>297</v>
      </c>
      <c r="E45" s="346" t="s">
        <v>277</v>
      </c>
      <c r="F45" s="118"/>
      <c r="G45" s="4"/>
    </row>
    <row r="46" spans="1:7" s="2" customFormat="1" ht="12" customHeight="1" hidden="1">
      <c r="A46" s="93" t="s">
        <v>356</v>
      </c>
      <c r="B46" s="457"/>
      <c r="C46" s="323"/>
      <c r="D46" s="324" t="s">
        <v>298</v>
      </c>
      <c r="E46" s="346" t="s">
        <v>278</v>
      </c>
      <c r="F46" s="118"/>
      <c r="G46" s="4"/>
    </row>
    <row r="47" spans="1:7" s="2" customFormat="1" ht="12" customHeight="1" hidden="1">
      <c r="A47" s="93" t="s">
        <v>64</v>
      </c>
      <c r="B47" s="457"/>
      <c r="C47" s="323"/>
      <c r="D47" s="324" t="s">
        <v>299</v>
      </c>
      <c r="E47" s="346" t="s">
        <v>279</v>
      </c>
      <c r="F47" s="118"/>
      <c r="G47" s="4"/>
    </row>
    <row r="48" spans="1:6" s="2" customFormat="1" ht="12" customHeight="1">
      <c r="A48" s="184" t="s">
        <v>34</v>
      </c>
      <c r="B48" s="185"/>
      <c r="C48" s="197"/>
      <c r="D48" s="256"/>
      <c r="E48" s="349"/>
      <c r="F48" s="108"/>
    </row>
    <row r="49" spans="1:7" s="2" customFormat="1" ht="12" customHeight="1">
      <c r="A49" s="23" t="s">
        <v>35</v>
      </c>
      <c r="B49" s="16">
        <f t="shared" si="0"/>
        <v>18.58</v>
      </c>
      <c r="C49" s="11">
        <v>200</v>
      </c>
      <c r="D49" s="255" t="s">
        <v>241</v>
      </c>
      <c r="E49" s="346" t="s">
        <v>276</v>
      </c>
      <c r="F49" s="116" t="s">
        <v>192</v>
      </c>
      <c r="G49" s="4"/>
    </row>
    <row r="50" spans="1:7" s="2" customFormat="1" ht="12" customHeight="1">
      <c r="A50" s="105" t="s">
        <v>36</v>
      </c>
      <c r="B50" s="457"/>
      <c r="C50" s="430"/>
      <c r="D50" s="325" t="s">
        <v>242</v>
      </c>
      <c r="E50" s="351" t="s">
        <v>249</v>
      </c>
      <c r="F50" s="610" t="s">
        <v>334</v>
      </c>
      <c r="G50" s="4"/>
    </row>
    <row r="51" spans="1:7" s="2" customFormat="1" ht="12" customHeight="1">
      <c r="A51" s="105" t="s">
        <v>134</v>
      </c>
      <c r="B51" s="457"/>
      <c r="C51" s="430"/>
      <c r="D51" s="325" t="s">
        <v>243</v>
      </c>
      <c r="E51" s="351" t="s">
        <v>248</v>
      </c>
      <c r="F51" s="611"/>
      <c r="G51" s="4"/>
    </row>
    <row r="52" spans="1:7" s="2" customFormat="1" ht="12" customHeight="1">
      <c r="A52" s="105" t="s">
        <v>65</v>
      </c>
      <c r="B52" s="457"/>
      <c r="C52" s="209"/>
      <c r="D52" s="325" t="s">
        <v>250</v>
      </c>
      <c r="E52" s="351" t="s">
        <v>275</v>
      </c>
      <c r="F52" s="134"/>
      <c r="G52" s="4"/>
    </row>
    <row r="53" spans="1:7" s="2" customFormat="1" ht="12" customHeight="1">
      <c r="A53" s="105" t="s">
        <v>362</v>
      </c>
      <c r="B53" s="16">
        <f>$A$1*C53</f>
        <v>3.7159999999999997</v>
      </c>
      <c r="C53" s="11">
        <v>40</v>
      </c>
      <c r="D53" s="325" t="s">
        <v>363</v>
      </c>
      <c r="E53" s="351" t="s">
        <v>365</v>
      </c>
      <c r="F53" s="134" t="s">
        <v>364</v>
      </c>
      <c r="G53" s="4"/>
    </row>
    <row r="54" spans="1:6" s="2" customFormat="1" ht="19.5" customHeight="1">
      <c r="A54" s="617" t="s">
        <v>359</v>
      </c>
      <c r="B54" s="618"/>
      <c r="C54" s="618"/>
      <c r="D54" s="618"/>
      <c r="E54" s="619"/>
      <c r="F54" s="110"/>
    </row>
    <row r="55" spans="1:6" s="2" customFormat="1" ht="12" customHeight="1" hidden="1">
      <c r="A55" s="19" t="s">
        <v>33</v>
      </c>
      <c r="B55" s="16">
        <f aca="true" t="shared" si="1" ref="B55:B64">$A$1*C55</f>
        <v>27.869999999999997</v>
      </c>
      <c r="C55" s="11">
        <v>300</v>
      </c>
      <c r="D55" s="255" t="s">
        <v>251</v>
      </c>
      <c r="E55" s="346" t="s">
        <v>57</v>
      </c>
      <c r="F55" s="108" t="s">
        <v>56</v>
      </c>
    </row>
    <row r="56" spans="1:6" s="2" customFormat="1" ht="12" customHeight="1" hidden="1">
      <c r="A56" s="19" t="s">
        <v>24</v>
      </c>
      <c r="B56" s="16">
        <f t="shared" si="1"/>
        <v>11.148</v>
      </c>
      <c r="C56" s="11">
        <v>120</v>
      </c>
      <c r="D56" s="255" t="s">
        <v>252</v>
      </c>
      <c r="E56" s="346" t="s">
        <v>58</v>
      </c>
      <c r="F56" s="108" t="s">
        <v>62</v>
      </c>
    </row>
    <row r="57" spans="1:6" s="2" customFormat="1" ht="12" customHeight="1">
      <c r="A57" s="19" t="s">
        <v>25</v>
      </c>
      <c r="B57" s="16">
        <f t="shared" si="1"/>
        <v>9.29</v>
      </c>
      <c r="C57" s="11">
        <v>100</v>
      </c>
      <c r="D57" s="255" t="s">
        <v>228</v>
      </c>
      <c r="E57" s="346" t="s">
        <v>58</v>
      </c>
      <c r="F57" s="108"/>
    </row>
    <row r="58" spans="1:6" s="2" customFormat="1" ht="12" customHeight="1">
      <c r="A58" s="19" t="s">
        <v>26</v>
      </c>
      <c r="B58" s="16">
        <f t="shared" si="1"/>
        <v>5.9456</v>
      </c>
      <c r="C58" s="11">
        <v>64</v>
      </c>
      <c r="D58" s="255" t="s">
        <v>253</v>
      </c>
      <c r="E58" s="346" t="s">
        <v>193</v>
      </c>
      <c r="F58" s="108"/>
    </row>
    <row r="59" spans="1:6" s="3" customFormat="1" ht="12" customHeight="1">
      <c r="A59" s="19" t="s">
        <v>42</v>
      </c>
      <c r="B59" s="16">
        <f t="shared" si="1"/>
        <v>58.527</v>
      </c>
      <c r="C59" s="11">
        <v>630</v>
      </c>
      <c r="D59" s="255" t="s">
        <v>254</v>
      </c>
      <c r="E59" s="346" t="s">
        <v>55</v>
      </c>
      <c r="F59" s="108" t="s">
        <v>56</v>
      </c>
    </row>
    <row r="60" spans="1:6" s="3" customFormat="1" ht="12" customHeight="1">
      <c r="A60" s="19" t="s">
        <v>43</v>
      </c>
      <c r="B60" s="16">
        <f t="shared" si="1"/>
        <v>23.224999999999998</v>
      </c>
      <c r="C60" s="11">
        <v>250</v>
      </c>
      <c r="D60" s="255" t="s">
        <v>255</v>
      </c>
      <c r="E60" s="346" t="s">
        <v>55</v>
      </c>
      <c r="F60" s="108" t="s">
        <v>59</v>
      </c>
    </row>
    <row r="61" spans="1:6" s="2" customFormat="1" ht="12" customHeight="1">
      <c r="A61" s="19" t="s">
        <v>28</v>
      </c>
      <c r="B61" s="16">
        <f t="shared" si="1"/>
        <v>7.4319999999999995</v>
      </c>
      <c r="C61" s="11">
        <v>80</v>
      </c>
      <c r="D61" s="255" t="s">
        <v>256</v>
      </c>
      <c r="E61" s="346" t="s">
        <v>57</v>
      </c>
      <c r="F61" s="108"/>
    </row>
    <row r="62" spans="1:7" s="2" customFormat="1" ht="12" customHeight="1">
      <c r="A62" s="19" t="s">
        <v>383</v>
      </c>
      <c r="B62" s="16">
        <f t="shared" si="1"/>
        <v>46.449999999999996</v>
      </c>
      <c r="C62" s="11">
        <v>500</v>
      </c>
      <c r="D62" s="255" t="s">
        <v>268</v>
      </c>
      <c r="E62" s="346" t="s">
        <v>61</v>
      </c>
      <c r="F62" s="108" t="s">
        <v>56</v>
      </c>
      <c r="G62" s="4"/>
    </row>
    <row r="63" spans="1:6" s="2" customFormat="1" ht="12" customHeight="1" hidden="1">
      <c r="A63" s="19" t="s">
        <v>44</v>
      </c>
      <c r="B63" s="16">
        <f t="shared" si="1"/>
        <v>7.4319999999999995</v>
      </c>
      <c r="C63" s="11">
        <v>80</v>
      </c>
      <c r="D63" s="255" t="s">
        <v>257</v>
      </c>
      <c r="E63" s="346" t="s">
        <v>60</v>
      </c>
      <c r="F63" s="108" t="s">
        <v>72</v>
      </c>
    </row>
    <row r="64" spans="1:6" s="2" customFormat="1" ht="12" customHeight="1" hidden="1">
      <c r="A64" s="217" t="s">
        <v>45</v>
      </c>
      <c r="B64" s="218">
        <f t="shared" si="1"/>
        <v>13.934999999999999</v>
      </c>
      <c r="C64" s="219">
        <v>150</v>
      </c>
      <c r="D64" s="328" t="s">
        <v>258</v>
      </c>
      <c r="E64" s="333" t="s">
        <v>55</v>
      </c>
      <c r="F64" s="108" t="s">
        <v>56</v>
      </c>
    </row>
    <row r="65" spans="1:6" s="3" customFormat="1" ht="15.75" customHeight="1">
      <c r="A65" s="617" t="s">
        <v>23</v>
      </c>
      <c r="B65" s="618"/>
      <c r="C65" s="618"/>
      <c r="D65" s="618"/>
      <c r="E65" s="619"/>
      <c r="F65" s="111"/>
    </row>
    <row r="66" spans="1:6" s="2" customFormat="1" ht="12" customHeight="1">
      <c r="A66" s="19" t="s">
        <v>24</v>
      </c>
      <c r="B66" s="16">
        <f aca="true" t="shared" si="2" ref="B66:B71">$A$1*C66</f>
        <v>11.148</v>
      </c>
      <c r="C66" s="11">
        <v>120</v>
      </c>
      <c r="D66" s="255" t="s">
        <v>252</v>
      </c>
      <c r="E66" s="346" t="s">
        <v>58</v>
      </c>
      <c r="F66" s="118" t="s">
        <v>112</v>
      </c>
    </row>
    <row r="67" spans="1:6" s="3" customFormat="1" ht="12" customHeight="1">
      <c r="A67" s="19" t="s">
        <v>25</v>
      </c>
      <c r="B67" s="16">
        <f t="shared" si="2"/>
        <v>9.29</v>
      </c>
      <c r="C67" s="11">
        <v>100</v>
      </c>
      <c r="D67" s="255" t="s">
        <v>228</v>
      </c>
      <c r="E67" s="346" t="s">
        <v>58</v>
      </c>
      <c r="F67" s="118" t="s">
        <v>114</v>
      </c>
    </row>
    <row r="68" spans="1:6" s="2" customFormat="1" ht="12" customHeight="1">
      <c r="A68" s="19" t="s">
        <v>26</v>
      </c>
      <c r="B68" s="16">
        <f t="shared" si="2"/>
        <v>5.9456</v>
      </c>
      <c r="C68" s="11">
        <v>64</v>
      </c>
      <c r="D68" s="255" t="s">
        <v>253</v>
      </c>
      <c r="E68" s="346" t="s">
        <v>58</v>
      </c>
      <c r="F68" s="118" t="s">
        <v>114</v>
      </c>
    </row>
    <row r="69" spans="1:6" s="2" customFormat="1" ht="12" customHeight="1">
      <c r="A69" s="19" t="s">
        <v>111</v>
      </c>
      <c r="B69" s="16">
        <f t="shared" si="2"/>
        <v>7.4319999999999995</v>
      </c>
      <c r="C69" s="11">
        <v>80</v>
      </c>
      <c r="D69" s="255" t="s">
        <v>259</v>
      </c>
      <c r="E69" s="346" t="s">
        <v>55</v>
      </c>
      <c r="F69" s="118" t="s">
        <v>112</v>
      </c>
    </row>
    <row r="70" spans="1:6" s="2" customFormat="1" ht="12" customHeight="1">
      <c r="A70" s="19" t="s">
        <v>109</v>
      </c>
      <c r="B70" s="16">
        <f t="shared" si="2"/>
        <v>69.675</v>
      </c>
      <c r="C70" s="11">
        <f>30*25</f>
        <v>750</v>
      </c>
      <c r="D70" s="255" t="s">
        <v>366</v>
      </c>
      <c r="E70" s="346" t="s">
        <v>360</v>
      </c>
      <c r="F70" s="610" t="s">
        <v>113</v>
      </c>
    </row>
    <row r="71" spans="1:6" s="2" customFormat="1" ht="12" customHeight="1">
      <c r="A71" s="19" t="s">
        <v>110</v>
      </c>
      <c r="B71" s="16">
        <f t="shared" si="2"/>
        <v>5.574</v>
      </c>
      <c r="C71" s="11">
        <v>60</v>
      </c>
      <c r="D71" s="255" t="s">
        <v>205</v>
      </c>
      <c r="E71" s="346" t="s">
        <v>361</v>
      </c>
      <c r="F71" s="611"/>
    </row>
    <row r="72" spans="1:6" s="2" customFormat="1" ht="15.75" customHeight="1">
      <c r="A72" s="132" t="s">
        <v>338</v>
      </c>
      <c r="B72" s="133"/>
      <c r="C72" s="133"/>
      <c r="D72" s="133"/>
      <c r="E72" s="352"/>
      <c r="F72" s="108"/>
    </row>
    <row r="73" spans="1:6" s="334" customFormat="1" ht="13.5" customHeight="1">
      <c r="A73" s="341" t="s">
        <v>54</v>
      </c>
      <c r="B73" s="335"/>
      <c r="C73" s="336"/>
      <c r="D73" s="336"/>
      <c r="E73" s="337"/>
      <c r="F73" s="113"/>
    </row>
    <row r="74" spans="1:6" s="334" customFormat="1" ht="13.5" customHeight="1" thickBot="1">
      <c r="A74" s="342" t="s">
        <v>217</v>
      </c>
      <c r="B74" s="338"/>
      <c r="C74" s="339"/>
      <c r="D74" s="339"/>
      <c r="E74" s="340"/>
      <c r="F74" s="113"/>
    </row>
    <row r="75" spans="1:6" s="2" customFormat="1" ht="12" customHeight="1">
      <c r="A75" s="184" t="s">
        <v>313</v>
      </c>
      <c r="B75" s="185"/>
      <c r="C75" s="197"/>
      <c r="D75" s="256"/>
      <c r="E75" s="349"/>
      <c r="F75" s="108"/>
    </row>
    <row r="76" spans="1:6" s="2" customFormat="1" ht="12" customHeight="1">
      <c r="A76" s="23" t="s">
        <v>313</v>
      </c>
      <c r="B76" s="16"/>
      <c r="C76" s="11"/>
      <c r="D76" s="255" t="s">
        <v>330</v>
      </c>
      <c r="E76" s="346"/>
      <c r="F76" s="108"/>
    </row>
    <row r="77" spans="1:8" s="2" customFormat="1" ht="12" customHeight="1">
      <c r="A77" s="293" t="s">
        <v>137</v>
      </c>
      <c r="B77" s="16">
        <f aca="true" t="shared" si="3" ref="B77:B93">$A$1*C77</f>
        <v>310.0073</v>
      </c>
      <c r="C77" s="11">
        <v>3337</v>
      </c>
      <c r="D77" s="17" t="s">
        <v>317</v>
      </c>
      <c r="E77" s="346" t="str">
        <f>"1/14th-mile, 2-lane Indoor Track ("&amp;H77&amp;" linear ft.)"</f>
        <v>1/14th-mile, 2-lane Indoor Track (754 linear ft.)</v>
      </c>
      <c r="F77" s="108" t="s">
        <v>194</v>
      </c>
      <c r="G77" s="4"/>
      <c r="H77" s="331">
        <f>ROUND(0.07143*5280*2,0)</f>
        <v>754</v>
      </c>
    </row>
    <row r="78" spans="1:8" s="2" customFormat="1" ht="12" customHeight="1">
      <c r="A78" s="293" t="s">
        <v>333</v>
      </c>
      <c r="B78" s="16">
        <f t="shared" si="3"/>
        <v>523.0269999999999</v>
      </c>
      <c r="C78" s="11">
        <v>5630</v>
      </c>
      <c r="D78" s="17" t="s">
        <v>331</v>
      </c>
      <c r="E78" s="346" t="s">
        <v>332</v>
      </c>
      <c r="F78" s="108"/>
      <c r="G78" s="4"/>
      <c r="H78" s="331">
        <f>ROUND(0.081*5280*3,0)+1</f>
        <v>1284</v>
      </c>
    </row>
    <row r="79" spans="1:8" s="2" customFormat="1" ht="12" customHeight="1">
      <c r="A79" s="293" t="s">
        <v>135</v>
      </c>
      <c r="B79" s="16">
        <f>$A$1*C79</f>
        <v>556.7497</v>
      </c>
      <c r="C79" s="11">
        <v>5993</v>
      </c>
      <c r="D79" s="17" t="s">
        <v>318</v>
      </c>
      <c r="E79" s="346" t="str">
        <f>"1/11th-mile, 3-lane Indoor Track ("&amp;H79&amp;" linear ft.)"</f>
        <v>1/11th-mile, 3-lane Indoor Track (1440 linear ft.)</v>
      </c>
      <c r="F79" s="108"/>
      <c r="G79" s="4"/>
      <c r="H79" s="331">
        <f>ROUND(0.09091*5280*3,0)</f>
        <v>1440</v>
      </c>
    </row>
    <row r="80" spans="1:8" s="2" customFormat="1" ht="12" customHeight="1">
      <c r="A80" s="293" t="s">
        <v>136</v>
      </c>
      <c r="B80" s="16">
        <f t="shared" si="3"/>
        <v>989.1062999999999</v>
      </c>
      <c r="C80" s="11">
        <v>10647</v>
      </c>
      <c r="D80" s="17" t="s">
        <v>319</v>
      </c>
      <c r="E80" s="346" t="str">
        <f>"1/8th-mile, 4-lane Indoor Track ("&amp;H80&amp;" linear ft.)"</f>
        <v>1/8th-mile, 4-lane Indoor Track (2640 linear ft.)</v>
      </c>
      <c r="F80" s="108"/>
      <c r="G80" s="4"/>
      <c r="H80" s="331">
        <f>ROUND(0.125*5280*4,0)</f>
        <v>2640</v>
      </c>
    </row>
    <row r="81" spans="1:7" s="2" customFormat="1" ht="12" customHeight="1">
      <c r="A81" s="23" t="s">
        <v>138</v>
      </c>
      <c r="B81" s="16">
        <f t="shared" si="3"/>
        <v>13.3776</v>
      </c>
      <c r="C81" s="11">
        <f>8*18</f>
        <v>144</v>
      </c>
      <c r="D81" s="255" t="s">
        <v>340</v>
      </c>
      <c r="E81" s="346" t="s">
        <v>139</v>
      </c>
      <c r="F81" s="108"/>
      <c r="G81" s="4"/>
    </row>
    <row r="82" spans="1:7" s="2" customFormat="1" ht="12" customHeight="1">
      <c r="A82" s="103" t="s">
        <v>46</v>
      </c>
      <c r="B82" s="16">
        <f t="shared" si="3"/>
        <v>116.125</v>
      </c>
      <c r="C82" s="11">
        <f>25*50</f>
        <v>1250</v>
      </c>
      <c r="D82" s="255" t="str">
        <f>A82</f>
        <v>Additional Group Exercise Room</v>
      </c>
      <c r="E82" s="346" t="s">
        <v>55</v>
      </c>
      <c r="F82" s="108" t="s">
        <v>76</v>
      </c>
      <c r="G82" s="4"/>
    </row>
    <row r="83" spans="1:7" s="2" customFormat="1" ht="12" customHeight="1">
      <c r="A83" s="19" t="s">
        <v>48</v>
      </c>
      <c r="B83" s="16">
        <f t="shared" si="3"/>
        <v>11.148</v>
      </c>
      <c r="C83" s="11">
        <v>120</v>
      </c>
      <c r="D83" s="255" t="s">
        <v>260</v>
      </c>
      <c r="E83" s="346" t="s">
        <v>55</v>
      </c>
      <c r="F83" s="108"/>
      <c r="G83" s="4"/>
    </row>
    <row r="84" spans="1:7" s="2" customFormat="1" ht="12" customHeight="1">
      <c r="A84" s="19" t="s">
        <v>77</v>
      </c>
      <c r="B84" s="16">
        <f t="shared" si="3"/>
        <v>11.612499999999999</v>
      </c>
      <c r="C84" s="11">
        <v>125</v>
      </c>
      <c r="D84" s="255" t="s">
        <v>261</v>
      </c>
      <c r="E84" s="346" t="s">
        <v>55</v>
      </c>
      <c r="F84" s="108" t="s">
        <v>78</v>
      </c>
      <c r="G84" s="4"/>
    </row>
    <row r="85" spans="1:7" s="2" customFormat="1" ht="12" customHeight="1">
      <c r="A85" s="19" t="s">
        <v>127</v>
      </c>
      <c r="B85" s="16">
        <f t="shared" si="3"/>
        <v>9.29</v>
      </c>
      <c r="C85" s="11">
        <v>100</v>
      </c>
      <c r="D85" s="255" t="s">
        <v>262</v>
      </c>
      <c r="E85" s="346" t="s">
        <v>57</v>
      </c>
      <c r="F85" s="118" t="s">
        <v>123</v>
      </c>
      <c r="G85" s="4"/>
    </row>
    <row r="86" spans="1:7" s="2" customFormat="1" ht="12" customHeight="1">
      <c r="A86" s="19" t="s">
        <v>126</v>
      </c>
      <c r="B86" s="16">
        <f t="shared" si="3"/>
        <v>13.934999999999999</v>
      </c>
      <c r="C86" s="11">
        <v>150</v>
      </c>
      <c r="D86" s="255" t="s">
        <v>263</v>
      </c>
      <c r="E86" s="346" t="s">
        <v>57</v>
      </c>
      <c r="F86" s="118" t="s">
        <v>124</v>
      </c>
      <c r="G86" s="4"/>
    </row>
    <row r="87" spans="1:7" s="2" customFormat="1" ht="12" customHeight="1">
      <c r="A87" s="19" t="s">
        <v>125</v>
      </c>
      <c r="B87" s="16">
        <f t="shared" si="3"/>
        <v>13.934999999999999</v>
      </c>
      <c r="C87" s="11">
        <v>150</v>
      </c>
      <c r="D87" s="255" t="s">
        <v>264</v>
      </c>
      <c r="E87" s="346" t="s">
        <v>195</v>
      </c>
      <c r="F87" s="118"/>
      <c r="G87" s="4"/>
    </row>
    <row r="88" spans="1:7" s="2" customFormat="1" ht="12" customHeight="1">
      <c r="A88" s="19" t="s">
        <v>52</v>
      </c>
      <c r="B88" s="16">
        <f t="shared" si="3"/>
        <v>10.219</v>
      </c>
      <c r="C88" s="11">
        <v>110</v>
      </c>
      <c r="D88" s="255" t="s">
        <v>265</v>
      </c>
      <c r="E88" s="346" t="s">
        <v>196</v>
      </c>
      <c r="F88" s="108" t="s">
        <v>197</v>
      </c>
      <c r="G88" s="4"/>
    </row>
    <row r="89" spans="1:7" s="2" customFormat="1" ht="12" customHeight="1">
      <c r="A89" s="19" t="s">
        <v>372</v>
      </c>
      <c r="B89" s="16">
        <f t="shared" si="3"/>
        <v>69.675</v>
      </c>
      <c r="C89" s="11">
        <v>750</v>
      </c>
      <c r="D89" s="255" t="s">
        <v>373</v>
      </c>
      <c r="E89" s="346" t="s">
        <v>375</v>
      </c>
      <c r="F89" s="116" t="s">
        <v>374</v>
      </c>
      <c r="G89" s="4"/>
    </row>
    <row r="90" spans="1:7" s="2" customFormat="1" ht="12" customHeight="1" hidden="1">
      <c r="A90" s="19" t="s">
        <v>49</v>
      </c>
      <c r="B90" s="16">
        <f t="shared" si="3"/>
        <v>23.224999999999998</v>
      </c>
      <c r="C90" s="11">
        <v>250</v>
      </c>
      <c r="D90" s="255" t="s">
        <v>266</v>
      </c>
      <c r="E90" s="346" t="s">
        <v>80</v>
      </c>
      <c r="F90" s="591"/>
      <c r="G90" s="4"/>
    </row>
    <row r="91" spans="1:7" s="2" customFormat="1" ht="12" customHeight="1">
      <c r="A91" s="19" t="s">
        <v>50</v>
      </c>
      <c r="B91" s="16">
        <f t="shared" si="3"/>
        <v>74.32</v>
      </c>
      <c r="C91" s="11">
        <v>800</v>
      </c>
      <c r="D91" s="255" t="s">
        <v>267</v>
      </c>
      <c r="E91" s="346" t="s">
        <v>280</v>
      </c>
      <c r="F91" s="108" t="s">
        <v>281</v>
      </c>
      <c r="G91" s="4"/>
    </row>
    <row r="92" spans="1:7" s="2" customFormat="1" ht="12" customHeight="1" hidden="1">
      <c r="A92" s="19" t="s">
        <v>47</v>
      </c>
      <c r="B92" s="16">
        <f t="shared" si="3"/>
        <v>46.449999999999996</v>
      </c>
      <c r="C92" s="11">
        <v>500</v>
      </c>
      <c r="D92" s="255" t="s">
        <v>268</v>
      </c>
      <c r="E92" s="346" t="s">
        <v>61</v>
      </c>
      <c r="F92" s="108" t="s">
        <v>56</v>
      </c>
      <c r="G92" s="4"/>
    </row>
    <row r="93" spans="1:7" s="2" customFormat="1" ht="12" customHeight="1" hidden="1">
      <c r="A93" s="354" t="s">
        <v>51</v>
      </c>
      <c r="B93" s="355">
        <f t="shared" si="3"/>
        <v>9.29</v>
      </c>
      <c r="C93" s="356">
        <v>100</v>
      </c>
      <c r="D93" s="325" t="s">
        <v>269</v>
      </c>
      <c r="E93" s="351" t="s">
        <v>55</v>
      </c>
      <c r="F93" s="357" t="s">
        <v>56</v>
      </c>
      <c r="G93" s="4"/>
    </row>
    <row r="94" spans="1:7" s="367" customFormat="1" ht="24" customHeight="1">
      <c r="A94" s="132" t="s">
        <v>282</v>
      </c>
      <c r="B94" s="368"/>
      <c r="C94" s="369"/>
      <c r="D94" s="370"/>
      <c r="E94" s="374"/>
      <c r="F94" s="365"/>
      <c r="G94" s="366"/>
    </row>
    <row r="95" spans="1:6" s="2" customFormat="1" ht="12" customHeight="1">
      <c r="A95" s="128" t="s">
        <v>15</v>
      </c>
      <c r="B95" s="364">
        <f aca="true" t="shared" si="4" ref="B95:B100">$A$1*C95</f>
        <v>41.805</v>
      </c>
      <c r="C95" s="21">
        <v>450</v>
      </c>
      <c r="D95" s="253" t="s">
        <v>272</v>
      </c>
      <c r="E95" s="345" t="s">
        <v>327</v>
      </c>
      <c r="F95" s="129"/>
    </row>
    <row r="96" spans="1:6" s="2" customFormat="1" ht="12" customHeight="1">
      <c r="A96" s="128" t="s">
        <v>132</v>
      </c>
      <c r="B96" s="16">
        <f t="shared" si="4"/>
        <v>8.360999999999999</v>
      </c>
      <c r="C96" s="21">
        <f>(18*5)</f>
        <v>90</v>
      </c>
      <c r="D96" s="253" t="s">
        <v>270</v>
      </c>
      <c r="E96" s="345" t="s">
        <v>133</v>
      </c>
      <c r="F96" s="129"/>
    </row>
    <row r="97" spans="1:6" s="2" customFormat="1" ht="12" customHeight="1">
      <c r="A97" s="128" t="s">
        <v>140</v>
      </c>
      <c r="B97" s="16">
        <f t="shared" si="4"/>
        <v>69.675</v>
      </c>
      <c r="C97" s="21">
        <v>750</v>
      </c>
      <c r="D97" s="253" t="s">
        <v>271</v>
      </c>
      <c r="E97" s="345" t="s">
        <v>57</v>
      </c>
      <c r="F97" s="129"/>
    </row>
    <row r="98" spans="1:6" s="2" customFormat="1" ht="12" customHeight="1">
      <c r="A98" s="19" t="s">
        <v>53</v>
      </c>
      <c r="B98" s="16">
        <f t="shared" si="4"/>
        <v>41.805</v>
      </c>
      <c r="C98" s="11">
        <v>450</v>
      </c>
      <c r="D98" s="255" t="s">
        <v>272</v>
      </c>
      <c r="E98" s="346" t="s">
        <v>327</v>
      </c>
      <c r="F98" s="108"/>
    </row>
    <row r="99" spans="1:6" s="2" customFormat="1" ht="12" customHeight="1">
      <c r="A99" s="19" t="s">
        <v>22</v>
      </c>
      <c r="B99" s="16">
        <f t="shared" si="4"/>
        <v>14.863999999999999</v>
      </c>
      <c r="C99" s="11">
        <v>160</v>
      </c>
      <c r="D99" s="255" t="s">
        <v>273</v>
      </c>
      <c r="E99" s="346" t="s">
        <v>6</v>
      </c>
      <c r="F99" s="108"/>
    </row>
    <row r="100" spans="1:6" s="2" customFormat="1" ht="12" customHeight="1" thickBot="1">
      <c r="A100" s="217" t="s">
        <v>16</v>
      </c>
      <c r="B100" s="218">
        <f t="shared" si="4"/>
        <v>2.3225</v>
      </c>
      <c r="C100" s="219">
        <v>25</v>
      </c>
      <c r="D100" s="328" t="s">
        <v>274</v>
      </c>
      <c r="E100" s="333" t="s">
        <v>198</v>
      </c>
      <c r="F100" s="112"/>
    </row>
    <row r="101" spans="1:6" s="334" customFormat="1" ht="13.5" customHeight="1">
      <c r="A101" s="341" t="s">
        <v>54</v>
      </c>
      <c r="B101" s="335"/>
      <c r="C101" s="336"/>
      <c r="D101" s="336"/>
      <c r="E101" s="337"/>
      <c r="F101" s="113"/>
    </row>
    <row r="102" spans="1:6" s="334" customFormat="1" ht="13.5" customHeight="1" thickBot="1">
      <c r="A102" s="342" t="s">
        <v>217</v>
      </c>
      <c r="B102" s="338"/>
      <c r="C102" s="339"/>
      <c r="D102" s="339"/>
      <c r="E102" s="340"/>
      <c r="F102" s="113"/>
    </row>
    <row r="103" spans="1:6" s="2" customFormat="1" ht="12" customHeight="1">
      <c r="A103" s="4"/>
      <c r="B103" s="4"/>
      <c r="C103" s="4"/>
      <c r="D103" s="4"/>
      <c r="E103" s="4"/>
      <c r="F103" s="113"/>
    </row>
    <row r="104" spans="1:6" s="2" customFormat="1" ht="12" customHeight="1">
      <c r="A104" s="4"/>
      <c r="B104" s="4"/>
      <c r="C104" s="4"/>
      <c r="D104" s="4"/>
      <c r="E104" s="4"/>
      <c r="F104" s="113"/>
    </row>
    <row r="105" spans="1:5" ht="12" customHeight="1">
      <c r="A105" s="4"/>
      <c r="B105" s="4"/>
      <c r="C105" s="4"/>
      <c r="D105" s="4"/>
      <c r="E105" s="4"/>
    </row>
    <row r="106" spans="2:4" ht="12" customHeight="1">
      <c r="B106" s="20"/>
      <c r="C106" s="20"/>
      <c r="D106" s="20"/>
    </row>
    <row r="107" spans="2:4" ht="12" customHeight="1">
      <c r="B107" s="20"/>
      <c r="C107" s="20"/>
      <c r="D107" s="20"/>
    </row>
    <row r="108" spans="2:4" ht="12" customHeight="1">
      <c r="B108" s="20"/>
      <c r="C108" s="20"/>
      <c r="D108" s="20"/>
    </row>
    <row r="109" spans="2:4" ht="12" customHeight="1">
      <c r="B109" s="20"/>
      <c r="C109" s="20"/>
      <c r="D109" s="20"/>
    </row>
    <row r="110" spans="2:4" ht="12" customHeight="1">
      <c r="B110" s="20"/>
      <c r="C110" s="20"/>
      <c r="D110" s="20"/>
    </row>
    <row r="111" spans="2:4" ht="12" customHeight="1">
      <c r="B111" s="20"/>
      <c r="C111" s="20"/>
      <c r="D111" s="20"/>
    </row>
    <row r="112" spans="2:4" ht="12" customHeight="1">
      <c r="B112" s="20"/>
      <c r="C112" s="20"/>
      <c r="D112" s="20"/>
    </row>
    <row r="113" spans="1:5" ht="12" customHeight="1">
      <c r="A113" s="9"/>
      <c r="B113" s="10"/>
      <c r="C113" s="8"/>
      <c r="D113" s="8"/>
      <c r="E113" s="4"/>
    </row>
    <row r="114" spans="1:5" ht="12" customHeight="1">
      <c r="A114" s="9"/>
      <c r="B114" s="10"/>
      <c r="C114" s="8"/>
      <c r="D114" s="8"/>
      <c r="E114" s="4"/>
    </row>
    <row r="115" spans="1:5" ht="12" customHeight="1">
      <c r="A115" s="9"/>
      <c r="B115" s="10"/>
      <c r="C115" s="8"/>
      <c r="D115" s="8"/>
      <c r="E115" s="4"/>
    </row>
    <row r="116" spans="1:5" ht="12" customHeight="1">
      <c r="A116" s="9"/>
      <c r="B116" s="10"/>
      <c r="C116" s="8"/>
      <c r="D116" s="8"/>
      <c r="E116" s="4"/>
    </row>
  </sheetData>
  <sheetProtection deleteColumns="0"/>
  <mergeCells count="10">
    <mergeCell ref="F70:F71"/>
    <mergeCell ref="F1:F2"/>
    <mergeCell ref="B1:E1"/>
    <mergeCell ref="A54:E54"/>
    <mergeCell ref="A65:E65"/>
    <mergeCell ref="A3:E3"/>
    <mergeCell ref="F23:F28"/>
    <mergeCell ref="F13:F16"/>
    <mergeCell ref="F36:F37"/>
    <mergeCell ref="F50:F51"/>
  </mergeCells>
  <dataValidations count="1">
    <dataValidation allowBlank="1" showErrorMessage="1" promptTitle="Note:" prompt="Testing" sqref="A1"/>
  </dataValidations>
  <printOptions horizontalCentered="1"/>
  <pageMargins left="0.4" right="0.4" top="0.5" bottom="0.5" header="0.5" footer="0.25"/>
  <pageSetup fitToHeight="2" fitToWidth="1" horizontalDpi="600" verticalDpi="600" orientation="portrait" scale="83" r:id="rId3"/>
  <rowBreaks count="1" manualBreakCount="1">
    <brk id="73" max="255" man="1"/>
  </rowBreaks>
  <legacyDrawing r:id="rId2"/>
</worksheet>
</file>

<file path=xl/worksheets/sheet4.xml><?xml version="1.0" encoding="utf-8"?>
<worksheet xmlns="http://schemas.openxmlformats.org/spreadsheetml/2006/main" xmlns:r="http://schemas.openxmlformats.org/officeDocument/2006/relationships">
  <sheetPr codeName="Sheet7"/>
  <dimension ref="A1:X110"/>
  <sheetViews>
    <sheetView showGridLines="0" zoomScalePageLayoutView="0" workbookViewId="0" topLeftCell="A1">
      <pane xSplit="1" ySplit="2" topLeftCell="F67" activePane="bottomRight" state="frozen"/>
      <selection pane="topLeft" activeCell="E82" sqref="E82"/>
      <selection pane="topRight" activeCell="E82" sqref="E82"/>
      <selection pane="bottomLeft" activeCell="E82" sqref="E82"/>
      <selection pane="bottomRight" activeCell="R81" sqref="R81"/>
    </sheetView>
  </sheetViews>
  <sheetFormatPr defaultColWidth="9.140625" defaultRowHeight="12" customHeight="1"/>
  <cols>
    <col min="1" max="1" width="30.7109375" style="20" customWidth="1"/>
    <col min="2" max="2" width="6.7109375" style="94" customWidth="1"/>
    <col min="3" max="3" width="6.7109375" style="95" customWidth="1"/>
    <col min="4" max="4" width="30.7109375" style="95" customWidth="1"/>
    <col min="5" max="5" width="40.7109375" style="20" customWidth="1"/>
    <col min="6" max="6" width="6.7109375" style="241" customWidth="1"/>
    <col min="7" max="8" width="8.7109375" style="241" customWidth="1"/>
    <col min="9" max="9" width="6.7109375" style="241" customWidth="1"/>
    <col min="10" max="11" width="8.7109375" style="241" customWidth="1"/>
    <col min="12" max="12" width="6.7109375" style="241" customWidth="1"/>
    <col min="13" max="14" width="8.7109375" style="241" customWidth="1"/>
    <col min="15" max="15" width="6.7109375" style="241" customWidth="1"/>
    <col min="16" max="17" width="8.7109375" style="241" customWidth="1"/>
    <col min="18" max="18" width="6.7109375" style="244" customWidth="1"/>
    <col min="19" max="19" width="8.7109375" style="241" customWidth="1"/>
    <col min="20" max="20" width="8.7109375" style="537" customWidth="1"/>
    <col min="21" max="21" width="6.7109375" style="507" customWidth="1"/>
    <col min="22" max="23" width="8.7109375" style="504" customWidth="1"/>
    <col min="24" max="24" width="75.7109375" style="114" customWidth="1"/>
    <col min="25" max="16384" width="9.140625" style="1" customWidth="1"/>
  </cols>
  <sheetData>
    <row r="1" spans="1:24" ht="30" customHeight="1">
      <c r="A1" s="245" t="s">
        <v>199</v>
      </c>
      <c r="B1" s="614" t="s">
        <v>0</v>
      </c>
      <c r="C1" s="615"/>
      <c r="D1" s="615"/>
      <c r="E1" s="630"/>
      <c r="F1" s="627" t="s">
        <v>155</v>
      </c>
      <c r="G1" s="628"/>
      <c r="H1" s="629"/>
      <c r="I1" s="627" t="s">
        <v>170</v>
      </c>
      <c r="J1" s="628"/>
      <c r="K1" s="629"/>
      <c r="L1" s="626" t="s">
        <v>171</v>
      </c>
      <c r="M1" s="626"/>
      <c r="N1" s="626"/>
      <c r="O1" s="626" t="s">
        <v>172</v>
      </c>
      <c r="P1" s="626"/>
      <c r="Q1" s="626"/>
      <c r="R1" s="626" t="s">
        <v>173</v>
      </c>
      <c r="S1" s="626"/>
      <c r="T1" s="626"/>
      <c r="U1" s="624" t="s">
        <v>321</v>
      </c>
      <c r="V1" s="624"/>
      <c r="W1" s="625"/>
      <c r="X1" s="612" t="s">
        <v>21</v>
      </c>
    </row>
    <row r="2" spans="1:24" s="7" customFormat="1" ht="15" customHeight="1" thickBot="1">
      <c r="A2" s="89" t="s">
        <v>1</v>
      </c>
      <c r="B2" s="90" t="s">
        <v>4</v>
      </c>
      <c r="C2" s="91" t="s">
        <v>5</v>
      </c>
      <c r="D2" s="92" t="s">
        <v>2</v>
      </c>
      <c r="E2" s="92" t="s">
        <v>200</v>
      </c>
      <c r="F2" s="179" t="s">
        <v>3</v>
      </c>
      <c r="G2" s="179" t="s">
        <v>4</v>
      </c>
      <c r="H2" s="179" t="s">
        <v>5</v>
      </c>
      <c r="I2" s="179" t="s">
        <v>3</v>
      </c>
      <c r="J2" s="179" t="s">
        <v>4</v>
      </c>
      <c r="K2" s="179" t="s">
        <v>5</v>
      </c>
      <c r="L2" s="179" t="s">
        <v>3</v>
      </c>
      <c r="M2" s="179" t="s">
        <v>4</v>
      </c>
      <c r="N2" s="179" t="s">
        <v>5</v>
      </c>
      <c r="O2" s="179" t="s">
        <v>3</v>
      </c>
      <c r="P2" s="179" t="s">
        <v>4</v>
      </c>
      <c r="Q2" s="179" t="s">
        <v>5</v>
      </c>
      <c r="R2" s="179" t="s">
        <v>3</v>
      </c>
      <c r="S2" s="180" t="s">
        <v>4</v>
      </c>
      <c r="T2" s="527" t="s">
        <v>5</v>
      </c>
      <c r="U2" s="546" t="s">
        <v>3</v>
      </c>
      <c r="V2" s="180" t="s">
        <v>4</v>
      </c>
      <c r="W2" s="181" t="s">
        <v>5</v>
      </c>
      <c r="X2" s="613"/>
    </row>
    <row r="3" spans="1:24" s="2" customFormat="1" ht="15.75" customHeight="1">
      <c r="A3" s="631" t="str">
        <f>'Components and Space Standards'!A3:E3</f>
        <v>Fitness Spaces</v>
      </c>
      <c r="B3" s="632"/>
      <c r="C3" s="632"/>
      <c r="D3" s="632"/>
      <c r="E3" s="632"/>
      <c r="F3" s="182"/>
      <c r="G3" s="182"/>
      <c r="H3" s="182"/>
      <c r="I3" s="182"/>
      <c r="J3" s="182"/>
      <c r="K3" s="182"/>
      <c r="L3" s="182"/>
      <c r="M3" s="182"/>
      <c r="N3" s="182"/>
      <c r="O3" s="182"/>
      <c r="P3" s="182"/>
      <c r="Q3" s="182"/>
      <c r="R3" s="182"/>
      <c r="S3" s="182"/>
      <c r="T3" s="539"/>
      <c r="U3" s="539"/>
      <c r="V3" s="182"/>
      <c r="W3" s="183"/>
      <c r="X3" s="107"/>
    </row>
    <row r="4" spans="1:24" s="331" customFormat="1" ht="12" customHeight="1">
      <c r="A4" s="184" t="str">
        <f>'Components and Space Standards'!A4:E4</f>
        <v>Lobby/Reception</v>
      </c>
      <c r="B4" s="185"/>
      <c r="C4" s="186"/>
      <c r="D4" s="186"/>
      <c r="E4" s="187"/>
      <c r="F4" s="200"/>
      <c r="G4" s="204"/>
      <c r="H4" s="205"/>
      <c r="I4" s="202"/>
      <c r="J4" s="202"/>
      <c r="K4" s="202"/>
      <c r="L4" s="202"/>
      <c r="M4" s="202"/>
      <c r="N4" s="202"/>
      <c r="O4" s="202"/>
      <c r="P4" s="202"/>
      <c r="Q4" s="202"/>
      <c r="R4" s="200"/>
      <c r="S4" s="204"/>
      <c r="T4" s="528"/>
      <c r="U4" s="524"/>
      <c r="V4" s="204"/>
      <c r="W4" s="329"/>
      <c r="X4" s="330"/>
    </row>
    <row r="5" spans="1:24" s="2" customFormat="1" ht="12" customHeight="1">
      <c r="A5" s="23" t="str">
        <f>'Components and Space Standards'!A5:E5</f>
        <v>Entry Lobby</v>
      </c>
      <c r="B5" s="16">
        <f>'Components and Space Standards'!B5:F5</f>
        <v>9.29</v>
      </c>
      <c r="C5" s="21">
        <f>'Components and Space Standards'!C5:G5</f>
        <v>100</v>
      </c>
      <c r="D5" s="22" t="str">
        <f>'Components and Space Standards'!D5:G5</f>
        <v>Vestibule/Lobby Module(s) (for 2-3 ppl)</v>
      </c>
      <c r="E5" s="22" t="str">
        <f>'Components and Space Standards'!E5:H5</f>
        <v>Vesibule and/or space for 2 to 3 ppl to queue</v>
      </c>
      <c r="F5" s="188">
        <v>1</v>
      </c>
      <c r="G5" s="193">
        <f>$B5*F5</f>
        <v>9.29</v>
      </c>
      <c r="H5" s="191">
        <f>F5*$C5</f>
        <v>100</v>
      </c>
      <c r="I5" s="191">
        <v>2</v>
      </c>
      <c r="J5" s="193">
        <f>$B5*I5</f>
        <v>18.58</v>
      </c>
      <c r="K5" s="191">
        <f>I5*$C5</f>
        <v>200</v>
      </c>
      <c r="L5" s="191">
        <v>3</v>
      </c>
      <c r="M5" s="193">
        <f>$B5*L5</f>
        <v>27.869999999999997</v>
      </c>
      <c r="N5" s="191">
        <f>L5*$C5</f>
        <v>300</v>
      </c>
      <c r="O5" s="191">
        <v>4</v>
      </c>
      <c r="P5" s="193">
        <f>$B5*O5</f>
        <v>37.16</v>
      </c>
      <c r="Q5" s="191">
        <f>O5*$C5</f>
        <v>400</v>
      </c>
      <c r="R5" s="188">
        <v>5</v>
      </c>
      <c r="S5" s="193">
        <f>$B5*R5</f>
        <v>46.449999999999996</v>
      </c>
      <c r="T5" s="191">
        <f>R5*$C5</f>
        <v>500</v>
      </c>
      <c r="U5" s="541">
        <v>1</v>
      </c>
      <c r="V5" s="193">
        <f aca="true" t="shared" si="0" ref="V5:V10">$B5*U5</f>
        <v>9.29</v>
      </c>
      <c r="W5" s="191">
        <f aca="true" t="shared" si="1" ref="W5:W10">U5*$C5</f>
        <v>100</v>
      </c>
      <c r="X5" s="118" t="s">
        <v>175</v>
      </c>
    </row>
    <row r="6" spans="1:24" s="2" customFormat="1" ht="12" customHeight="1">
      <c r="A6" s="23" t="str">
        <f>'Components and Space Standards'!A6:E6</f>
        <v>Control Counter</v>
      </c>
      <c r="B6" s="16">
        <f>'Components and Space Standards'!B6:F6</f>
        <v>11.612499999999999</v>
      </c>
      <c r="C6" s="21">
        <f>'Components and Space Standards'!C6:G6</f>
        <v>125</v>
      </c>
      <c r="D6" s="22" t="str">
        <f>'Components and Space Standards'!D6:G6</f>
        <v>Counter Module(s)</v>
      </c>
      <c r="E6" s="22" t="str">
        <f>'Components and Space Standards'!E6:H6</f>
        <v>Space for counter, space behind, space in front</v>
      </c>
      <c r="F6" s="188">
        <v>1</v>
      </c>
      <c r="G6" s="193">
        <f>$B6*F6</f>
        <v>11.612499999999999</v>
      </c>
      <c r="H6" s="191">
        <f>F6*$C6</f>
        <v>125</v>
      </c>
      <c r="I6" s="191">
        <v>2</v>
      </c>
      <c r="J6" s="193">
        <f>$B6*I6</f>
        <v>23.224999999999998</v>
      </c>
      <c r="K6" s="191">
        <f>I6*$C6</f>
        <v>250</v>
      </c>
      <c r="L6" s="191">
        <v>3</v>
      </c>
      <c r="M6" s="193">
        <f>$B6*L6</f>
        <v>34.8375</v>
      </c>
      <c r="N6" s="191">
        <f>L6*$C6</f>
        <v>375</v>
      </c>
      <c r="O6" s="191">
        <v>4</v>
      </c>
      <c r="P6" s="193">
        <f>$B6*O6</f>
        <v>46.449999999999996</v>
      </c>
      <c r="Q6" s="191">
        <f>O6*$C6</f>
        <v>500</v>
      </c>
      <c r="R6" s="188">
        <v>5</v>
      </c>
      <c r="S6" s="193">
        <f>$B6*R6</f>
        <v>58.06249999999999</v>
      </c>
      <c r="T6" s="191">
        <f>R6*$C6</f>
        <v>625</v>
      </c>
      <c r="U6" s="541">
        <v>1</v>
      </c>
      <c r="V6" s="193">
        <f t="shared" si="0"/>
        <v>11.612499999999999</v>
      </c>
      <c r="W6" s="191">
        <f t="shared" si="1"/>
        <v>125</v>
      </c>
      <c r="X6" s="118" t="s">
        <v>122</v>
      </c>
    </row>
    <row r="7" spans="1:24" s="2" customFormat="1" ht="12" customHeight="1">
      <c r="A7" s="23" t="str">
        <f>'Components and Space Standards'!A7:E7</f>
        <v>Equipment issue storage</v>
      </c>
      <c r="B7" s="16">
        <f>'Components and Space Standards'!B7:F7</f>
        <v>16.2575</v>
      </c>
      <c r="C7" s="21">
        <f>'Components and Space Standards'!C7:G7</f>
        <v>175</v>
      </c>
      <c r="D7" s="22" t="str">
        <f>'Components and Space Standards'!D7:G7</f>
        <v>Storage Module(s)</v>
      </c>
      <c r="E7" s="22" t="str">
        <f>'Components and Space Standards'!E7:H7</f>
        <v>Equipment storage at/behind gear issue </v>
      </c>
      <c r="F7" s="188">
        <v>1</v>
      </c>
      <c r="G7" s="193">
        <f>$B7*F7</f>
        <v>16.2575</v>
      </c>
      <c r="H7" s="191">
        <f>F7*$C7</f>
        <v>175</v>
      </c>
      <c r="I7" s="191">
        <v>2</v>
      </c>
      <c r="J7" s="193">
        <f>$B7*I7</f>
        <v>32.515</v>
      </c>
      <c r="K7" s="191">
        <f>I7*$C7</f>
        <v>350</v>
      </c>
      <c r="L7" s="191">
        <v>3</v>
      </c>
      <c r="M7" s="193">
        <f>$B7*L7</f>
        <v>48.7725</v>
      </c>
      <c r="N7" s="191">
        <f>L7*$C7</f>
        <v>525</v>
      </c>
      <c r="O7" s="191">
        <v>4</v>
      </c>
      <c r="P7" s="193">
        <f>$B7*O7</f>
        <v>65.03</v>
      </c>
      <c r="Q7" s="191">
        <f>O7*$C7</f>
        <v>700</v>
      </c>
      <c r="R7" s="188">
        <v>5</v>
      </c>
      <c r="S7" s="193">
        <f>$B7*R7</f>
        <v>81.2875</v>
      </c>
      <c r="T7" s="191">
        <f>R7*$C7</f>
        <v>875</v>
      </c>
      <c r="U7" s="541">
        <v>1</v>
      </c>
      <c r="V7" s="193">
        <f t="shared" si="0"/>
        <v>16.2575</v>
      </c>
      <c r="W7" s="191">
        <f t="shared" si="1"/>
        <v>175</v>
      </c>
      <c r="X7" s="118" t="s">
        <v>118</v>
      </c>
    </row>
    <row r="8" spans="1:24" s="2" customFormat="1" ht="12" customHeight="1">
      <c r="A8" s="23" t="str">
        <f>'Components and Space Standards'!A8:E8</f>
        <v>Vending</v>
      </c>
      <c r="B8" s="16">
        <f>'Components and Space Standards'!B8:F8</f>
        <v>1.8579999999999999</v>
      </c>
      <c r="C8" s="21">
        <f>'Components and Space Standards'!C8:G8</f>
        <v>20</v>
      </c>
      <c r="D8" s="22" t="str">
        <f>'Components and Space Standards'!D8:G8</f>
        <v>Vending Machine(s)</v>
      </c>
      <c r="E8" s="22" t="str">
        <f>'Components and Space Standards'!E8:H8</f>
        <v>per vending machine</v>
      </c>
      <c r="F8" s="188">
        <v>2</v>
      </c>
      <c r="G8" s="193">
        <f>$B8*F8</f>
        <v>3.7159999999999997</v>
      </c>
      <c r="H8" s="191">
        <f>F8*$C8</f>
        <v>40</v>
      </c>
      <c r="I8" s="191">
        <v>3</v>
      </c>
      <c r="J8" s="193">
        <f>$B8*I8</f>
        <v>5.574</v>
      </c>
      <c r="K8" s="191">
        <f>I8*$C8</f>
        <v>60</v>
      </c>
      <c r="L8" s="191">
        <v>4</v>
      </c>
      <c r="M8" s="193">
        <f>$B8*L8</f>
        <v>7.4319999999999995</v>
      </c>
      <c r="N8" s="191">
        <f>L8*$C8</f>
        <v>80</v>
      </c>
      <c r="O8" s="191">
        <v>6</v>
      </c>
      <c r="P8" s="193">
        <f>$B8*O8</f>
        <v>11.148</v>
      </c>
      <c r="Q8" s="191">
        <f>O8*$C8</f>
        <v>120</v>
      </c>
      <c r="R8" s="188">
        <v>7</v>
      </c>
      <c r="S8" s="193">
        <f>$B8*R8</f>
        <v>13.005999999999998</v>
      </c>
      <c r="T8" s="191">
        <f>R8*$C8</f>
        <v>140</v>
      </c>
      <c r="U8" s="541">
        <v>1</v>
      </c>
      <c r="V8" s="193">
        <f t="shared" si="0"/>
        <v>1.8579999999999999</v>
      </c>
      <c r="W8" s="191">
        <f t="shared" si="1"/>
        <v>20</v>
      </c>
      <c r="X8" s="118" t="s">
        <v>121</v>
      </c>
    </row>
    <row r="9" spans="1:24" s="2" customFormat="1" ht="12" customHeight="1">
      <c r="A9" s="23" t="str">
        <f>'Components and Space Standards'!A9:E9</f>
        <v>Waiting/Display</v>
      </c>
      <c r="B9" s="16">
        <f>'Components and Space Standards'!B9:F9</f>
        <v>8.360999999999999</v>
      </c>
      <c r="C9" s="21">
        <f>'Components and Space Standards'!C9:G9</f>
        <v>90</v>
      </c>
      <c r="D9" s="22" t="str">
        <f>'Components and Space Standards'!D9:G9</f>
        <v>Seating/Display Module(s) (for 4 ppl)</v>
      </c>
      <c r="E9" s="22" t="str">
        <f>'Components and Space Standards'!E9:H9</f>
        <v>Space for seating for 4 ppl and display area</v>
      </c>
      <c r="F9" s="188">
        <v>1</v>
      </c>
      <c r="G9" s="193">
        <f>$B9*F9</f>
        <v>8.360999999999999</v>
      </c>
      <c r="H9" s="191">
        <f>F9*$C9</f>
        <v>90</v>
      </c>
      <c r="I9" s="191">
        <v>2</v>
      </c>
      <c r="J9" s="193">
        <f>$B9*I9</f>
        <v>16.721999999999998</v>
      </c>
      <c r="K9" s="191">
        <f>I9*$C9</f>
        <v>180</v>
      </c>
      <c r="L9" s="191">
        <v>4</v>
      </c>
      <c r="M9" s="193">
        <f>$B9*L9</f>
        <v>33.443999999999996</v>
      </c>
      <c r="N9" s="191">
        <f>L9*$C9</f>
        <v>360</v>
      </c>
      <c r="O9" s="191">
        <v>6</v>
      </c>
      <c r="P9" s="193">
        <f>$B9*O9</f>
        <v>50.166</v>
      </c>
      <c r="Q9" s="191">
        <f>O9*$C9</f>
        <v>540</v>
      </c>
      <c r="R9" s="188">
        <v>7</v>
      </c>
      <c r="S9" s="193">
        <f>$B9*R9</f>
        <v>58.526999999999994</v>
      </c>
      <c r="T9" s="191">
        <f>R9*$C9</f>
        <v>630</v>
      </c>
      <c r="U9" s="541">
        <v>1</v>
      </c>
      <c r="V9" s="193">
        <f t="shared" si="0"/>
        <v>8.360999999999999</v>
      </c>
      <c r="W9" s="191">
        <f t="shared" si="1"/>
        <v>90</v>
      </c>
      <c r="X9" s="108" t="s">
        <v>178</v>
      </c>
    </row>
    <row r="10" spans="1:24" s="2" customFormat="1" ht="12" customHeight="1">
      <c r="A10" s="23" t="str">
        <f>'Components and Space Standards'!A10:E10</f>
        <v>Spectator peak-time circulation</v>
      </c>
      <c r="B10" s="16">
        <f>'Components and Space Standards'!B10:F10</f>
        <v>27.869999999999997</v>
      </c>
      <c r="C10" s="21">
        <f>'Components and Space Standards'!C10:G10</f>
        <v>300</v>
      </c>
      <c r="D10" s="22" t="str">
        <f>'Components and Space Standards'!D10:G10</f>
        <v>Circulation Module(s)</v>
      </c>
      <c r="E10" s="22" t="str">
        <f>'Components and Space Standards'!E10:H10</f>
        <v>Per one-side bleachers - driven by gym size</v>
      </c>
      <c r="F10" s="194"/>
      <c r="G10" s="195"/>
      <c r="H10" s="196"/>
      <c r="I10" s="196"/>
      <c r="J10" s="195"/>
      <c r="K10" s="196"/>
      <c r="L10" s="196"/>
      <c r="M10" s="195"/>
      <c r="N10" s="196"/>
      <c r="O10" s="196"/>
      <c r="P10" s="195"/>
      <c r="Q10" s="196"/>
      <c r="R10" s="194"/>
      <c r="S10" s="195"/>
      <c r="T10" s="196"/>
      <c r="U10" s="525">
        <v>0</v>
      </c>
      <c r="V10" s="195">
        <f t="shared" si="0"/>
        <v>0</v>
      </c>
      <c r="W10" s="196">
        <f t="shared" si="1"/>
        <v>0</v>
      </c>
      <c r="X10" s="108" t="s">
        <v>180</v>
      </c>
    </row>
    <row r="11" spans="1:24" s="2" customFormat="1" ht="12" customHeight="1">
      <c r="A11" s="23" t="str">
        <f>'Components and Space Standards'!A11:E11</f>
        <v>Public restrooms/phones</v>
      </c>
      <c r="B11" s="457">
        <f>'Components and Space Standards'!B11:F11</f>
        <v>0</v>
      </c>
      <c r="C11" s="494">
        <f>'Components and Space Standards'!C11:G11</f>
        <v>0</v>
      </c>
      <c r="D11" s="495" t="str">
        <f>'Components and Space Standards'!D11:G11</f>
        <v>Public Restroom(s)</v>
      </c>
      <c r="E11" s="22" t="str">
        <f>'Components and Space Standards'!E11:H11</f>
        <v>Option - Driven by gym size</v>
      </c>
      <c r="F11" s="194"/>
      <c r="G11" s="195"/>
      <c r="H11" s="196"/>
      <c r="I11" s="196"/>
      <c r="J11" s="195"/>
      <c r="K11" s="196"/>
      <c r="L11" s="196"/>
      <c r="M11" s="195"/>
      <c r="N11" s="196"/>
      <c r="O11" s="196"/>
      <c r="P11" s="195"/>
      <c r="Q11" s="196"/>
      <c r="R11" s="194"/>
      <c r="S11" s="195"/>
      <c r="T11" s="196"/>
      <c r="U11" s="526"/>
      <c r="V11" s="195"/>
      <c r="W11" s="196"/>
      <c r="X11" s="108" t="s">
        <v>130</v>
      </c>
    </row>
    <row r="12" spans="1:24" s="331" customFormat="1" ht="12" customHeight="1">
      <c r="A12" s="184" t="str">
        <f>'Components and Space Standards'!A12:E12</f>
        <v>Gymnasium</v>
      </c>
      <c r="B12" s="185"/>
      <c r="C12" s="186"/>
      <c r="D12" s="186"/>
      <c r="E12" s="187"/>
      <c r="F12" s="200"/>
      <c r="G12" s="201"/>
      <c r="H12" s="202"/>
      <c r="I12" s="202"/>
      <c r="J12" s="201"/>
      <c r="K12" s="202"/>
      <c r="L12" s="202"/>
      <c r="M12" s="201"/>
      <c r="N12" s="202"/>
      <c r="O12" s="202"/>
      <c r="P12" s="201"/>
      <c r="Q12" s="202"/>
      <c r="R12" s="200"/>
      <c r="S12" s="201"/>
      <c r="T12" s="202"/>
      <c r="U12" s="524"/>
      <c r="V12" s="201"/>
      <c r="W12" s="202"/>
      <c r="X12" s="330"/>
    </row>
    <row r="13" spans="1:24" s="2" customFormat="1" ht="12" customHeight="1">
      <c r="A13" s="23" t="str">
        <f>'Components and Space Standards'!A13:E13</f>
        <v>Basketball/volleyball Court</v>
      </c>
      <c r="B13" s="16">
        <f>'Components and Space Standards'!B13:F13</f>
        <v>826.0668</v>
      </c>
      <c r="C13" s="21">
        <f>'Components and Space Standards'!C13:G13</f>
        <v>8892</v>
      </c>
      <c r="D13" s="275" t="str">
        <f>'Components and Space Standards'!D13:G13</f>
        <v>One-court/200-seat Module(s)</v>
      </c>
      <c r="E13" s="17" t="str">
        <f>'Components and Space Standards'!E13:H13</f>
        <v>NCAA Court + 10' safety + 200 seats (one side)</v>
      </c>
      <c r="F13" s="188">
        <v>1</v>
      </c>
      <c r="G13" s="193">
        <f aca="true" t="shared" si="2" ref="G13:G18">$B13*F13</f>
        <v>826.0668</v>
      </c>
      <c r="H13" s="191">
        <f aca="true" t="shared" si="3" ref="H13:H18">F13*$C13</f>
        <v>8892</v>
      </c>
      <c r="I13" s="191"/>
      <c r="J13" s="193">
        <f aca="true" t="shared" si="4" ref="J13:J18">$B13*I13</f>
        <v>0</v>
      </c>
      <c r="K13" s="191">
        <f aca="true" t="shared" si="5" ref="K13:K18">I13*$C13</f>
        <v>0</v>
      </c>
      <c r="L13" s="191">
        <v>1</v>
      </c>
      <c r="M13" s="193">
        <f aca="true" t="shared" si="6" ref="M13:M18">$B13*L13</f>
        <v>826.0668</v>
      </c>
      <c r="N13" s="191">
        <f aca="true" t="shared" si="7" ref="N13:N18">L13*$C13</f>
        <v>8892</v>
      </c>
      <c r="O13" s="191"/>
      <c r="P13" s="193">
        <f aca="true" t="shared" si="8" ref="P13:P18">$B13*O13</f>
        <v>0</v>
      </c>
      <c r="Q13" s="191">
        <f aca="true" t="shared" si="9" ref="Q13:Q18">O13*$C13</f>
        <v>0</v>
      </c>
      <c r="R13" s="188">
        <v>1</v>
      </c>
      <c r="S13" s="193">
        <f aca="true" t="shared" si="10" ref="S13:S18">$B13*R13</f>
        <v>826.0668</v>
      </c>
      <c r="T13" s="191">
        <f aca="true" t="shared" si="11" ref="T13:T18">R13*$C13</f>
        <v>8892</v>
      </c>
      <c r="U13" s="541">
        <v>1</v>
      </c>
      <c r="V13" s="193">
        <f aca="true" t="shared" si="12" ref="V13:V18">$B13*U13</f>
        <v>826.0668</v>
      </c>
      <c r="W13" s="191">
        <f aca="true" t="shared" si="13" ref="W13:W18">U13*$C13</f>
        <v>8892</v>
      </c>
      <c r="X13" s="610" t="s">
        <v>70</v>
      </c>
    </row>
    <row r="14" spans="1:24" s="2" customFormat="1" ht="12" customHeight="1">
      <c r="A14" s="293" t="str">
        <f>'Components and Space Standards'!A14:E14</f>
        <v>Two Court Module</v>
      </c>
      <c r="B14" s="16">
        <f>'Components and Space Standards'!B14:F14</f>
        <v>1630.9524</v>
      </c>
      <c r="C14" s="21">
        <f>'Components and Space Standards'!C14:G14</f>
        <v>17556</v>
      </c>
      <c r="D14" s="275" t="str">
        <f>'Components and Space Standards'!D14:G14</f>
        <v>Two-court/200-seat Module(s)</v>
      </c>
      <c r="E14" s="17" t="str">
        <f>'Components and Space Standards'!E14:H14</f>
        <v>Two courts + 10' safety, 16' between cts, + 200 seats</v>
      </c>
      <c r="F14" s="188"/>
      <c r="G14" s="193">
        <f t="shared" si="2"/>
        <v>0</v>
      </c>
      <c r="H14" s="191">
        <f t="shared" si="3"/>
        <v>0</v>
      </c>
      <c r="I14" s="191"/>
      <c r="J14" s="193">
        <f t="shared" si="4"/>
        <v>0</v>
      </c>
      <c r="K14" s="191">
        <f t="shared" si="5"/>
        <v>0</v>
      </c>
      <c r="L14" s="191"/>
      <c r="M14" s="193">
        <f t="shared" si="6"/>
        <v>0</v>
      </c>
      <c r="N14" s="191">
        <f t="shared" si="7"/>
        <v>0</v>
      </c>
      <c r="O14" s="191">
        <v>1</v>
      </c>
      <c r="P14" s="193">
        <f t="shared" si="8"/>
        <v>1630.9524</v>
      </c>
      <c r="Q14" s="191">
        <f t="shared" si="9"/>
        <v>17556</v>
      </c>
      <c r="R14" s="188">
        <v>1</v>
      </c>
      <c r="S14" s="193">
        <f t="shared" si="10"/>
        <v>1630.9524</v>
      </c>
      <c r="T14" s="191">
        <f t="shared" si="11"/>
        <v>17556</v>
      </c>
      <c r="U14" s="541"/>
      <c r="V14" s="193">
        <f t="shared" si="12"/>
        <v>0</v>
      </c>
      <c r="W14" s="191">
        <f t="shared" si="13"/>
        <v>0</v>
      </c>
      <c r="X14" s="623"/>
    </row>
    <row r="15" spans="1:24" s="2" customFormat="1" ht="12" customHeight="1">
      <c r="A15" s="293" t="str">
        <f>'Components and Space Standards'!A15:E15</f>
        <v>Arena-style Two-Court Module</v>
      </c>
      <c r="B15" s="16">
        <f>'Components and Space Standards'!B15:F15</f>
        <v>1708.6168</v>
      </c>
      <c r="C15" s="21">
        <f>'Components and Space Standards'!C15:G15</f>
        <v>18392</v>
      </c>
      <c r="D15" s="275" t="str">
        <f>'Components and Space Standards'!D15:G15</f>
        <v>Arena-style Two-Court Module(s)</v>
      </c>
      <c r="E15" s="17" t="str">
        <f>'Components and Space Standards'!E15:H15</f>
        <v>Provides space for arena-style seating for center, longitudinal ct.</v>
      </c>
      <c r="F15" s="188"/>
      <c r="G15" s="193">
        <f t="shared" si="2"/>
        <v>0</v>
      </c>
      <c r="H15" s="191">
        <f t="shared" si="3"/>
        <v>0</v>
      </c>
      <c r="I15" s="191">
        <v>1</v>
      </c>
      <c r="J15" s="193">
        <f t="shared" si="4"/>
        <v>1708.6168</v>
      </c>
      <c r="K15" s="191">
        <f t="shared" si="5"/>
        <v>18392</v>
      </c>
      <c r="L15" s="191">
        <v>1</v>
      </c>
      <c r="M15" s="193">
        <f t="shared" si="6"/>
        <v>1708.6168</v>
      </c>
      <c r="N15" s="191">
        <f t="shared" si="7"/>
        <v>18392</v>
      </c>
      <c r="O15" s="191">
        <v>1</v>
      </c>
      <c r="P15" s="193">
        <f t="shared" si="8"/>
        <v>1708.6168</v>
      </c>
      <c r="Q15" s="191">
        <f t="shared" si="9"/>
        <v>18392</v>
      </c>
      <c r="R15" s="188">
        <v>1</v>
      </c>
      <c r="S15" s="193">
        <f t="shared" si="10"/>
        <v>1708.6168</v>
      </c>
      <c r="T15" s="191">
        <f t="shared" si="11"/>
        <v>18392</v>
      </c>
      <c r="U15" s="541"/>
      <c r="V15" s="193">
        <f t="shared" si="12"/>
        <v>0</v>
      </c>
      <c r="W15" s="191">
        <f t="shared" si="13"/>
        <v>0</v>
      </c>
      <c r="X15" s="623"/>
    </row>
    <row r="16" spans="1:24" s="2" customFormat="1" ht="12" customHeight="1">
      <c r="A16" s="23" t="str">
        <f>'Components and Space Standards'!A16:E16</f>
        <v>Additional Spectator seating</v>
      </c>
      <c r="B16" s="16">
        <f>'Components and Space Standards'!B16:F16</f>
        <v>84.70621999999999</v>
      </c>
      <c r="C16" s="21">
        <f>'Components and Space Standards'!C16:G16</f>
        <v>911.8</v>
      </c>
      <c r="D16" s="275" t="str">
        <f>'Components and Space Standards'!D16:G16</f>
        <v>Additional 200-seat Module(s)</v>
      </c>
      <c r="E16" s="17" t="str">
        <f>'Components and Space Standards'!E16:H16</f>
        <v>Four rows of seats (one ea. side) = 200 ppl.</v>
      </c>
      <c r="F16" s="188">
        <v>1</v>
      </c>
      <c r="G16" s="193">
        <f t="shared" si="2"/>
        <v>84.70621999999999</v>
      </c>
      <c r="H16" s="191">
        <f t="shared" si="3"/>
        <v>911.8</v>
      </c>
      <c r="I16" s="191"/>
      <c r="J16" s="193">
        <f t="shared" si="4"/>
        <v>0</v>
      </c>
      <c r="K16" s="191">
        <f t="shared" si="5"/>
        <v>0</v>
      </c>
      <c r="L16" s="191"/>
      <c r="M16" s="193">
        <f t="shared" si="6"/>
        <v>0</v>
      </c>
      <c r="N16" s="191">
        <f t="shared" si="7"/>
        <v>0</v>
      </c>
      <c r="O16" s="191"/>
      <c r="P16" s="193">
        <f t="shared" si="8"/>
        <v>0</v>
      </c>
      <c r="Q16" s="191">
        <f t="shared" si="9"/>
        <v>0</v>
      </c>
      <c r="R16" s="188"/>
      <c r="S16" s="193">
        <f t="shared" si="10"/>
        <v>0</v>
      </c>
      <c r="T16" s="191">
        <f t="shared" si="11"/>
        <v>0</v>
      </c>
      <c r="U16" s="541"/>
      <c r="V16" s="193">
        <f t="shared" si="12"/>
        <v>0</v>
      </c>
      <c r="W16" s="191">
        <f t="shared" si="13"/>
        <v>0</v>
      </c>
      <c r="X16" s="611"/>
    </row>
    <row r="17" spans="1:24" s="2" customFormat="1" ht="12" customHeight="1">
      <c r="A17" s="23" t="str">
        <f>'Components and Space Standards'!A17:E17</f>
        <v>Basic storage/support</v>
      </c>
      <c r="B17" s="16">
        <f>'Components and Space Standards'!B17:F17</f>
        <v>65.03</v>
      </c>
      <c r="C17" s="11">
        <f>'Components and Space Standards'!C17:G17</f>
        <v>700</v>
      </c>
      <c r="D17" s="275" t="str">
        <f>'Components and Space Standards'!D17:G17</f>
        <v>Storage Module(s)</v>
      </c>
      <c r="E17" s="17" t="str">
        <f>'Components and Space Standards'!E17:H17</f>
        <v>Roughly 8% of base gym area</v>
      </c>
      <c r="F17" s="188">
        <v>1</v>
      </c>
      <c r="G17" s="193">
        <f t="shared" si="2"/>
        <v>65.03</v>
      </c>
      <c r="H17" s="191">
        <f t="shared" si="3"/>
        <v>700</v>
      </c>
      <c r="I17" s="191">
        <v>1</v>
      </c>
      <c r="J17" s="193">
        <f t="shared" si="4"/>
        <v>65.03</v>
      </c>
      <c r="K17" s="191">
        <f t="shared" si="5"/>
        <v>700</v>
      </c>
      <c r="L17" s="191">
        <v>1</v>
      </c>
      <c r="M17" s="193">
        <f t="shared" si="6"/>
        <v>65.03</v>
      </c>
      <c r="N17" s="191">
        <f t="shared" si="7"/>
        <v>700</v>
      </c>
      <c r="O17" s="191">
        <v>1</v>
      </c>
      <c r="P17" s="193">
        <f t="shared" si="8"/>
        <v>65.03</v>
      </c>
      <c r="Q17" s="191">
        <f t="shared" si="9"/>
        <v>700</v>
      </c>
      <c r="R17" s="188">
        <v>1</v>
      </c>
      <c r="S17" s="193">
        <f t="shared" si="10"/>
        <v>65.03</v>
      </c>
      <c r="T17" s="191">
        <f t="shared" si="11"/>
        <v>700</v>
      </c>
      <c r="U17" s="541"/>
      <c r="V17" s="193">
        <f t="shared" si="12"/>
        <v>0</v>
      </c>
      <c r="W17" s="191">
        <f t="shared" si="13"/>
        <v>0</v>
      </c>
      <c r="X17" s="108"/>
    </row>
    <row r="18" spans="1:24" s="2" customFormat="1" ht="12" customHeight="1">
      <c r="A18" s="23" t="str">
        <f>'Components and Space Standards'!A18:E18</f>
        <v>Additional court storage</v>
      </c>
      <c r="B18" s="16">
        <f>'Components and Space Standards'!B18:F18</f>
        <v>32.515</v>
      </c>
      <c r="C18" s="11">
        <f>'Components and Space Standards'!C18:G18</f>
        <v>350</v>
      </c>
      <c r="D18" s="275" t="str">
        <f>'Components and Space Standards'!D18:G18</f>
        <v>Additional storage module(s)</v>
      </c>
      <c r="E18" s="17" t="str">
        <f>'Components and Space Standards'!E18:H18</f>
        <v>Storage space per additional court</v>
      </c>
      <c r="F18" s="188"/>
      <c r="G18" s="193">
        <f t="shared" si="2"/>
        <v>0</v>
      </c>
      <c r="H18" s="191">
        <f t="shared" si="3"/>
        <v>0</v>
      </c>
      <c r="I18" s="191">
        <v>1</v>
      </c>
      <c r="J18" s="193">
        <f t="shared" si="4"/>
        <v>32.515</v>
      </c>
      <c r="K18" s="191">
        <f t="shared" si="5"/>
        <v>350</v>
      </c>
      <c r="L18" s="191">
        <v>2</v>
      </c>
      <c r="M18" s="193">
        <f t="shared" si="6"/>
        <v>65.03</v>
      </c>
      <c r="N18" s="191">
        <f t="shared" si="7"/>
        <v>700</v>
      </c>
      <c r="O18" s="191">
        <v>2</v>
      </c>
      <c r="P18" s="193">
        <f t="shared" si="8"/>
        <v>65.03</v>
      </c>
      <c r="Q18" s="191">
        <f t="shared" si="9"/>
        <v>700</v>
      </c>
      <c r="R18" s="188">
        <v>3</v>
      </c>
      <c r="S18" s="193">
        <f t="shared" si="10"/>
        <v>97.545</v>
      </c>
      <c r="T18" s="191">
        <f t="shared" si="11"/>
        <v>1050</v>
      </c>
      <c r="U18" s="541">
        <v>1</v>
      </c>
      <c r="V18" s="193">
        <f t="shared" si="12"/>
        <v>32.515</v>
      </c>
      <c r="W18" s="191">
        <f t="shared" si="13"/>
        <v>350</v>
      </c>
      <c r="X18" s="108"/>
    </row>
    <row r="19" spans="1:24" s="331" customFormat="1" ht="12" customHeight="1">
      <c r="A19" s="184" t="str">
        <f>'Components and Space Standards'!A19:E19</f>
        <v>Unit PT/Group Exercise</v>
      </c>
      <c r="B19" s="185"/>
      <c r="C19" s="197"/>
      <c r="D19" s="197"/>
      <c r="E19" s="198"/>
      <c r="F19" s="200"/>
      <c r="G19" s="201"/>
      <c r="H19" s="202"/>
      <c r="I19" s="202"/>
      <c r="J19" s="201"/>
      <c r="K19" s="202"/>
      <c r="L19" s="202"/>
      <c r="M19" s="201"/>
      <c r="N19" s="202"/>
      <c r="O19" s="202"/>
      <c r="P19" s="201"/>
      <c r="Q19" s="202"/>
      <c r="R19" s="200"/>
      <c r="S19" s="201"/>
      <c r="T19" s="202"/>
      <c r="U19" s="524"/>
      <c r="V19" s="201"/>
      <c r="W19" s="202"/>
      <c r="X19" s="332"/>
    </row>
    <row r="20" spans="1:24" s="2" customFormat="1" ht="12" customHeight="1">
      <c r="A20" s="23" t="str">
        <f>'Components and Space Standards'!A20:E20</f>
        <v>Partitionable Room(s)</v>
      </c>
      <c r="B20" s="119">
        <f>'Components and Space Standards'!B20:F20</f>
        <v>4.645</v>
      </c>
      <c r="C20" s="11">
        <f>'Components and Space Standards'!C20:G20</f>
        <v>50</v>
      </c>
      <c r="D20" s="275" t="str">
        <f>'Components and Space Standards'!D20:G20</f>
        <v>people at 4.6 m2 (50 ft.2)/person</v>
      </c>
      <c r="E20" s="17" t="str">
        <f>'Components and Space Standards'!E20:H20</f>
        <v>116.1 m2 (1,250 ft.2) (25 ppl) minimum size</v>
      </c>
      <c r="F20" s="188">
        <v>44</v>
      </c>
      <c r="G20" s="193">
        <f>$B20*F20</f>
        <v>204.38</v>
      </c>
      <c r="H20" s="191">
        <f>F20*$C20</f>
        <v>2200</v>
      </c>
      <c r="I20" s="191">
        <v>58</v>
      </c>
      <c r="J20" s="193">
        <f>$B20*I20</f>
        <v>269.40999999999997</v>
      </c>
      <c r="K20" s="191">
        <f>I20*$C20</f>
        <v>2900</v>
      </c>
      <c r="L20" s="191">
        <v>91</v>
      </c>
      <c r="M20" s="193">
        <f>$B20*L20</f>
        <v>422.69499999999994</v>
      </c>
      <c r="N20" s="191">
        <f>L20*$C20</f>
        <v>4550</v>
      </c>
      <c r="O20" s="191">
        <v>140</v>
      </c>
      <c r="P20" s="193">
        <f>$B20*O20</f>
        <v>650.3</v>
      </c>
      <c r="Q20" s="191">
        <f>O20*$C20</f>
        <v>7000</v>
      </c>
      <c r="R20" s="188">
        <v>210</v>
      </c>
      <c r="S20" s="193">
        <f>$B20*R20</f>
        <v>975.4499999999999</v>
      </c>
      <c r="T20" s="191">
        <f>R20*$C20</f>
        <v>10500</v>
      </c>
      <c r="U20" s="541">
        <v>70</v>
      </c>
      <c r="V20" s="193">
        <f>$B20*U20</f>
        <v>325.15</v>
      </c>
      <c r="W20" s="191">
        <f>U20*$C20</f>
        <v>3500</v>
      </c>
      <c r="X20" s="118" t="s">
        <v>75</v>
      </c>
    </row>
    <row r="21" spans="1:24" s="2" customFormat="1" ht="12" customHeight="1">
      <c r="A21" s="23" t="str">
        <f>'Components and Space Standards'!A21:E21</f>
        <v>Storage/support</v>
      </c>
      <c r="B21" s="119">
        <f>'Components and Space Standards'!B21:F21</f>
        <v>0.46449999999999997</v>
      </c>
      <c r="C21" s="11">
        <f>'Components and Space Standards'!C21:G21</f>
        <v>5</v>
      </c>
      <c r="D21" s="275" t="str">
        <f>'Components and Space Standards'!D21:G21</f>
        <v>10% of partitionable room area</v>
      </c>
      <c r="E21" s="17" t="str">
        <f>'Components and Space Standards'!E21:H21</f>
        <v>11.6 m2 (125 ft.2) minimum (10% of room area)</v>
      </c>
      <c r="F21" s="188">
        <v>44</v>
      </c>
      <c r="G21" s="193">
        <f>$B21*F21</f>
        <v>20.438</v>
      </c>
      <c r="H21" s="191">
        <f>F21*$C21</f>
        <v>220</v>
      </c>
      <c r="I21" s="191">
        <v>58</v>
      </c>
      <c r="J21" s="193">
        <f>$B21*I21</f>
        <v>26.941</v>
      </c>
      <c r="K21" s="191">
        <f>I21*$C21</f>
        <v>290</v>
      </c>
      <c r="L21" s="191">
        <v>91</v>
      </c>
      <c r="M21" s="193">
        <f>$B21*L21</f>
        <v>42.269499999999994</v>
      </c>
      <c r="N21" s="191">
        <f>L21*$C21</f>
        <v>455</v>
      </c>
      <c r="O21" s="191">
        <v>140</v>
      </c>
      <c r="P21" s="193">
        <f>$B21*O21</f>
        <v>65.03</v>
      </c>
      <c r="Q21" s="191">
        <f>O21*$C21</f>
        <v>700</v>
      </c>
      <c r="R21" s="188">
        <v>210</v>
      </c>
      <c r="S21" s="193">
        <f>$B21*R21</f>
        <v>97.54499999999999</v>
      </c>
      <c r="T21" s="191">
        <f>R21*$C21</f>
        <v>1050</v>
      </c>
      <c r="U21" s="541">
        <v>70</v>
      </c>
      <c r="V21" s="193">
        <f>$B21*U21</f>
        <v>32.515</v>
      </c>
      <c r="W21" s="191">
        <f>U21*$C21</f>
        <v>350</v>
      </c>
      <c r="X21" s="108"/>
    </row>
    <row r="22" spans="1:24" s="331" customFormat="1" ht="12" customHeight="1">
      <c r="A22" s="184" t="str">
        <f>'Components and Space Standards'!A22:E22</f>
        <v>Fitness Spaces</v>
      </c>
      <c r="B22" s="185"/>
      <c r="C22" s="197"/>
      <c r="D22" s="197"/>
      <c r="E22" s="199"/>
      <c r="F22" s="200"/>
      <c r="G22" s="201"/>
      <c r="H22" s="202"/>
      <c r="I22" s="202"/>
      <c r="J22" s="201"/>
      <c r="K22" s="202"/>
      <c r="L22" s="202"/>
      <c r="M22" s="201"/>
      <c r="N22" s="202"/>
      <c r="O22" s="202"/>
      <c r="P22" s="201"/>
      <c r="Q22" s="202"/>
      <c r="R22" s="200"/>
      <c r="S22" s="201"/>
      <c r="T22" s="202"/>
      <c r="U22" s="524"/>
      <c r="V22" s="201"/>
      <c r="W22" s="202"/>
      <c r="X22" s="330"/>
    </row>
    <row r="23" spans="1:24" s="2" customFormat="1" ht="12" customHeight="1">
      <c r="A23" s="23" t="str">
        <f>'Components and Space Standards'!A23:E23</f>
        <v>Stretching</v>
      </c>
      <c r="B23" s="119">
        <f>'Components and Space Standards'!B23:F23</f>
        <v>4.645</v>
      </c>
      <c r="C23" s="11">
        <f>'Components and Space Standards'!C23:G23</f>
        <v>50</v>
      </c>
      <c r="D23" s="275" t="str">
        <f>'Components and Space Standards'!D23:G23</f>
        <v>people at 4.6 m2 (50 ft.2)/person</v>
      </c>
      <c r="E23" s="17" t="str">
        <f>'Components and Space Standards'!E23:H23</f>
        <v>50 sf per person - min. 2 ppl</v>
      </c>
      <c r="F23" s="188">
        <v>2</v>
      </c>
      <c r="G23" s="193">
        <f aca="true" t="shared" si="14" ref="G23:G28">$B23*F23</f>
        <v>9.29</v>
      </c>
      <c r="H23" s="191">
        <f aca="true" t="shared" si="15" ref="H23:H28">F23*$C23</f>
        <v>100</v>
      </c>
      <c r="I23" s="191">
        <v>3</v>
      </c>
      <c r="J23" s="193">
        <f aca="true" t="shared" si="16" ref="J23:J28">$B23*I23</f>
        <v>13.934999999999999</v>
      </c>
      <c r="K23" s="191">
        <f aca="true" t="shared" si="17" ref="K23:K28">I23*$C23</f>
        <v>150</v>
      </c>
      <c r="L23" s="191">
        <v>4</v>
      </c>
      <c r="M23" s="193">
        <f aca="true" t="shared" si="18" ref="M23:M28">$B23*L23</f>
        <v>18.58</v>
      </c>
      <c r="N23" s="191">
        <f aca="true" t="shared" si="19" ref="N23:N28">L23*$C23</f>
        <v>200</v>
      </c>
      <c r="O23" s="191">
        <v>5</v>
      </c>
      <c r="P23" s="193">
        <f aca="true" t="shared" si="20" ref="P23:P28">$B23*O23</f>
        <v>23.224999999999998</v>
      </c>
      <c r="Q23" s="191">
        <f aca="true" t="shared" si="21" ref="Q23:Q28">O23*$C23</f>
        <v>250</v>
      </c>
      <c r="R23" s="188">
        <v>6</v>
      </c>
      <c r="S23" s="193">
        <f aca="true" t="shared" si="22" ref="S23:S28">$B23*R23</f>
        <v>27.869999999999997</v>
      </c>
      <c r="T23" s="191">
        <f aca="true" t="shared" si="23" ref="T23:T28">R23*$C23</f>
        <v>300</v>
      </c>
      <c r="U23" s="541">
        <v>1</v>
      </c>
      <c r="V23" s="193">
        <f aca="true" t="shared" si="24" ref="V23:V28">$B23*U23</f>
        <v>4.645</v>
      </c>
      <c r="W23" s="191">
        <f aca="true" t="shared" si="25" ref="W23:W28">U23*$C23</f>
        <v>50</v>
      </c>
      <c r="X23" s="610" t="s">
        <v>108</v>
      </c>
    </row>
    <row r="24" spans="1:24" s="2" customFormat="1" ht="12" customHeight="1">
      <c r="A24" s="23" t="str">
        <f>'Components and Space Standards'!A24:E24</f>
        <v>Cardiovascular Equipment</v>
      </c>
      <c r="B24" s="119">
        <f>'Components and Space Standards'!B24:F24</f>
        <v>4.645</v>
      </c>
      <c r="C24" s="11">
        <f>'Components and Space Standards'!C24:G24</f>
        <v>50</v>
      </c>
      <c r="D24" s="275" t="str">
        <f>'Components and Space Standards'!D24:G24</f>
        <v>items at 4.6 m2 (50 ft.2)/item</v>
      </c>
      <c r="E24" s="17" t="str">
        <f>'Components and Space Standards'!E24:H24</f>
        <v>50 sf per station</v>
      </c>
      <c r="F24" s="188">
        <v>11</v>
      </c>
      <c r="G24" s="193">
        <f t="shared" si="14"/>
        <v>51.095</v>
      </c>
      <c r="H24" s="191">
        <f t="shared" si="15"/>
        <v>550</v>
      </c>
      <c r="I24" s="191">
        <v>27</v>
      </c>
      <c r="J24" s="193">
        <f t="shared" si="16"/>
        <v>125.41499999999999</v>
      </c>
      <c r="K24" s="191">
        <f t="shared" si="17"/>
        <v>1350</v>
      </c>
      <c r="L24" s="191">
        <v>51</v>
      </c>
      <c r="M24" s="193">
        <f t="shared" si="18"/>
        <v>236.89499999999998</v>
      </c>
      <c r="N24" s="191">
        <f t="shared" si="19"/>
        <v>2550</v>
      </c>
      <c r="O24" s="191">
        <v>80</v>
      </c>
      <c r="P24" s="193">
        <f t="shared" si="20"/>
        <v>371.59999999999997</v>
      </c>
      <c r="Q24" s="191">
        <f t="shared" si="21"/>
        <v>4000</v>
      </c>
      <c r="R24" s="188">
        <v>120</v>
      </c>
      <c r="S24" s="193">
        <f t="shared" si="22"/>
        <v>557.4</v>
      </c>
      <c r="T24" s="191">
        <f t="shared" si="23"/>
        <v>6000</v>
      </c>
      <c r="U24" s="541">
        <v>40</v>
      </c>
      <c r="V24" s="193">
        <f t="shared" si="24"/>
        <v>185.79999999999998</v>
      </c>
      <c r="W24" s="191">
        <f t="shared" si="25"/>
        <v>2000</v>
      </c>
      <c r="X24" s="623"/>
    </row>
    <row r="25" spans="1:24" s="2" customFormat="1" ht="12" customHeight="1">
      <c r="A25" s="23" t="str">
        <f>'Components and Space Standards'!A25:E25</f>
        <v>Selectorized (machine) weights</v>
      </c>
      <c r="B25" s="119">
        <f>'Components and Space Standards'!B25:F25</f>
        <v>4.645</v>
      </c>
      <c r="C25" s="11">
        <f>'Components and Space Standards'!C25:G25</f>
        <v>50</v>
      </c>
      <c r="D25" s="275" t="str">
        <f>'Components and Space Standards'!D25:G25</f>
        <v>items at 4.6 m2 (50 ft.2)/item</v>
      </c>
      <c r="E25" s="17" t="str">
        <f>'Components and Space Standards'!E25:H25</f>
        <v>50 sf per station</v>
      </c>
      <c r="F25" s="188">
        <v>16</v>
      </c>
      <c r="G25" s="193">
        <f t="shared" si="14"/>
        <v>74.32</v>
      </c>
      <c r="H25" s="191">
        <f t="shared" si="15"/>
        <v>800</v>
      </c>
      <c r="I25" s="191">
        <v>27</v>
      </c>
      <c r="J25" s="193">
        <f t="shared" si="16"/>
        <v>125.41499999999999</v>
      </c>
      <c r="K25" s="191">
        <f t="shared" si="17"/>
        <v>1350</v>
      </c>
      <c r="L25" s="191">
        <v>33</v>
      </c>
      <c r="M25" s="193">
        <f t="shared" si="18"/>
        <v>153.285</v>
      </c>
      <c r="N25" s="191">
        <f t="shared" si="19"/>
        <v>1650</v>
      </c>
      <c r="O25" s="191">
        <v>46</v>
      </c>
      <c r="P25" s="193">
        <f t="shared" si="20"/>
        <v>213.67</v>
      </c>
      <c r="Q25" s="191">
        <f t="shared" si="21"/>
        <v>2300</v>
      </c>
      <c r="R25" s="188">
        <v>66</v>
      </c>
      <c r="S25" s="193">
        <f t="shared" si="22"/>
        <v>306.57</v>
      </c>
      <c r="T25" s="191">
        <f t="shared" si="23"/>
        <v>3300</v>
      </c>
      <c r="U25" s="541">
        <v>20</v>
      </c>
      <c r="V25" s="193">
        <f t="shared" si="24"/>
        <v>92.89999999999999</v>
      </c>
      <c r="W25" s="191">
        <f t="shared" si="25"/>
        <v>1000</v>
      </c>
      <c r="X25" s="623"/>
    </row>
    <row r="26" spans="1:24" s="2" customFormat="1" ht="12" customHeight="1">
      <c r="A26" s="23" t="str">
        <f>'Components and Space Standards'!A26:E26</f>
        <v>Free/Plate-loaded weights</v>
      </c>
      <c r="B26" s="119">
        <f>'Components and Space Standards'!B26:F26</f>
        <v>6.0385</v>
      </c>
      <c r="C26" s="11">
        <f>'Components and Space Standards'!C26:G26</f>
        <v>65</v>
      </c>
      <c r="D26" s="275" t="str">
        <f>'Components and Space Standards'!D26:G26</f>
        <v>stations at 6.0 m2 (65 ft.2)/stations</v>
      </c>
      <c r="E26" s="17" t="str">
        <f>'Components and Space Standards'!E26:H26</f>
        <v>65 sf per station</v>
      </c>
      <c r="F26" s="188">
        <v>15</v>
      </c>
      <c r="G26" s="193">
        <f t="shared" si="14"/>
        <v>90.5775</v>
      </c>
      <c r="H26" s="191">
        <f t="shared" si="15"/>
        <v>975</v>
      </c>
      <c r="I26" s="191">
        <v>29</v>
      </c>
      <c r="J26" s="193">
        <f t="shared" si="16"/>
        <v>175.1165</v>
      </c>
      <c r="K26" s="191">
        <f t="shared" si="17"/>
        <v>1885</v>
      </c>
      <c r="L26" s="191">
        <v>47</v>
      </c>
      <c r="M26" s="193">
        <f t="shared" si="18"/>
        <v>283.8095</v>
      </c>
      <c r="N26" s="191">
        <f t="shared" si="19"/>
        <v>3055</v>
      </c>
      <c r="O26" s="191">
        <v>80</v>
      </c>
      <c r="P26" s="193">
        <f t="shared" si="20"/>
        <v>483.08</v>
      </c>
      <c r="Q26" s="191">
        <f t="shared" si="21"/>
        <v>5200</v>
      </c>
      <c r="R26" s="188">
        <v>123</v>
      </c>
      <c r="S26" s="193">
        <f t="shared" si="22"/>
        <v>742.7355</v>
      </c>
      <c r="T26" s="191">
        <f t="shared" si="23"/>
        <v>7995</v>
      </c>
      <c r="U26" s="541">
        <v>43</v>
      </c>
      <c r="V26" s="193">
        <f t="shared" si="24"/>
        <v>259.6555</v>
      </c>
      <c r="W26" s="191">
        <f t="shared" si="25"/>
        <v>2795</v>
      </c>
      <c r="X26" s="623"/>
    </row>
    <row r="27" spans="1:24" s="2" customFormat="1" ht="12" customHeight="1">
      <c r="A27" s="23" t="str">
        <f>'Components and Space Standards'!A27:E27</f>
        <v>Finess Program Manager's Office</v>
      </c>
      <c r="B27" s="119">
        <f>'Components and Space Standards'!B27:F27</f>
        <v>11.612499999999999</v>
      </c>
      <c r="C27" s="11">
        <f>'Components and Space Standards'!C27:G27</f>
        <v>125</v>
      </c>
      <c r="D27" s="275" t="str">
        <f>'Components and Space Standards'!D27:G27</f>
        <v>Office</v>
      </c>
      <c r="E27" s="17" t="str">
        <f>'Components and Space Standards'!E27:H27</f>
        <v>Private office that may include fitness testing equipment</v>
      </c>
      <c r="F27" s="188">
        <v>1</v>
      </c>
      <c r="G27" s="193">
        <f t="shared" si="14"/>
        <v>11.612499999999999</v>
      </c>
      <c r="H27" s="191">
        <f t="shared" si="15"/>
        <v>125</v>
      </c>
      <c r="I27" s="191">
        <v>1</v>
      </c>
      <c r="J27" s="193">
        <f t="shared" si="16"/>
        <v>11.612499999999999</v>
      </c>
      <c r="K27" s="191">
        <f t="shared" si="17"/>
        <v>125</v>
      </c>
      <c r="L27" s="191">
        <v>1</v>
      </c>
      <c r="M27" s="193">
        <f t="shared" si="18"/>
        <v>11.612499999999999</v>
      </c>
      <c r="N27" s="191">
        <f t="shared" si="19"/>
        <v>125</v>
      </c>
      <c r="O27" s="191">
        <v>1</v>
      </c>
      <c r="P27" s="193">
        <f t="shared" si="20"/>
        <v>11.612499999999999</v>
      </c>
      <c r="Q27" s="191">
        <f t="shared" si="21"/>
        <v>125</v>
      </c>
      <c r="R27" s="188">
        <v>2</v>
      </c>
      <c r="S27" s="193">
        <f t="shared" si="22"/>
        <v>23.224999999999998</v>
      </c>
      <c r="T27" s="191">
        <f t="shared" si="23"/>
        <v>250</v>
      </c>
      <c r="U27" s="541">
        <v>0.5</v>
      </c>
      <c r="V27" s="193">
        <f t="shared" si="24"/>
        <v>5.8062499999999995</v>
      </c>
      <c r="W27" s="191">
        <f t="shared" si="25"/>
        <v>62.5</v>
      </c>
      <c r="X27" s="623"/>
    </row>
    <row r="28" spans="1:24" s="2" customFormat="1" ht="12" customHeight="1">
      <c r="A28" s="23" t="str">
        <f>'Components and Space Standards'!A28:E28</f>
        <v>Fitness Assessment Room</v>
      </c>
      <c r="B28" s="119">
        <f>'Components and Space Standards'!B28:F28</f>
        <v>11.612499999999999</v>
      </c>
      <c r="C28" s="11">
        <f>'Components and Space Standards'!C28:G28</f>
        <v>125</v>
      </c>
      <c r="D28" s="275" t="str">
        <f>'Components and Space Standards'!D28:G28</f>
        <v>Office(s)</v>
      </c>
      <c r="E28" s="17" t="str">
        <f>'Components and Space Standards'!E28:H28</f>
        <v>1 piece fitness equip for testing, computer desk, chairs, stretching</v>
      </c>
      <c r="F28" s="188"/>
      <c r="G28" s="193">
        <f t="shared" si="14"/>
        <v>0</v>
      </c>
      <c r="H28" s="191">
        <f t="shared" si="15"/>
        <v>0</v>
      </c>
      <c r="I28" s="191">
        <v>1</v>
      </c>
      <c r="J28" s="193">
        <f t="shared" si="16"/>
        <v>11.612499999999999</v>
      </c>
      <c r="K28" s="191">
        <f t="shared" si="17"/>
        <v>125</v>
      </c>
      <c r="L28" s="191">
        <v>2</v>
      </c>
      <c r="M28" s="193">
        <f t="shared" si="18"/>
        <v>23.224999999999998</v>
      </c>
      <c r="N28" s="191">
        <f t="shared" si="19"/>
        <v>250</v>
      </c>
      <c r="O28" s="191">
        <v>3</v>
      </c>
      <c r="P28" s="193">
        <f t="shared" si="20"/>
        <v>34.8375</v>
      </c>
      <c r="Q28" s="191">
        <f t="shared" si="21"/>
        <v>375</v>
      </c>
      <c r="R28" s="188">
        <v>3</v>
      </c>
      <c r="S28" s="193">
        <f t="shared" si="22"/>
        <v>34.8375</v>
      </c>
      <c r="T28" s="191">
        <f t="shared" si="23"/>
        <v>375</v>
      </c>
      <c r="U28" s="541">
        <v>0.5</v>
      </c>
      <c r="V28" s="193">
        <f t="shared" si="24"/>
        <v>5.8062499999999995</v>
      </c>
      <c r="W28" s="191">
        <f t="shared" si="25"/>
        <v>62.5</v>
      </c>
      <c r="X28" s="623"/>
    </row>
    <row r="29" spans="1:24" s="331" customFormat="1" ht="12" customHeight="1">
      <c r="A29" s="184" t="str">
        <f>'Components and Space Standards'!A29:E29</f>
        <v>Structured Activities</v>
      </c>
      <c r="B29" s="185"/>
      <c r="C29" s="197"/>
      <c r="D29" s="197"/>
      <c r="E29" s="199"/>
      <c r="F29" s="200"/>
      <c r="G29" s="201"/>
      <c r="H29" s="202"/>
      <c r="I29" s="202"/>
      <c r="J29" s="201"/>
      <c r="K29" s="202"/>
      <c r="L29" s="202"/>
      <c r="M29" s="201"/>
      <c r="N29" s="202"/>
      <c r="O29" s="202"/>
      <c r="P29" s="201"/>
      <c r="Q29" s="202"/>
      <c r="R29" s="200"/>
      <c r="S29" s="201"/>
      <c r="T29" s="202"/>
      <c r="U29" s="524"/>
      <c r="V29" s="201"/>
      <c r="W29" s="202"/>
      <c r="X29" s="330"/>
    </row>
    <row r="30" spans="1:24" s="2" customFormat="1" ht="12" customHeight="1">
      <c r="A30" s="23" t="str">
        <f>'Components and Space Standards'!A30:E30</f>
        <v>Structured Activity Space</v>
      </c>
      <c r="B30" s="119">
        <f>'Components and Space Standards'!B30:F30</f>
        <v>74.32</v>
      </c>
      <c r="C30" s="11">
        <f>'Components and Space Standards'!C30:G30</f>
        <v>800</v>
      </c>
      <c r="D30" s="275" t="str">
        <f>'Components and Space Standards'!D30:G30</f>
        <v>Flexible space Module(s)</v>
      </c>
      <c r="E30" s="17" t="str">
        <f>'Components and Space Standards'!E30:H30</f>
        <v>Based on size of a single racquetball court</v>
      </c>
      <c r="F30" s="188">
        <v>1.5</v>
      </c>
      <c r="G30" s="193">
        <f>$B30*F30</f>
        <v>111.47999999999999</v>
      </c>
      <c r="H30" s="191">
        <f>F30*$C30</f>
        <v>1200</v>
      </c>
      <c r="I30" s="191">
        <v>1.5</v>
      </c>
      <c r="J30" s="193">
        <f>$B30*I30</f>
        <v>111.47999999999999</v>
      </c>
      <c r="K30" s="191">
        <f>I30*$C30</f>
        <v>1200</v>
      </c>
      <c r="L30" s="191">
        <v>3</v>
      </c>
      <c r="M30" s="193">
        <f>$B30*L30</f>
        <v>222.95999999999998</v>
      </c>
      <c r="N30" s="191">
        <f>L30*$C30</f>
        <v>2400</v>
      </c>
      <c r="O30" s="191">
        <v>3</v>
      </c>
      <c r="P30" s="193">
        <f>$B30*O30</f>
        <v>222.95999999999998</v>
      </c>
      <c r="Q30" s="191">
        <f>O30*$C30</f>
        <v>2400</v>
      </c>
      <c r="R30" s="188">
        <v>4.5</v>
      </c>
      <c r="S30" s="193">
        <f>$B30*R30</f>
        <v>334.43999999999994</v>
      </c>
      <c r="T30" s="191">
        <f>R30*$C30</f>
        <v>3600</v>
      </c>
      <c r="U30" s="541">
        <v>1.5</v>
      </c>
      <c r="V30" s="193">
        <f>$B30*U30</f>
        <v>111.47999999999999</v>
      </c>
      <c r="W30" s="191">
        <f>U30*$C30</f>
        <v>1200</v>
      </c>
      <c r="X30" s="108" t="s">
        <v>74</v>
      </c>
    </row>
    <row r="31" spans="1:24" s="2" customFormat="1" ht="12" customHeight="1">
      <c r="A31" s="23" t="str">
        <f>'Components and Space Standards'!A31:E31</f>
        <v>Racquetball Courts</v>
      </c>
      <c r="B31" s="119">
        <f>'Components and Space Standards'!B31:F31</f>
        <v>74.32</v>
      </c>
      <c r="C31" s="11">
        <f>'Components and Space Standards'!C31:G31</f>
        <v>800</v>
      </c>
      <c r="D31" s="275" t="str">
        <f>'Components and Space Standards'!D31:G31</f>
        <v>Racquetball Court(s)</v>
      </c>
      <c r="E31" s="17" t="str">
        <f>'Components and Space Standards'!E31:H31</f>
        <v>Single court size. Minimum of two courts</v>
      </c>
      <c r="F31" s="188">
        <v>1</v>
      </c>
      <c r="G31" s="193">
        <f>$B31*F31</f>
        <v>74.32</v>
      </c>
      <c r="H31" s="191">
        <f>F31*$C31</f>
        <v>800</v>
      </c>
      <c r="I31" s="191">
        <v>1</v>
      </c>
      <c r="J31" s="193">
        <f>$B31*I31</f>
        <v>74.32</v>
      </c>
      <c r="K31" s="191">
        <f>I31*$C31</f>
        <v>800</v>
      </c>
      <c r="L31" s="191">
        <v>1</v>
      </c>
      <c r="M31" s="193">
        <f>$B31*L31</f>
        <v>74.32</v>
      </c>
      <c r="N31" s="191">
        <f>L31*$C31</f>
        <v>800</v>
      </c>
      <c r="O31" s="191">
        <v>2</v>
      </c>
      <c r="P31" s="193">
        <f>$B31*O31</f>
        <v>148.64</v>
      </c>
      <c r="Q31" s="191">
        <f>O31*$C31</f>
        <v>1600</v>
      </c>
      <c r="R31" s="188">
        <v>3</v>
      </c>
      <c r="S31" s="193">
        <f>$B31*R31</f>
        <v>222.95999999999998</v>
      </c>
      <c r="T31" s="191">
        <f>R31*$C31</f>
        <v>2400</v>
      </c>
      <c r="U31" s="541">
        <v>1</v>
      </c>
      <c r="V31" s="193">
        <f>$B31*U31</f>
        <v>74.32</v>
      </c>
      <c r="W31" s="191">
        <f>U31*$C31</f>
        <v>800</v>
      </c>
      <c r="X31" s="108"/>
    </row>
    <row r="32" spans="1:24" s="2" customFormat="1" ht="12" customHeight="1">
      <c r="A32" s="23" t="str">
        <f>'Components and Space Standards'!A34:E34</f>
        <v>Spectator/officiating (MC Option)</v>
      </c>
      <c r="B32" s="119">
        <f>'Components and Space Standards'!B34:F34</f>
        <v>18.58</v>
      </c>
      <c r="C32" s="11">
        <f>'Components and Space Standards'!C34:G34</f>
        <v>200</v>
      </c>
      <c r="D32" s="275" t="str">
        <f>'Components and Space Standards'!D34:G34</f>
        <v>Spectator/officiating Module(s)</v>
      </c>
      <c r="E32" s="17" t="str">
        <f>'Components and Space Standards'!E34:H34</f>
        <v>Two rows of 10 seats for one ct. Max of two cts (400 sf)</v>
      </c>
      <c r="F32" s="188">
        <v>0</v>
      </c>
      <c r="G32" s="193">
        <f>$B32*F32</f>
        <v>0</v>
      </c>
      <c r="H32" s="191">
        <f>F32*$C32</f>
        <v>0</v>
      </c>
      <c r="I32" s="191">
        <v>0</v>
      </c>
      <c r="J32" s="193">
        <f>$B32*I32</f>
        <v>0</v>
      </c>
      <c r="K32" s="191">
        <f>I32*$C32</f>
        <v>0</v>
      </c>
      <c r="L32" s="191">
        <v>2</v>
      </c>
      <c r="M32" s="193">
        <f>$B32*L32</f>
        <v>37.16</v>
      </c>
      <c r="N32" s="191">
        <f>L32*$C32</f>
        <v>400</v>
      </c>
      <c r="O32" s="191">
        <v>2</v>
      </c>
      <c r="P32" s="193">
        <f>$B32*O32</f>
        <v>37.16</v>
      </c>
      <c r="Q32" s="191">
        <f>O32*$C32</f>
        <v>400</v>
      </c>
      <c r="R32" s="188">
        <v>2</v>
      </c>
      <c r="S32" s="193">
        <f>$B32*R32</f>
        <v>37.16</v>
      </c>
      <c r="T32" s="191">
        <f>R32*$C32</f>
        <v>400</v>
      </c>
      <c r="U32" s="541">
        <v>0</v>
      </c>
      <c r="V32" s="193">
        <f>$B32*U32</f>
        <v>0</v>
      </c>
      <c r="W32" s="191">
        <f>U32*$C32</f>
        <v>0</v>
      </c>
      <c r="X32" s="108"/>
    </row>
    <row r="33" spans="1:24" s="2" customFormat="1" ht="12" customHeight="1">
      <c r="A33" s="23" t="str">
        <f>'Components and Space Standards'!A35:E35</f>
        <v>Structured activity storage</v>
      </c>
      <c r="B33" s="119">
        <f>'Components and Space Standards'!B35:F35</f>
        <v>7.4319999999999995</v>
      </c>
      <c r="C33" s="11">
        <f>'Components and Space Standards'!C35:G35</f>
        <v>80</v>
      </c>
      <c r="D33" s="275" t="str">
        <f>'Components and Space Standards'!D35:G35</f>
        <v>10% of Structured Activity Space</v>
      </c>
      <c r="E33" s="17" t="str">
        <f>'Components and Space Standards'!E35:H35</f>
        <v>Based on Structured activity space (10% of room area)</v>
      </c>
      <c r="F33" s="194"/>
      <c r="G33" s="195"/>
      <c r="H33" s="196"/>
      <c r="I33" s="196"/>
      <c r="J33" s="195"/>
      <c r="K33" s="196"/>
      <c r="L33" s="196"/>
      <c r="M33" s="195"/>
      <c r="N33" s="196"/>
      <c r="O33" s="196"/>
      <c r="P33" s="195"/>
      <c r="Q33" s="196"/>
      <c r="R33" s="194"/>
      <c r="S33" s="195"/>
      <c r="T33" s="196"/>
      <c r="U33" s="525"/>
      <c r="V33" s="195"/>
      <c r="W33" s="196"/>
      <c r="X33" s="357"/>
    </row>
    <row r="34" spans="1:24" s="331" customFormat="1" ht="12" customHeight="1">
      <c r="A34" s="184" t="str">
        <f>'Components and Space Standards'!A36:E36</f>
        <v>Locker Rooms</v>
      </c>
      <c r="B34" s="203"/>
      <c r="C34" s="185"/>
      <c r="D34" s="185"/>
      <c r="E34" s="185"/>
      <c r="F34" s="200"/>
      <c r="G34" s="201"/>
      <c r="H34" s="202"/>
      <c r="I34" s="202"/>
      <c r="J34" s="201"/>
      <c r="K34" s="202"/>
      <c r="L34" s="202"/>
      <c r="M34" s="201"/>
      <c r="N34" s="202"/>
      <c r="O34" s="202"/>
      <c r="P34" s="201"/>
      <c r="Q34" s="202"/>
      <c r="R34" s="200"/>
      <c r="S34" s="201"/>
      <c r="T34" s="202"/>
      <c r="U34" s="524"/>
      <c r="V34" s="201"/>
      <c r="W34" s="202"/>
      <c r="X34" s="610" t="s">
        <v>184</v>
      </c>
    </row>
    <row r="35" spans="1:24" s="2" customFormat="1" ht="12" customHeight="1">
      <c r="A35" s="93" t="str">
        <f>'Components and Space Standards'!A37:E37</f>
        <v>Men's Locker Room</v>
      </c>
      <c r="B35" s="16">
        <f>'Components and Space Standards'!B37:F37</f>
        <v>0</v>
      </c>
      <c r="C35" s="11">
        <f>'Components and Space Standards'!C37:G37</f>
        <v>0</v>
      </c>
      <c r="D35" s="275">
        <f>'Components and Space Standards'!D37:G37</f>
        <v>0</v>
      </c>
      <c r="E35" s="17">
        <f>'Components and Space Standards'!E37:H37</f>
        <v>0</v>
      </c>
      <c r="F35" s="194"/>
      <c r="G35" s="195">
        <f aca="true" t="shared" si="26" ref="G35:G42">$B35*F35</f>
        <v>0</v>
      </c>
      <c r="H35" s="196">
        <f aca="true" t="shared" si="27" ref="H35:H42">F35*$C35</f>
        <v>0</v>
      </c>
      <c r="I35" s="196"/>
      <c r="J35" s="195">
        <f aca="true" t="shared" si="28" ref="J35:J42">$B35*I35</f>
        <v>0</v>
      </c>
      <c r="K35" s="196">
        <f aca="true" t="shared" si="29" ref="K35:K42">I35*$C35</f>
        <v>0</v>
      </c>
      <c r="L35" s="196"/>
      <c r="M35" s="195">
        <f aca="true" t="shared" si="30" ref="M35:M42">$B35*L35</f>
        <v>0</v>
      </c>
      <c r="N35" s="196">
        <f aca="true" t="shared" si="31" ref="N35:N42">L35*$C35</f>
        <v>0</v>
      </c>
      <c r="O35" s="196"/>
      <c r="P35" s="195">
        <f aca="true" t="shared" si="32" ref="P35:P42">$B35*O35</f>
        <v>0</v>
      </c>
      <c r="Q35" s="196">
        <f aca="true" t="shared" si="33" ref="Q35:Q42">O35*$C35</f>
        <v>0</v>
      </c>
      <c r="R35" s="194"/>
      <c r="S35" s="195">
        <f aca="true" t="shared" si="34" ref="S35:S42">$B35*R35</f>
        <v>0</v>
      </c>
      <c r="T35" s="196">
        <f aca="true" t="shared" si="35" ref="T35:T42">R35*$C35</f>
        <v>0</v>
      </c>
      <c r="U35" s="525"/>
      <c r="V35" s="195">
        <f aca="true" t="shared" si="36" ref="V35:V42">$B35*U35</f>
        <v>0</v>
      </c>
      <c r="W35" s="196">
        <f aca="true" t="shared" si="37" ref="W35:W42">U35*$C35</f>
        <v>0</v>
      </c>
      <c r="X35" s="611"/>
    </row>
    <row r="36" spans="1:24" s="2" customFormat="1" ht="12" customHeight="1">
      <c r="A36" s="102" t="str">
        <f>'Components and Space Standards'!A38:E38</f>
        <v>Locker/changing area</v>
      </c>
      <c r="B36" s="16">
        <f>'Components and Space Standards'!B38:F38</f>
        <v>0.7432</v>
      </c>
      <c r="C36" s="11">
        <f>'Components and Space Standards'!C38:G38</f>
        <v>8</v>
      </c>
      <c r="D36" s="275" t="str">
        <f>'Components and Space Standards'!D38:G38</f>
        <v>Lockers</v>
      </c>
      <c r="E36" s="17" t="str">
        <f>'Components and Space Standards'!E38:H38</f>
        <v>Per slot (2 double lockers or 1 single locker)</v>
      </c>
      <c r="F36" s="194"/>
      <c r="G36" s="195">
        <f t="shared" si="26"/>
        <v>0</v>
      </c>
      <c r="H36" s="196">
        <f t="shared" si="27"/>
        <v>0</v>
      </c>
      <c r="I36" s="196"/>
      <c r="J36" s="195">
        <f t="shared" si="28"/>
        <v>0</v>
      </c>
      <c r="K36" s="196">
        <f t="shared" si="29"/>
        <v>0</v>
      </c>
      <c r="L36" s="196"/>
      <c r="M36" s="195">
        <f t="shared" si="30"/>
        <v>0</v>
      </c>
      <c r="N36" s="196">
        <f t="shared" si="31"/>
        <v>0</v>
      </c>
      <c r="O36" s="196"/>
      <c r="P36" s="195">
        <f t="shared" si="32"/>
        <v>0</v>
      </c>
      <c r="Q36" s="196">
        <f t="shared" si="33"/>
        <v>0</v>
      </c>
      <c r="R36" s="194"/>
      <c r="S36" s="195">
        <f t="shared" si="34"/>
        <v>0</v>
      </c>
      <c r="T36" s="196">
        <f t="shared" si="35"/>
        <v>0</v>
      </c>
      <c r="U36" s="525"/>
      <c r="V36" s="195">
        <f t="shared" si="36"/>
        <v>0</v>
      </c>
      <c r="W36" s="196">
        <f t="shared" si="37"/>
        <v>0</v>
      </c>
      <c r="X36" s="118" t="s">
        <v>186</v>
      </c>
    </row>
    <row r="37" spans="1:24" s="2" customFormat="1" ht="12" customHeight="1">
      <c r="A37" s="102" t="str">
        <f>'Components and Space Standards'!A39:E39</f>
        <v>Shower/drying area</v>
      </c>
      <c r="B37" s="16">
        <f>'Components and Space Standards'!B39:F39</f>
        <v>2.787</v>
      </c>
      <c r="C37" s="11">
        <f>'Components and Space Standards'!C39:G39</f>
        <v>30</v>
      </c>
      <c r="D37" s="275" t="str">
        <f>'Components and Space Standards'!D39:G39</f>
        <v>Showers</v>
      </c>
      <c r="E37" s="17" t="str">
        <f>'Components and Space Standards'!E39:H39</f>
        <v>Per shower &amp; integral drying area at 22 lockers/shower</v>
      </c>
      <c r="F37" s="194"/>
      <c r="G37" s="195">
        <f t="shared" si="26"/>
        <v>0</v>
      </c>
      <c r="H37" s="196">
        <f t="shared" si="27"/>
        <v>0</v>
      </c>
      <c r="I37" s="196"/>
      <c r="J37" s="195">
        <f t="shared" si="28"/>
        <v>0</v>
      </c>
      <c r="K37" s="196">
        <f t="shared" si="29"/>
        <v>0</v>
      </c>
      <c r="L37" s="196"/>
      <c r="M37" s="195">
        <f t="shared" si="30"/>
        <v>0</v>
      </c>
      <c r="N37" s="196">
        <f t="shared" si="31"/>
        <v>0</v>
      </c>
      <c r="O37" s="196"/>
      <c r="P37" s="195">
        <f t="shared" si="32"/>
        <v>0</v>
      </c>
      <c r="Q37" s="196">
        <f t="shared" si="33"/>
        <v>0</v>
      </c>
      <c r="R37" s="194"/>
      <c r="S37" s="195">
        <f t="shared" si="34"/>
        <v>0</v>
      </c>
      <c r="T37" s="196">
        <f t="shared" si="35"/>
        <v>0</v>
      </c>
      <c r="U37" s="525"/>
      <c r="V37" s="195">
        <f t="shared" si="36"/>
        <v>0</v>
      </c>
      <c r="W37" s="196">
        <f t="shared" si="37"/>
        <v>0</v>
      </c>
      <c r="X37" s="118"/>
    </row>
    <row r="38" spans="1:24" s="2" customFormat="1" ht="12" customHeight="1">
      <c r="A38" s="102" t="str">
        <f>'Components and Space Standards'!A40:E40</f>
        <v>Toilet area</v>
      </c>
      <c r="B38" s="16">
        <f>'Components and Space Standards'!B40:F40</f>
        <v>4.180499999999999</v>
      </c>
      <c r="C38" s="11">
        <f>'Components and Space Standards'!C40:G40</f>
        <v>45</v>
      </c>
      <c r="D38" s="275" t="str">
        <f>'Components and Space Standards'!D40:G40</f>
        <v>Water closets/lavatory modules</v>
      </c>
      <c r="E38" s="17" t="str">
        <f>'Components and Space Standards'!E40:H40</f>
        <v>Per wc and lav. at 30 lockers per wc/lav</v>
      </c>
      <c r="F38" s="194"/>
      <c r="G38" s="195">
        <f t="shared" si="26"/>
        <v>0</v>
      </c>
      <c r="H38" s="196">
        <f t="shared" si="27"/>
        <v>0</v>
      </c>
      <c r="I38" s="196"/>
      <c r="J38" s="195">
        <f t="shared" si="28"/>
        <v>0</v>
      </c>
      <c r="K38" s="196">
        <f t="shared" si="29"/>
        <v>0</v>
      </c>
      <c r="L38" s="196"/>
      <c r="M38" s="195">
        <f t="shared" si="30"/>
        <v>0</v>
      </c>
      <c r="N38" s="196">
        <f t="shared" si="31"/>
        <v>0</v>
      </c>
      <c r="O38" s="196"/>
      <c r="P38" s="195">
        <f t="shared" si="32"/>
        <v>0</v>
      </c>
      <c r="Q38" s="196">
        <f t="shared" si="33"/>
        <v>0</v>
      </c>
      <c r="R38" s="194"/>
      <c r="S38" s="195">
        <f t="shared" si="34"/>
        <v>0</v>
      </c>
      <c r="T38" s="196">
        <f t="shared" si="35"/>
        <v>0</v>
      </c>
      <c r="U38" s="525"/>
      <c r="V38" s="195">
        <f t="shared" si="36"/>
        <v>0</v>
      </c>
      <c r="W38" s="196">
        <f t="shared" si="37"/>
        <v>0</v>
      </c>
      <c r="X38" s="118" t="s">
        <v>189</v>
      </c>
    </row>
    <row r="39" spans="1:24" s="2" customFormat="1" ht="12" customHeight="1">
      <c r="A39" s="93" t="str">
        <f>'Components and Space Standards'!A41:E41</f>
        <v>Women's Locker Room</v>
      </c>
      <c r="B39" s="16">
        <f>'Components and Space Standards'!B41:F41</f>
        <v>0</v>
      </c>
      <c r="C39" s="11">
        <f>'Components and Space Standards'!C41:G41</f>
        <v>0</v>
      </c>
      <c r="D39" s="275">
        <f>'Components and Space Standards'!D41:G41</f>
        <v>0</v>
      </c>
      <c r="E39" s="17">
        <f>'Components and Space Standards'!E41:H41</f>
        <v>0</v>
      </c>
      <c r="F39" s="194"/>
      <c r="G39" s="195">
        <f t="shared" si="26"/>
        <v>0</v>
      </c>
      <c r="H39" s="196">
        <f t="shared" si="27"/>
        <v>0</v>
      </c>
      <c r="I39" s="196"/>
      <c r="J39" s="195">
        <f t="shared" si="28"/>
        <v>0</v>
      </c>
      <c r="K39" s="196">
        <f t="shared" si="29"/>
        <v>0</v>
      </c>
      <c r="L39" s="196"/>
      <c r="M39" s="195">
        <f t="shared" si="30"/>
        <v>0</v>
      </c>
      <c r="N39" s="196">
        <f t="shared" si="31"/>
        <v>0</v>
      </c>
      <c r="O39" s="196"/>
      <c r="P39" s="195">
        <f t="shared" si="32"/>
        <v>0</v>
      </c>
      <c r="Q39" s="196">
        <f t="shared" si="33"/>
        <v>0</v>
      </c>
      <c r="R39" s="194"/>
      <c r="S39" s="195">
        <f t="shared" si="34"/>
        <v>0</v>
      </c>
      <c r="T39" s="196">
        <f t="shared" si="35"/>
        <v>0</v>
      </c>
      <c r="U39" s="525"/>
      <c r="V39" s="195">
        <f t="shared" si="36"/>
        <v>0</v>
      </c>
      <c r="W39" s="196">
        <f t="shared" si="37"/>
        <v>0</v>
      </c>
      <c r="X39" s="118"/>
    </row>
    <row r="40" spans="1:24" s="2" customFormat="1" ht="12" customHeight="1">
      <c r="A40" s="102" t="str">
        <f>'Components and Space Standards'!A42:E42</f>
        <v>Locker/changing area</v>
      </c>
      <c r="B40" s="16">
        <f>'Components and Space Standards'!B42:F42</f>
        <v>0.7432</v>
      </c>
      <c r="C40" s="11">
        <f>'Components and Space Standards'!C42:G42</f>
        <v>8</v>
      </c>
      <c r="D40" s="275" t="str">
        <f>'Components and Space Standards'!D42:G42</f>
        <v>Lockers</v>
      </c>
      <c r="E40" s="17" t="str">
        <f>'Components and Space Standards'!E42:H42</f>
        <v>Per slot (2 double lockers or 1 single locker)</v>
      </c>
      <c r="F40" s="194"/>
      <c r="G40" s="195">
        <f t="shared" si="26"/>
        <v>0</v>
      </c>
      <c r="H40" s="196">
        <f t="shared" si="27"/>
        <v>0</v>
      </c>
      <c r="I40" s="196"/>
      <c r="J40" s="195">
        <f t="shared" si="28"/>
        <v>0</v>
      </c>
      <c r="K40" s="196">
        <f t="shared" si="29"/>
        <v>0</v>
      </c>
      <c r="L40" s="196"/>
      <c r="M40" s="195">
        <f t="shared" si="30"/>
        <v>0</v>
      </c>
      <c r="N40" s="196">
        <f t="shared" si="31"/>
        <v>0</v>
      </c>
      <c r="O40" s="196"/>
      <c r="P40" s="195">
        <f t="shared" si="32"/>
        <v>0</v>
      </c>
      <c r="Q40" s="196">
        <f t="shared" si="33"/>
        <v>0</v>
      </c>
      <c r="R40" s="194"/>
      <c r="S40" s="195">
        <f t="shared" si="34"/>
        <v>0</v>
      </c>
      <c r="T40" s="196">
        <f t="shared" si="35"/>
        <v>0</v>
      </c>
      <c r="U40" s="525"/>
      <c r="V40" s="195">
        <f t="shared" si="36"/>
        <v>0</v>
      </c>
      <c r="W40" s="196">
        <f t="shared" si="37"/>
        <v>0</v>
      </c>
      <c r="X40" s="118"/>
    </row>
    <row r="41" spans="1:24" s="2" customFormat="1" ht="12" customHeight="1">
      <c r="A41" s="102" t="str">
        <f>'Components and Space Standards'!A43:E43</f>
        <v>Shower/drying area</v>
      </c>
      <c r="B41" s="16">
        <f>'Components and Space Standards'!B43:F43</f>
        <v>2.787</v>
      </c>
      <c r="C41" s="11">
        <f>'Components and Space Standards'!C43:G43</f>
        <v>30</v>
      </c>
      <c r="D41" s="275" t="str">
        <f>'Components and Space Standards'!D43:G43</f>
        <v>Showers</v>
      </c>
      <c r="E41" s="17" t="str">
        <f>'Components and Space Standards'!E43:H43</f>
        <v>Per shower &amp; integral drying area at 22 lockers/shower</v>
      </c>
      <c r="F41" s="194"/>
      <c r="G41" s="195">
        <f t="shared" si="26"/>
        <v>0</v>
      </c>
      <c r="H41" s="196">
        <f t="shared" si="27"/>
        <v>0</v>
      </c>
      <c r="I41" s="196"/>
      <c r="J41" s="195">
        <f t="shared" si="28"/>
        <v>0</v>
      </c>
      <c r="K41" s="196">
        <f t="shared" si="29"/>
        <v>0</v>
      </c>
      <c r="L41" s="196"/>
      <c r="M41" s="195">
        <f t="shared" si="30"/>
        <v>0</v>
      </c>
      <c r="N41" s="196">
        <f t="shared" si="31"/>
        <v>0</v>
      </c>
      <c r="O41" s="196"/>
      <c r="P41" s="195">
        <f t="shared" si="32"/>
        <v>0</v>
      </c>
      <c r="Q41" s="196">
        <f t="shared" si="33"/>
        <v>0</v>
      </c>
      <c r="R41" s="194"/>
      <c r="S41" s="195">
        <f t="shared" si="34"/>
        <v>0</v>
      </c>
      <c r="T41" s="196">
        <f t="shared" si="35"/>
        <v>0</v>
      </c>
      <c r="U41" s="525"/>
      <c r="V41" s="195">
        <f t="shared" si="36"/>
        <v>0</v>
      </c>
      <c r="W41" s="196">
        <f t="shared" si="37"/>
        <v>0</v>
      </c>
      <c r="X41" s="118"/>
    </row>
    <row r="42" spans="1:24" s="2" customFormat="1" ht="12" customHeight="1">
      <c r="A42" s="102" t="str">
        <f>'Components and Space Standards'!A44:E44</f>
        <v>Toilet area</v>
      </c>
      <c r="B42" s="16">
        <f>'Components and Space Standards'!B44:F44</f>
        <v>4.180499999999999</v>
      </c>
      <c r="C42" s="11">
        <f>'Components and Space Standards'!C44:G44</f>
        <v>45</v>
      </c>
      <c r="D42" s="275" t="str">
        <f>'Components and Space Standards'!D44:G44</f>
        <v>Water closets/lavatory modules</v>
      </c>
      <c r="E42" s="17" t="str">
        <f>'Components and Space Standards'!E44:H44</f>
        <v>per wc and lav. at 20 lockers per wc/lav</v>
      </c>
      <c r="F42" s="194"/>
      <c r="G42" s="195">
        <f t="shared" si="26"/>
        <v>0</v>
      </c>
      <c r="H42" s="196">
        <f t="shared" si="27"/>
        <v>0</v>
      </c>
      <c r="I42" s="196"/>
      <c r="J42" s="195">
        <f t="shared" si="28"/>
        <v>0</v>
      </c>
      <c r="K42" s="196">
        <f t="shared" si="29"/>
        <v>0</v>
      </c>
      <c r="L42" s="196"/>
      <c r="M42" s="195">
        <f t="shared" si="30"/>
        <v>0</v>
      </c>
      <c r="N42" s="196">
        <f t="shared" si="31"/>
        <v>0</v>
      </c>
      <c r="O42" s="196"/>
      <c r="P42" s="195">
        <f t="shared" si="32"/>
        <v>0</v>
      </c>
      <c r="Q42" s="196">
        <f t="shared" si="33"/>
        <v>0</v>
      </c>
      <c r="R42" s="194"/>
      <c r="S42" s="195">
        <f t="shared" si="34"/>
        <v>0</v>
      </c>
      <c r="T42" s="196">
        <f t="shared" si="35"/>
        <v>0</v>
      </c>
      <c r="U42" s="525"/>
      <c r="V42" s="195">
        <f t="shared" si="36"/>
        <v>0</v>
      </c>
      <c r="W42" s="196">
        <f t="shared" si="37"/>
        <v>0</v>
      </c>
      <c r="X42" s="118" t="s">
        <v>191</v>
      </c>
    </row>
    <row r="43" spans="1:24" s="2" customFormat="1" ht="12" customHeight="1">
      <c r="A43" s="93" t="str">
        <f>'Components and Space Standards'!A45:E45</f>
        <v>Sauna, cool-down area</v>
      </c>
      <c r="B43" s="16">
        <f>'Components and Space Standards'!B45:F45</f>
        <v>0</v>
      </c>
      <c r="C43" s="104">
        <f>'Components and Space Standards'!C45:G45</f>
        <v>0</v>
      </c>
      <c r="D43" s="258" t="str">
        <f>'Components and Space Standards'!D45:G45</f>
        <v>M/F (2) Saunas/cool-down area</v>
      </c>
      <c r="E43" s="17" t="str">
        <f>'Components and Space Standards'!E45:H45</f>
        <v>small = 6 ppl, med = 8-9, lg = 12 ppl (+ cool down space)</v>
      </c>
      <c r="F43" s="188" t="s">
        <v>170</v>
      </c>
      <c r="G43" s="195"/>
      <c r="H43" s="196"/>
      <c r="I43" s="188" t="s">
        <v>170</v>
      </c>
      <c r="J43" s="195"/>
      <c r="K43" s="196"/>
      <c r="L43" s="188" t="s">
        <v>171</v>
      </c>
      <c r="M43" s="195"/>
      <c r="N43" s="196"/>
      <c r="O43" s="188" t="s">
        <v>172</v>
      </c>
      <c r="P43" s="195"/>
      <c r="Q43" s="196"/>
      <c r="R43" s="188" t="s">
        <v>172</v>
      </c>
      <c r="S43" s="195"/>
      <c r="T43" s="196"/>
      <c r="U43" s="541" t="s">
        <v>170</v>
      </c>
      <c r="V43" s="195"/>
      <c r="W43" s="196"/>
      <c r="X43" s="118"/>
    </row>
    <row r="44" spans="1:24" s="2" customFormat="1" ht="12" customHeight="1">
      <c r="A44" s="93" t="str">
        <f>'Components and Space Standards'!A46:E46</f>
        <v>Steam Room, cool-down area</v>
      </c>
      <c r="B44" s="16">
        <f>'Components and Space Standards'!B46:F46</f>
        <v>0</v>
      </c>
      <c r="C44" s="104">
        <f>'Components and Space Standards'!C46:G46</f>
        <v>0</v>
      </c>
      <c r="D44" s="258" t="str">
        <f>'Components and Space Standards'!D46:G46</f>
        <v>M/F (2) Steam Rooms/cool-down area</v>
      </c>
      <c r="E44" s="17" t="str">
        <f>'Components and Space Standards'!E46:H46</f>
        <v>small = 6-7 ppl, med = 8-9, lg = 12-14 (+ cool down space)</v>
      </c>
      <c r="F44" s="188"/>
      <c r="G44" s="195"/>
      <c r="H44" s="196"/>
      <c r="I44" s="188"/>
      <c r="J44" s="195"/>
      <c r="K44" s="196"/>
      <c r="L44" s="188"/>
      <c r="M44" s="195"/>
      <c r="N44" s="196"/>
      <c r="O44" s="188"/>
      <c r="P44" s="195"/>
      <c r="Q44" s="196"/>
      <c r="R44" s="188"/>
      <c r="S44" s="195"/>
      <c r="T44" s="196"/>
      <c r="U44" s="541">
        <v>0</v>
      </c>
      <c r="V44" s="195"/>
      <c r="W44" s="196"/>
      <c r="X44" s="118"/>
    </row>
    <row r="45" spans="1:24" s="2" customFormat="1" ht="12" customHeight="1">
      <c r="A45" s="93" t="str">
        <f>'Components and Space Standards'!A47:E47</f>
        <v>Hot Tub</v>
      </c>
      <c r="B45" s="16">
        <f>'Components and Space Standards'!B47:F47</f>
        <v>0</v>
      </c>
      <c r="C45" s="104">
        <f>'Components and Space Standards'!C47:G47</f>
        <v>0</v>
      </c>
      <c r="D45" s="258" t="str">
        <f>'Components and Space Standards'!D47:G47</f>
        <v>Unisex Hot Tub</v>
      </c>
      <c r="E45" s="17" t="str">
        <f>'Components and Space Standards'!E47:H47</f>
        <v>small = 5 ppl, med = 8, lg = 12-14 ppl</v>
      </c>
      <c r="F45" s="188"/>
      <c r="G45" s="195"/>
      <c r="H45" s="196"/>
      <c r="I45" s="188"/>
      <c r="J45" s="195"/>
      <c r="K45" s="196"/>
      <c r="L45" s="188"/>
      <c r="M45" s="195"/>
      <c r="N45" s="196"/>
      <c r="O45" s="188"/>
      <c r="P45" s="195"/>
      <c r="Q45" s="196"/>
      <c r="R45" s="188"/>
      <c r="S45" s="195"/>
      <c r="T45" s="196"/>
      <c r="U45" s="541">
        <v>0</v>
      </c>
      <c r="V45" s="195"/>
      <c r="W45" s="196"/>
      <c r="X45" s="118"/>
    </row>
    <row r="46" spans="1:24" s="331" customFormat="1" ht="12" customHeight="1">
      <c r="A46" s="184" t="str">
        <f>'Components and Space Standards'!A48:E48</f>
        <v>Support Areas</v>
      </c>
      <c r="B46" s="185"/>
      <c r="C46" s="197"/>
      <c r="D46" s="197"/>
      <c r="E46" s="199"/>
      <c r="F46" s="200"/>
      <c r="G46" s="204"/>
      <c r="H46" s="205"/>
      <c r="I46" s="205"/>
      <c r="J46" s="205"/>
      <c r="K46" s="205"/>
      <c r="L46" s="205"/>
      <c r="M46" s="205"/>
      <c r="N46" s="205"/>
      <c r="O46" s="205"/>
      <c r="P46" s="205"/>
      <c r="Q46" s="205"/>
      <c r="R46" s="200"/>
      <c r="S46" s="204"/>
      <c r="T46" s="528"/>
      <c r="U46" s="524"/>
      <c r="V46" s="204"/>
      <c r="W46" s="329"/>
      <c r="X46" s="330"/>
    </row>
    <row r="47" spans="1:24" s="2" customFormat="1" ht="12" customHeight="1">
      <c r="A47" s="23" t="str">
        <f>'Components and Space Standards'!A49:E49</f>
        <v>Laundry</v>
      </c>
      <c r="B47" s="16">
        <f>'Components and Space Standards'!B49:F49</f>
        <v>18.58</v>
      </c>
      <c r="C47" s="11">
        <f>'Components and Space Standards'!C49:G49</f>
        <v>200</v>
      </c>
      <c r="D47" s="255" t="str">
        <f>'Components and Space Standards'!D49:G49</f>
        <v>Laundry Room</v>
      </c>
      <c r="E47" s="17" t="str">
        <f>'Components and Space Standards'!E49:H49</f>
        <v>Per one-washer/two-dryer room</v>
      </c>
      <c r="F47" s="326" t="s">
        <v>244</v>
      </c>
      <c r="G47" s="206"/>
      <c r="H47" s="207"/>
      <c r="I47" s="326" t="s">
        <v>244</v>
      </c>
      <c r="J47" s="207"/>
      <c r="K47" s="207"/>
      <c r="L47" s="326" t="s">
        <v>245</v>
      </c>
      <c r="M47" s="207"/>
      <c r="N47" s="207"/>
      <c r="O47" s="326" t="s">
        <v>246</v>
      </c>
      <c r="P47" s="207"/>
      <c r="Q47" s="207"/>
      <c r="R47" s="326" t="s">
        <v>247</v>
      </c>
      <c r="S47" s="206"/>
      <c r="T47" s="529"/>
      <c r="U47" s="544" t="s">
        <v>322</v>
      </c>
      <c r="V47" s="206"/>
      <c r="W47" s="208"/>
      <c r="X47" s="116" t="s">
        <v>192</v>
      </c>
    </row>
    <row r="48" spans="1:24" s="2" customFormat="1" ht="12" customHeight="1">
      <c r="A48" s="105" t="str">
        <f>'Components and Space Standards'!A50:E50</f>
        <v>Equipment repair and receiving</v>
      </c>
      <c r="B48" s="16">
        <f>'Components and Space Standards'!B50:F50</f>
        <v>0</v>
      </c>
      <c r="C48" s="209">
        <f>'Components and Space Standards'!C50</f>
        <v>0</v>
      </c>
      <c r="D48" s="259" t="str">
        <f>'Components and Space Standards'!D50:G50</f>
        <v>Repair/receiving Room</v>
      </c>
      <c r="E48" s="101" t="str">
        <f>'Components and Space Standards'!E50:H50</f>
        <v>Fixed receiving area + variable repair (10% of Fitness)</v>
      </c>
      <c r="F48" s="194"/>
      <c r="G48" s="206"/>
      <c r="H48" s="207"/>
      <c r="I48" s="207"/>
      <c r="J48" s="207"/>
      <c r="K48" s="207"/>
      <c r="L48" s="207"/>
      <c r="M48" s="207"/>
      <c r="N48" s="207"/>
      <c r="O48" s="207"/>
      <c r="P48" s="207"/>
      <c r="Q48" s="207"/>
      <c r="R48" s="194"/>
      <c r="S48" s="206"/>
      <c r="T48" s="529"/>
      <c r="U48" s="525">
        <v>1</v>
      </c>
      <c r="V48" s="206"/>
      <c r="W48" s="208"/>
      <c r="X48" s="610" t="s">
        <v>131</v>
      </c>
    </row>
    <row r="49" spans="1:24" s="2" customFormat="1" ht="12" customHeight="1">
      <c r="A49" s="105" t="str">
        <f>'Components and Space Standards'!A51:E51</f>
        <v>Storage</v>
      </c>
      <c r="B49" s="16">
        <f>'Components and Space Standards'!B51:F51</f>
        <v>0</v>
      </c>
      <c r="C49" s="209">
        <f>'Components and Space Standards'!C51</f>
        <v>0</v>
      </c>
      <c r="D49" s="259" t="str">
        <f>'Components and Space Standards'!D51:G51</f>
        <v>Storage Room</v>
      </c>
      <c r="E49" s="101" t="str">
        <f>'Components and Space Standards'!E51:H51</f>
        <v>Variable lockable storage room (5% of fitness)</v>
      </c>
      <c r="F49" s="194"/>
      <c r="G49" s="206"/>
      <c r="H49" s="207"/>
      <c r="I49" s="207"/>
      <c r="J49" s="207"/>
      <c r="K49" s="207"/>
      <c r="L49" s="207"/>
      <c r="M49" s="207"/>
      <c r="N49" s="207"/>
      <c r="O49" s="207"/>
      <c r="P49" s="207"/>
      <c r="Q49" s="207"/>
      <c r="R49" s="194"/>
      <c r="S49" s="206"/>
      <c r="T49" s="529"/>
      <c r="U49" s="525"/>
      <c r="V49" s="206"/>
      <c r="W49" s="208"/>
      <c r="X49" s="611"/>
    </row>
    <row r="50" spans="1:24" s="2" customFormat="1" ht="12" customHeight="1">
      <c r="A50" s="105" t="str">
        <f>'Components and Space Standards'!A52:E52</f>
        <v>Additional Programmatic Storage</v>
      </c>
      <c r="B50" s="16">
        <f>'Components and Space Standards'!B52:F52</f>
        <v>0</v>
      </c>
      <c r="C50" s="209">
        <f>'Components and Space Standards'!C52</f>
        <v>0</v>
      </c>
      <c r="D50" s="259" t="str">
        <f>'Components and Space Standards'!D52:G52</f>
        <v> sf  Additional Storage</v>
      </c>
      <c r="E50" s="101" t="str">
        <f>'Components and Space Standards'!E52:H52</f>
        <v>To be filled-in by programmer and justified based on item stored.</v>
      </c>
      <c r="F50" s="210"/>
      <c r="G50" s="211"/>
      <c r="H50" s="212">
        <v>100</v>
      </c>
      <c r="I50" s="212"/>
      <c r="J50" s="212"/>
      <c r="K50" s="212">
        <v>200</v>
      </c>
      <c r="L50" s="212"/>
      <c r="M50" s="212"/>
      <c r="N50" s="212">
        <v>300</v>
      </c>
      <c r="O50" s="212"/>
      <c r="P50" s="212"/>
      <c r="Q50" s="212">
        <v>400</v>
      </c>
      <c r="R50" s="210"/>
      <c r="S50" s="211"/>
      <c r="T50" s="530">
        <v>500</v>
      </c>
      <c r="U50" s="545"/>
      <c r="V50" s="211"/>
      <c r="W50" s="213">
        <v>100</v>
      </c>
      <c r="X50" s="134"/>
    </row>
    <row r="51" spans="1:24" s="2" customFormat="1" ht="15.75" customHeight="1">
      <c r="A51" s="617" t="str">
        <f>'Components and Space Standards'!A54:E54</f>
        <v>Health Promotion Spaces - Marine Corps Only (Required or Optional)</v>
      </c>
      <c r="B51" s="618">
        <f>'Components and Space Standards'!B54:F54</f>
        <v>0</v>
      </c>
      <c r="C51" s="618">
        <f>'Components and Space Standards'!C54:G54</f>
        <v>0</v>
      </c>
      <c r="D51" s="618"/>
      <c r="E51" s="618">
        <f>'Components and Space Standards'!E54:H54</f>
        <v>0</v>
      </c>
      <c r="F51" s="214"/>
      <c r="G51" s="214"/>
      <c r="H51" s="214"/>
      <c r="I51" s="214"/>
      <c r="J51" s="214"/>
      <c r="K51" s="214"/>
      <c r="L51" s="214"/>
      <c r="M51" s="214"/>
      <c r="N51" s="214"/>
      <c r="O51" s="214"/>
      <c r="P51" s="214"/>
      <c r="Q51" s="214"/>
      <c r="R51" s="214"/>
      <c r="S51" s="214"/>
      <c r="T51" s="214"/>
      <c r="U51" s="214"/>
      <c r="V51" s="214"/>
      <c r="W51" s="215"/>
      <c r="X51" s="110"/>
    </row>
    <row r="52" spans="1:24" s="2" customFormat="1" ht="12" customHeight="1">
      <c r="A52" s="19" t="str">
        <f>'Components and Space Standards'!A55:E55</f>
        <v>Lobby/Reception</v>
      </c>
      <c r="B52" s="16">
        <f>'Components and Space Standards'!B55:F55</f>
        <v>27.869999999999997</v>
      </c>
      <c r="C52" s="11">
        <f>'Components and Space Standards'!C55:G55</f>
        <v>300</v>
      </c>
      <c r="D52" s="255" t="str">
        <f>'Components and Space Standards'!D55:G55</f>
        <v>Lobby/Reception Module(s)</v>
      </c>
      <c r="E52" s="17" t="str">
        <f>'Components and Space Standards'!E55:H55</f>
        <v>per area</v>
      </c>
      <c r="F52" s="188">
        <v>0</v>
      </c>
      <c r="G52" s="189">
        <f aca="true" t="shared" si="38" ref="G52:G60">$B52*F52</f>
        <v>0</v>
      </c>
      <c r="H52" s="190">
        <f aca="true" t="shared" si="39" ref="H52:H60">F52*$C52</f>
        <v>0</v>
      </c>
      <c r="I52" s="190">
        <v>0</v>
      </c>
      <c r="J52" s="190">
        <f aca="true" t="shared" si="40" ref="J52:J60">$B52*I52</f>
        <v>0</v>
      </c>
      <c r="K52" s="190">
        <f aca="true" t="shared" si="41" ref="K52:K60">I52*$C52</f>
        <v>0</v>
      </c>
      <c r="L52" s="190">
        <v>0</v>
      </c>
      <c r="M52" s="190">
        <f aca="true" t="shared" si="42" ref="M52:M60">$B52*L52</f>
        <v>0</v>
      </c>
      <c r="N52" s="190">
        <f aca="true" t="shared" si="43" ref="N52:N60">L52*$C52</f>
        <v>0</v>
      </c>
      <c r="O52" s="190">
        <v>0</v>
      </c>
      <c r="P52" s="190">
        <f aca="true" t="shared" si="44" ref="P52:P60">$B52*O52</f>
        <v>0</v>
      </c>
      <c r="Q52" s="190">
        <f aca="true" t="shared" si="45" ref="Q52:Q60">O52*$C52</f>
        <v>0</v>
      </c>
      <c r="R52" s="188">
        <v>0</v>
      </c>
      <c r="S52" s="189">
        <f aca="true" t="shared" si="46" ref="S52:S60">$B52*R52</f>
        <v>0</v>
      </c>
      <c r="T52" s="531">
        <f aca="true" t="shared" si="47" ref="T52:T60">R52*$C52</f>
        <v>0</v>
      </c>
      <c r="U52" s="541">
        <v>0</v>
      </c>
      <c r="V52" s="189">
        <f aca="true" t="shared" si="48" ref="V52:V60">$B52*U52</f>
        <v>0</v>
      </c>
      <c r="W52" s="192">
        <f aca="true" t="shared" si="49" ref="W52:W60">U52*$C52</f>
        <v>0</v>
      </c>
      <c r="X52" s="108" t="s">
        <v>56</v>
      </c>
    </row>
    <row r="53" spans="1:24" s="2" customFormat="1" ht="12" customHeight="1">
      <c r="A53" s="19" t="str">
        <f>'Components and Space Standards'!A56:E56</f>
        <v>Director's Office</v>
      </c>
      <c r="B53" s="16">
        <f>'Components and Space Standards'!B56:F56</f>
        <v>11.148</v>
      </c>
      <c r="C53" s="11">
        <f>'Components and Space Standards'!C56:G56</f>
        <v>120</v>
      </c>
      <c r="D53" s="255" t="str">
        <f>'Components and Space Standards'!D56:G56</f>
        <v>Office</v>
      </c>
      <c r="E53" s="17" t="str">
        <f>'Components and Space Standards'!E56:H56</f>
        <v>per office</v>
      </c>
      <c r="F53" s="188">
        <v>0</v>
      </c>
      <c r="G53" s="189">
        <f t="shared" si="38"/>
        <v>0</v>
      </c>
      <c r="H53" s="190">
        <f t="shared" si="39"/>
        <v>0</v>
      </c>
      <c r="I53" s="190">
        <v>0</v>
      </c>
      <c r="J53" s="190">
        <f t="shared" si="40"/>
        <v>0</v>
      </c>
      <c r="K53" s="190">
        <f t="shared" si="41"/>
        <v>0</v>
      </c>
      <c r="L53" s="190">
        <v>0</v>
      </c>
      <c r="M53" s="190">
        <f t="shared" si="42"/>
        <v>0</v>
      </c>
      <c r="N53" s="190">
        <f t="shared" si="43"/>
        <v>0</v>
      </c>
      <c r="O53" s="190">
        <v>0</v>
      </c>
      <c r="P53" s="190">
        <f t="shared" si="44"/>
        <v>0</v>
      </c>
      <c r="Q53" s="190">
        <f t="shared" si="45"/>
        <v>0</v>
      </c>
      <c r="R53" s="188">
        <v>0</v>
      </c>
      <c r="S53" s="189">
        <f t="shared" si="46"/>
        <v>0</v>
      </c>
      <c r="T53" s="531">
        <f t="shared" si="47"/>
        <v>0</v>
      </c>
      <c r="U53" s="541">
        <v>0</v>
      </c>
      <c r="V53" s="189">
        <f t="shared" si="48"/>
        <v>0</v>
      </c>
      <c r="W53" s="192">
        <f t="shared" si="49"/>
        <v>0</v>
      </c>
      <c r="X53" s="108" t="s">
        <v>62</v>
      </c>
    </row>
    <row r="54" spans="1:24" s="2" customFormat="1" ht="12" customHeight="1">
      <c r="A54" s="19" t="str">
        <f>'Components and Space Standards'!A57:E57</f>
        <v>Program Managers' Offices</v>
      </c>
      <c r="B54" s="16">
        <f>'Components and Space Standards'!B57:F57</f>
        <v>9.29</v>
      </c>
      <c r="C54" s="11">
        <f>'Components and Space Standards'!C57:G57</f>
        <v>100</v>
      </c>
      <c r="D54" s="255" t="str">
        <f>'Components and Space Standards'!D57:G57</f>
        <v>Office(s)</v>
      </c>
      <c r="E54" s="17" t="str">
        <f>'Components and Space Standards'!E57:H57</f>
        <v>per office</v>
      </c>
      <c r="F54" s="188">
        <v>0</v>
      </c>
      <c r="G54" s="189">
        <f t="shared" si="38"/>
        <v>0</v>
      </c>
      <c r="H54" s="190">
        <f t="shared" si="39"/>
        <v>0</v>
      </c>
      <c r="I54" s="190">
        <v>0</v>
      </c>
      <c r="J54" s="190">
        <f t="shared" si="40"/>
        <v>0</v>
      </c>
      <c r="K54" s="190">
        <f t="shared" si="41"/>
        <v>0</v>
      </c>
      <c r="L54" s="190">
        <v>0</v>
      </c>
      <c r="M54" s="190">
        <f t="shared" si="42"/>
        <v>0</v>
      </c>
      <c r="N54" s="190">
        <f t="shared" si="43"/>
        <v>0</v>
      </c>
      <c r="O54" s="190">
        <v>0</v>
      </c>
      <c r="P54" s="190">
        <f t="shared" si="44"/>
        <v>0</v>
      </c>
      <c r="Q54" s="190">
        <f t="shared" si="45"/>
        <v>0</v>
      </c>
      <c r="R54" s="188">
        <v>0</v>
      </c>
      <c r="S54" s="189">
        <f t="shared" si="46"/>
        <v>0</v>
      </c>
      <c r="T54" s="531">
        <f t="shared" si="47"/>
        <v>0</v>
      </c>
      <c r="U54" s="541">
        <v>0</v>
      </c>
      <c r="V54" s="189">
        <f t="shared" si="48"/>
        <v>0</v>
      </c>
      <c r="W54" s="192">
        <f t="shared" si="49"/>
        <v>0</v>
      </c>
      <c r="X54" s="108"/>
    </row>
    <row r="55" spans="1:24" s="2" customFormat="1" ht="12" customHeight="1">
      <c r="A55" s="19" t="str">
        <f>'Components and Space Standards'!A58:E58</f>
        <v>Support Staff Workstations</v>
      </c>
      <c r="B55" s="16">
        <f>'Components and Space Standards'!B58:F58</f>
        <v>5.9456</v>
      </c>
      <c r="C55" s="11">
        <f>'Components and Space Standards'!C58:G58</f>
        <v>64</v>
      </c>
      <c r="D55" s="255" t="str">
        <f>'Components and Space Standards'!D58:G58</f>
        <v>Workstation(s)</v>
      </c>
      <c r="E55" s="17" t="str">
        <f>'Components and Space Standards'!E58:H58</f>
        <v>per workstation</v>
      </c>
      <c r="F55" s="188">
        <v>0</v>
      </c>
      <c r="G55" s="189">
        <f t="shared" si="38"/>
        <v>0</v>
      </c>
      <c r="H55" s="190">
        <f t="shared" si="39"/>
        <v>0</v>
      </c>
      <c r="I55" s="190">
        <v>0</v>
      </c>
      <c r="J55" s="190">
        <f t="shared" si="40"/>
        <v>0</v>
      </c>
      <c r="K55" s="190">
        <f t="shared" si="41"/>
        <v>0</v>
      </c>
      <c r="L55" s="190">
        <v>0</v>
      </c>
      <c r="M55" s="190">
        <f t="shared" si="42"/>
        <v>0</v>
      </c>
      <c r="N55" s="190">
        <f t="shared" si="43"/>
        <v>0</v>
      </c>
      <c r="O55" s="190">
        <v>0</v>
      </c>
      <c r="P55" s="190">
        <f t="shared" si="44"/>
        <v>0</v>
      </c>
      <c r="Q55" s="190">
        <f t="shared" si="45"/>
        <v>0</v>
      </c>
      <c r="R55" s="188">
        <v>0</v>
      </c>
      <c r="S55" s="189">
        <f t="shared" si="46"/>
        <v>0</v>
      </c>
      <c r="T55" s="531">
        <f t="shared" si="47"/>
        <v>0</v>
      </c>
      <c r="U55" s="541">
        <v>0</v>
      </c>
      <c r="V55" s="189">
        <f t="shared" si="48"/>
        <v>0</v>
      </c>
      <c r="W55" s="192">
        <f t="shared" si="49"/>
        <v>0</v>
      </c>
      <c r="X55" s="108"/>
    </row>
    <row r="56" spans="1:24" s="3" customFormat="1" ht="12" customHeight="1">
      <c r="A56" s="19" t="str">
        <f>'Components and Space Standards'!A59:E59</f>
        <v>Classrooms/Training rooms</v>
      </c>
      <c r="B56" s="16">
        <f>'Components and Space Standards'!B59:F59</f>
        <v>58.527</v>
      </c>
      <c r="C56" s="11">
        <f>'Components and Space Standards'!C59:G59</f>
        <v>630</v>
      </c>
      <c r="D56" s="255" t="str">
        <f>'Components and Space Standards'!D59:G59</f>
        <v>Classroom/Training Module(s)</v>
      </c>
      <c r="E56" s="17" t="str">
        <f>'Components and Space Standards'!E59:H59</f>
        <v>per room</v>
      </c>
      <c r="F56" s="188">
        <v>0</v>
      </c>
      <c r="G56" s="189">
        <f t="shared" si="38"/>
        <v>0</v>
      </c>
      <c r="H56" s="190">
        <f t="shared" si="39"/>
        <v>0</v>
      </c>
      <c r="I56" s="190">
        <v>0</v>
      </c>
      <c r="J56" s="190">
        <f t="shared" si="40"/>
        <v>0</v>
      </c>
      <c r="K56" s="190">
        <f t="shared" si="41"/>
        <v>0</v>
      </c>
      <c r="L56" s="190">
        <v>0</v>
      </c>
      <c r="M56" s="190">
        <f t="shared" si="42"/>
        <v>0</v>
      </c>
      <c r="N56" s="190">
        <f t="shared" si="43"/>
        <v>0</v>
      </c>
      <c r="O56" s="190">
        <v>0</v>
      </c>
      <c r="P56" s="190">
        <f t="shared" si="44"/>
        <v>0</v>
      </c>
      <c r="Q56" s="190">
        <f t="shared" si="45"/>
        <v>0</v>
      </c>
      <c r="R56" s="188">
        <v>0</v>
      </c>
      <c r="S56" s="216">
        <f t="shared" si="46"/>
        <v>0</v>
      </c>
      <c r="T56" s="531">
        <f t="shared" si="47"/>
        <v>0</v>
      </c>
      <c r="U56" s="541">
        <v>0</v>
      </c>
      <c r="V56" s="216">
        <f t="shared" si="48"/>
        <v>0</v>
      </c>
      <c r="W56" s="192">
        <f t="shared" si="49"/>
        <v>0</v>
      </c>
      <c r="X56" s="108" t="s">
        <v>56</v>
      </c>
    </row>
    <row r="57" spans="1:24" s="3" customFormat="1" ht="12" customHeight="1">
      <c r="A57" s="19" t="str">
        <f>'Components and Space Standards'!A60:E60</f>
        <v>Resource Room/Computer Lab</v>
      </c>
      <c r="B57" s="16">
        <f>'Components and Space Standards'!B60:F60</f>
        <v>23.224999999999998</v>
      </c>
      <c r="C57" s="11">
        <f>'Components and Space Standards'!C60:G60</f>
        <v>250</v>
      </c>
      <c r="D57" s="255" t="str">
        <f>'Components and Space Standards'!D60:G60</f>
        <v>Resource/Computer Lab Module(s)</v>
      </c>
      <c r="E57" s="17" t="str">
        <f>'Components and Space Standards'!E60:H60</f>
        <v>per room</v>
      </c>
      <c r="F57" s="188">
        <v>0</v>
      </c>
      <c r="G57" s="189">
        <f t="shared" si="38"/>
        <v>0</v>
      </c>
      <c r="H57" s="190">
        <f t="shared" si="39"/>
        <v>0</v>
      </c>
      <c r="I57" s="190">
        <v>0</v>
      </c>
      <c r="J57" s="190">
        <f t="shared" si="40"/>
        <v>0</v>
      </c>
      <c r="K57" s="190">
        <f t="shared" si="41"/>
        <v>0</v>
      </c>
      <c r="L57" s="190">
        <v>0</v>
      </c>
      <c r="M57" s="190">
        <f t="shared" si="42"/>
        <v>0</v>
      </c>
      <c r="N57" s="190">
        <f t="shared" si="43"/>
        <v>0</v>
      </c>
      <c r="O57" s="190">
        <v>0</v>
      </c>
      <c r="P57" s="190">
        <f t="shared" si="44"/>
        <v>0</v>
      </c>
      <c r="Q57" s="190">
        <f t="shared" si="45"/>
        <v>0</v>
      </c>
      <c r="R57" s="188">
        <v>0</v>
      </c>
      <c r="S57" s="216">
        <f t="shared" si="46"/>
        <v>0</v>
      </c>
      <c r="T57" s="531">
        <f t="shared" si="47"/>
        <v>0</v>
      </c>
      <c r="U57" s="541">
        <v>0</v>
      </c>
      <c r="V57" s="216">
        <f t="shared" si="48"/>
        <v>0</v>
      </c>
      <c r="W57" s="192">
        <f t="shared" si="49"/>
        <v>0</v>
      </c>
      <c r="X57" s="108" t="s">
        <v>59</v>
      </c>
    </row>
    <row r="58" spans="1:24" s="2" customFormat="1" ht="12" customHeight="1">
      <c r="A58" s="19" t="str">
        <f>'Components and Space Standards'!A61:E61</f>
        <v>Storage/support</v>
      </c>
      <c r="B58" s="16">
        <f>'Components and Space Standards'!B61:F61</f>
        <v>7.4319999999999995</v>
      </c>
      <c r="C58" s="11">
        <f>'Components and Space Standards'!C61:G61</f>
        <v>80</v>
      </c>
      <c r="D58" s="255" t="str">
        <f>'Components and Space Standards'!D61:G61</f>
        <v>Storage/support Module(s)</v>
      </c>
      <c r="E58" s="17" t="str">
        <f>'Components and Space Standards'!E61:H61</f>
        <v>per area</v>
      </c>
      <c r="F58" s="188">
        <v>0</v>
      </c>
      <c r="G58" s="189">
        <f t="shared" si="38"/>
        <v>0</v>
      </c>
      <c r="H58" s="190">
        <f t="shared" si="39"/>
        <v>0</v>
      </c>
      <c r="I58" s="190">
        <v>0</v>
      </c>
      <c r="J58" s="190">
        <f t="shared" si="40"/>
        <v>0</v>
      </c>
      <c r="K58" s="190">
        <f t="shared" si="41"/>
        <v>0</v>
      </c>
      <c r="L58" s="190">
        <v>0</v>
      </c>
      <c r="M58" s="190">
        <f t="shared" si="42"/>
        <v>0</v>
      </c>
      <c r="N58" s="190">
        <f t="shared" si="43"/>
        <v>0</v>
      </c>
      <c r="O58" s="190">
        <v>0</v>
      </c>
      <c r="P58" s="190">
        <f t="shared" si="44"/>
        <v>0</v>
      </c>
      <c r="Q58" s="190">
        <f t="shared" si="45"/>
        <v>0</v>
      </c>
      <c r="R58" s="188">
        <v>0</v>
      </c>
      <c r="S58" s="189">
        <f t="shared" si="46"/>
        <v>0</v>
      </c>
      <c r="T58" s="531">
        <f t="shared" si="47"/>
        <v>0</v>
      </c>
      <c r="U58" s="541">
        <v>0</v>
      </c>
      <c r="V58" s="189">
        <f t="shared" si="48"/>
        <v>0</v>
      </c>
      <c r="W58" s="192">
        <f t="shared" si="49"/>
        <v>0</v>
      </c>
      <c r="X58" s="108"/>
    </row>
    <row r="59" spans="1:24" s="2" customFormat="1" ht="12" customHeight="1">
      <c r="A59" s="19" t="str">
        <f>'Components and Space Standards'!A63:E63</f>
        <v>Ergometry and Fitness Testing *</v>
      </c>
      <c r="B59" s="16">
        <f>'Components and Space Standards'!B63:F63</f>
        <v>7.4319999999999995</v>
      </c>
      <c r="C59" s="11">
        <f>'Components and Space Standards'!C63:G63</f>
        <v>80</v>
      </c>
      <c r="D59" s="255" t="str">
        <f>'Components and Space Standards'!D63:G63</f>
        <v>Testing Cubicle(s)</v>
      </c>
      <c r="E59" s="17" t="str">
        <f>'Components and Space Standards'!E63:H63</f>
        <v>per testing cubicles</v>
      </c>
      <c r="F59" s="188">
        <v>0</v>
      </c>
      <c r="G59" s="189">
        <f t="shared" si="38"/>
        <v>0</v>
      </c>
      <c r="H59" s="190">
        <f t="shared" si="39"/>
        <v>0</v>
      </c>
      <c r="I59" s="190">
        <v>0</v>
      </c>
      <c r="J59" s="190">
        <f t="shared" si="40"/>
        <v>0</v>
      </c>
      <c r="K59" s="190">
        <f t="shared" si="41"/>
        <v>0</v>
      </c>
      <c r="L59" s="190">
        <v>0</v>
      </c>
      <c r="M59" s="190">
        <f t="shared" si="42"/>
        <v>0</v>
      </c>
      <c r="N59" s="190">
        <f t="shared" si="43"/>
        <v>0</v>
      </c>
      <c r="O59" s="190">
        <v>0</v>
      </c>
      <c r="P59" s="190">
        <f t="shared" si="44"/>
        <v>0</v>
      </c>
      <c r="Q59" s="190">
        <f t="shared" si="45"/>
        <v>0</v>
      </c>
      <c r="R59" s="188">
        <v>0</v>
      </c>
      <c r="S59" s="189">
        <f t="shared" si="46"/>
        <v>0</v>
      </c>
      <c r="T59" s="531">
        <f t="shared" si="47"/>
        <v>0</v>
      </c>
      <c r="U59" s="541">
        <v>0</v>
      </c>
      <c r="V59" s="189">
        <f t="shared" si="48"/>
        <v>0</v>
      </c>
      <c r="W59" s="192">
        <f t="shared" si="49"/>
        <v>0</v>
      </c>
      <c r="X59" s="108" t="s">
        <v>72</v>
      </c>
    </row>
    <row r="60" spans="1:24" s="2" customFormat="1" ht="12" customHeight="1">
      <c r="A60" s="217" t="str">
        <f>'Components and Space Standards'!A64:E64</f>
        <v>Wellness Assessment *</v>
      </c>
      <c r="B60" s="218">
        <f>'Components and Space Standards'!B64:F64</f>
        <v>13.934999999999999</v>
      </c>
      <c r="C60" s="219">
        <f>'Components and Space Standards'!C64:G64</f>
        <v>150</v>
      </c>
      <c r="D60" s="328" t="str">
        <f>'Components and Space Standards'!D64:G64</f>
        <v>Assessment Room(s)</v>
      </c>
      <c r="E60" s="18" t="str">
        <f>'Components and Space Standards'!E64:H64</f>
        <v>per room</v>
      </c>
      <c r="F60" s="220">
        <v>0</v>
      </c>
      <c r="G60" s="221">
        <f t="shared" si="38"/>
        <v>0</v>
      </c>
      <c r="H60" s="222">
        <f t="shared" si="39"/>
        <v>0</v>
      </c>
      <c r="I60" s="222">
        <v>0</v>
      </c>
      <c r="J60" s="222">
        <f t="shared" si="40"/>
        <v>0</v>
      </c>
      <c r="K60" s="222">
        <f t="shared" si="41"/>
        <v>0</v>
      </c>
      <c r="L60" s="222">
        <v>0</v>
      </c>
      <c r="M60" s="222">
        <f t="shared" si="42"/>
        <v>0</v>
      </c>
      <c r="N60" s="222">
        <f t="shared" si="43"/>
        <v>0</v>
      </c>
      <c r="O60" s="222">
        <v>0</v>
      </c>
      <c r="P60" s="222">
        <f t="shared" si="44"/>
        <v>0</v>
      </c>
      <c r="Q60" s="222">
        <f t="shared" si="45"/>
        <v>0</v>
      </c>
      <c r="R60" s="220">
        <v>0</v>
      </c>
      <c r="S60" s="221">
        <f t="shared" si="46"/>
        <v>0</v>
      </c>
      <c r="T60" s="532">
        <f t="shared" si="47"/>
        <v>0</v>
      </c>
      <c r="U60" s="543">
        <v>0</v>
      </c>
      <c r="V60" s="221">
        <f t="shared" si="48"/>
        <v>0</v>
      </c>
      <c r="W60" s="223">
        <f t="shared" si="49"/>
        <v>0</v>
      </c>
      <c r="X60" s="108" t="s">
        <v>56</v>
      </c>
    </row>
    <row r="61" spans="1:24" s="3" customFormat="1" ht="15.75" customHeight="1">
      <c r="A61" s="617" t="str">
        <f>'Components and Space Standards'!A65:E65</f>
        <v>Administrative Spaces (required or optional)</v>
      </c>
      <c r="B61" s="618">
        <f>'Components and Space Standards'!B65:F65</f>
        <v>0</v>
      </c>
      <c r="C61" s="618">
        <f>'Components and Space Standards'!C65:G65</f>
        <v>0</v>
      </c>
      <c r="D61" s="618"/>
      <c r="E61" s="618">
        <f>'Components and Space Standards'!E65:H65</f>
        <v>0</v>
      </c>
      <c r="F61" s="182"/>
      <c r="G61" s="182"/>
      <c r="H61" s="182"/>
      <c r="I61" s="182"/>
      <c r="J61" s="182"/>
      <c r="K61" s="182"/>
      <c r="L61" s="182"/>
      <c r="M61" s="182"/>
      <c r="N61" s="182"/>
      <c r="O61" s="182"/>
      <c r="P61" s="182"/>
      <c r="Q61" s="182"/>
      <c r="R61" s="182"/>
      <c r="S61" s="182"/>
      <c r="T61" s="214"/>
      <c r="U61" s="214"/>
      <c r="V61" s="182"/>
      <c r="W61" s="183"/>
      <c r="X61" s="111"/>
    </row>
    <row r="62" spans="1:24" s="2" customFormat="1" ht="12" customHeight="1">
      <c r="A62" s="19" t="str">
        <f>'Components and Space Standards'!A66:E66</f>
        <v>Director's Office</v>
      </c>
      <c r="B62" s="16">
        <f>'Components and Space Standards'!B66:F66</f>
        <v>11.148</v>
      </c>
      <c r="C62" s="11">
        <f>'Components and Space Standards'!C66:G66</f>
        <v>120</v>
      </c>
      <c r="D62" s="255" t="str">
        <f>'Components and Space Standards'!D66:G66</f>
        <v>Office</v>
      </c>
      <c r="E62" s="17" t="str">
        <f>'Components and Space Standards'!E66:H66</f>
        <v>per office</v>
      </c>
      <c r="F62" s="188">
        <v>1</v>
      </c>
      <c r="G62" s="189">
        <f aca="true" t="shared" si="50" ref="G62:G67">$B62*F62</f>
        <v>11.148</v>
      </c>
      <c r="H62" s="190">
        <f aca="true" t="shared" si="51" ref="H62:H67">F62*$C62</f>
        <v>120</v>
      </c>
      <c r="I62" s="190">
        <v>1</v>
      </c>
      <c r="J62" s="190">
        <f aca="true" t="shared" si="52" ref="J62:J67">$B62*I62</f>
        <v>11.148</v>
      </c>
      <c r="K62" s="190">
        <f aca="true" t="shared" si="53" ref="K62:K67">I62*$C62</f>
        <v>120</v>
      </c>
      <c r="L62" s="190">
        <v>1</v>
      </c>
      <c r="M62" s="190">
        <f aca="true" t="shared" si="54" ref="M62:M67">$B62*L62</f>
        <v>11.148</v>
      </c>
      <c r="N62" s="190">
        <f aca="true" t="shared" si="55" ref="N62:N67">L62*$C62</f>
        <v>120</v>
      </c>
      <c r="O62" s="190">
        <v>1</v>
      </c>
      <c r="P62" s="190">
        <f aca="true" t="shared" si="56" ref="P62:P67">$B62*O62</f>
        <v>11.148</v>
      </c>
      <c r="Q62" s="190">
        <f aca="true" t="shared" si="57" ref="Q62:Q67">O62*$C62</f>
        <v>120</v>
      </c>
      <c r="R62" s="188">
        <v>1</v>
      </c>
      <c r="S62" s="216">
        <f aca="true" t="shared" si="58" ref="S62:S67">$B62*R62</f>
        <v>11.148</v>
      </c>
      <c r="T62" s="531">
        <f aca="true" t="shared" si="59" ref="T62:T67">R62*$C62</f>
        <v>120</v>
      </c>
      <c r="U62" s="541"/>
      <c r="V62" s="216">
        <f aca="true" t="shared" si="60" ref="V62:V67">$B62*U62</f>
        <v>0</v>
      </c>
      <c r="W62" s="224">
        <f aca="true" t="shared" si="61" ref="W62:W67">U62*$C62</f>
        <v>0</v>
      </c>
      <c r="X62" s="118" t="s">
        <v>112</v>
      </c>
    </row>
    <row r="63" spans="1:24" s="3" customFormat="1" ht="12" customHeight="1">
      <c r="A63" s="19" t="str">
        <f>'Components and Space Standards'!A67:E67</f>
        <v>Program Managers' Offices</v>
      </c>
      <c r="B63" s="16">
        <f>'Components and Space Standards'!B67:F67</f>
        <v>9.29</v>
      </c>
      <c r="C63" s="11">
        <f>'Components and Space Standards'!C67:G67</f>
        <v>100</v>
      </c>
      <c r="D63" s="255" t="str">
        <f>'Components and Space Standards'!D67:G67</f>
        <v>Office(s)</v>
      </c>
      <c r="E63" s="17" t="str">
        <f>'Components and Space Standards'!E67:H67</f>
        <v>per office</v>
      </c>
      <c r="F63" s="188">
        <v>0</v>
      </c>
      <c r="G63" s="216">
        <f t="shared" si="50"/>
        <v>0</v>
      </c>
      <c r="H63" s="190">
        <f t="shared" si="51"/>
        <v>0</v>
      </c>
      <c r="I63" s="190">
        <v>1</v>
      </c>
      <c r="J63" s="190">
        <f t="shared" si="52"/>
        <v>9.29</v>
      </c>
      <c r="K63" s="190">
        <f t="shared" si="53"/>
        <v>100</v>
      </c>
      <c r="L63" s="190">
        <v>1</v>
      </c>
      <c r="M63" s="190">
        <f t="shared" si="54"/>
        <v>9.29</v>
      </c>
      <c r="N63" s="190">
        <f t="shared" si="55"/>
        <v>100</v>
      </c>
      <c r="O63" s="190">
        <v>1</v>
      </c>
      <c r="P63" s="190">
        <f t="shared" si="56"/>
        <v>9.29</v>
      </c>
      <c r="Q63" s="190">
        <f t="shared" si="57"/>
        <v>100</v>
      </c>
      <c r="R63" s="188">
        <v>1</v>
      </c>
      <c r="S63" s="216">
        <f t="shared" si="58"/>
        <v>9.29</v>
      </c>
      <c r="T63" s="531">
        <f t="shared" si="59"/>
        <v>100</v>
      </c>
      <c r="U63" s="541"/>
      <c r="V63" s="216">
        <f t="shared" si="60"/>
        <v>0</v>
      </c>
      <c r="W63" s="224">
        <f t="shared" si="61"/>
        <v>0</v>
      </c>
      <c r="X63" s="118" t="s">
        <v>114</v>
      </c>
    </row>
    <row r="64" spans="1:24" s="2" customFormat="1" ht="12" customHeight="1">
      <c r="A64" s="19" t="str">
        <f>'Components and Space Standards'!A68:E68</f>
        <v>Support Staff Workstations</v>
      </c>
      <c r="B64" s="16">
        <f>'Components and Space Standards'!B68:F68</f>
        <v>5.9456</v>
      </c>
      <c r="C64" s="11">
        <f>'Components and Space Standards'!C68:G68</f>
        <v>64</v>
      </c>
      <c r="D64" s="255" t="str">
        <f>'Components and Space Standards'!D68:G68</f>
        <v>Workstation(s)</v>
      </c>
      <c r="E64" s="17" t="str">
        <f>'Components and Space Standards'!E68:H68</f>
        <v>per office</v>
      </c>
      <c r="F64" s="188">
        <v>3</v>
      </c>
      <c r="G64" s="189">
        <f t="shared" si="50"/>
        <v>17.8368</v>
      </c>
      <c r="H64" s="190">
        <f t="shared" si="51"/>
        <v>192</v>
      </c>
      <c r="I64" s="190">
        <v>4</v>
      </c>
      <c r="J64" s="190">
        <f t="shared" si="52"/>
        <v>23.7824</v>
      </c>
      <c r="K64" s="190">
        <f t="shared" si="53"/>
        <v>256</v>
      </c>
      <c r="L64" s="190">
        <v>6</v>
      </c>
      <c r="M64" s="190">
        <f t="shared" si="54"/>
        <v>35.6736</v>
      </c>
      <c r="N64" s="190">
        <f t="shared" si="55"/>
        <v>384</v>
      </c>
      <c r="O64" s="190">
        <v>8</v>
      </c>
      <c r="P64" s="190">
        <f t="shared" si="56"/>
        <v>47.5648</v>
      </c>
      <c r="Q64" s="190">
        <f t="shared" si="57"/>
        <v>512</v>
      </c>
      <c r="R64" s="188">
        <v>9</v>
      </c>
      <c r="S64" s="216">
        <f t="shared" si="58"/>
        <v>53.5104</v>
      </c>
      <c r="T64" s="531">
        <f t="shared" si="59"/>
        <v>576</v>
      </c>
      <c r="U64" s="541">
        <v>1</v>
      </c>
      <c r="V64" s="216">
        <f t="shared" si="60"/>
        <v>5.9456</v>
      </c>
      <c r="W64" s="224">
        <f t="shared" si="61"/>
        <v>64</v>
      </c>
      <c r="X64" s="118" t="s">
        <v>114</v>
      </c>
    </row>
    <row r="65" spans="1:24" s="2" customFormat="1" ht="12" customHeight="1">
      <c r="A65" s="19" t="str">
        <f>'Components and Space Standards'!A69:E69</f>
        <v>Copy/file/work/break Room</v>
      </c>
      <c r="B65" s="16">
        <f>'Components and Space Standards'!B69:F69</f>
        <v>7.4319999999999995</v>
      </c>
      <c r="C65" s="11">
        <f>'Components and Space Standards'!C69:G69</f>
        <v>80</v>
      </c>
      <c r="D65" s="255" t="str">
        <f>'Components and Space Standards'!D69:G69</f>
        <v>Workroom Module(s)</v>
      </c>
      <c r="E65" s="17" t="str">
        <f>'Components and Space Standards'!E69:H69</f>
        <v>per room</v>
      </c>
      <c r="F65" s="188">
        <v>2</v>
      </c>
      <c r="G65" s="216">
        <f t="shared" si="50"/>
        <v>14.863999999999999</v>
      </c>
      <c r="H65" s="190">
        <f t="shared" si="51"/>
        <v>160</v>
      </c>
      <c r="I65" s="190">
        <v>3</v>
      </c>
      <c r="J65" s="190">
        <f t="shared" si="52"/>
        <v>22.296</v>
      </c>
      <c r="K65" s="190">
        <f t="shared" si="53"/>
        <v>240</v>
      </c>
      <c r="L65" s="190">
        <v>2</v>
      </c>
      <c r="M65" s="190">
        <f t="shared" si="54"/>
        <v>14.863999999999999</v>
      </c>
      <c r="N65" s="190">
        <f t="shared" si="55"/>
        <v>160</v>
      </c>
      <c r="O65" s="190">
        <v>2</v>
      </c>
      <c r="P65" s="190">
        <f t="shared" si="56"/>
        <v>14.863999999999999</v>
      </c>
      <c r="Q65" s="190">
        <f t="shared" si="57"/>
        <v>160</v>
      </c>
      <c r="R65" s="188">
        <v>2</v>
      </c>
      <c r="S65" s="216">
        <f t="shared" si="58"/>
        <v>14.863999999999999</v>
      </c>
      <c r="T65" s="531">
        <f t="shared" si="59"/>
        <v>160</v>
      </c>
      <c r="U65" s="541"/>
      <c r="V65" s="216">
        <f t="shared" si="60"/>
        <v>0</v>
      </c>
      <c r="W65" s="224">
        <f t="shared" si="61"/>
        <v>0</v>
      </c>
      <c r="X65" s="118" t="s">
        <v>112</v>
      </c>
    </row>
    <row r="66" spans="1:24" s="2" customFormat="1" ht="12" customHeight="1">
      <c r="A66" s="19" t="str">
        <f>'Components and Space Standards'!A70:E70</f>
        <v>Classroom/Training Room</v>
      </c>
      <c r="B66" s="16">
        <f>'Components and Space Standards'!B70:F70</f>
        <v>69.675</v>
      </c>
      <c r="C66" s="11">
        <f>'Components and Space Standards'!C70:G70</f>
        <v>750</v>
      </c>
      <c r="D66" s="255" t="str">
        <f>'Components and Space Standards'!D70:G70</f>
        <v>25-person Module at 750 SF</v>
      </c>
      <c r="E66" s="17" t="str">
        <f>'Components and Space Standards'!E70:H70</f>
        <v>1,500 SF Med/Lge &amp; 2,250 SF for Xtra Lge/Jumbo</v>
      </c>
      <c r="F66" s="188">
        <v>0</v>
      </c>
      <c r="G66" s="189">
        <f t="shared" si="50"/>
        <v>0</v>
      </c>
      <c r="H66" s="190">
        <f t="shared" si="51"/>
        <v>0</v>
      </c>
      <c r="I66" s="190">
        <v>0</v>
      </c>
      <c r="J66" s="190">
        <f t="shared" si="52"/>
        <v>0</v>
      </c>
      <c r="K66" s="190">
        <f t="shared" si="53"/>
        <v>0</v>
      </c>
      <c r="L66" s="190">
        <v>1</v>
      </c>
      <c r="M66" s="190">
        <f t="shared" si="54"/>
        <v>69.675</v>
      </c>
      <c r="N66" s="190">
        <f t="shared" si="55"/>
        <v>750</v>
      </c>
      <c r="O66" s="190">
        <v>1</v>
      </c>
      <c r="P66" s="190">
        <f t="shared" si="56"/>
        <v>69.675</v>
      </c>
      <c r="Q66" s="190">
        <f t="shared" si="57"/>
        <v>750</v>
      </c>
      <c r="R66" s="188">
        <v>1</v>
      </c>
      <c r="S66" s="189">
        <f t="shared" si="58"/>
        <v>69.675</v>
      </c>
      <c r="T66" s="531">
        <f t="shared" si="59"/>
        <v>750</v>
      </c>
      <c r="U66" s="541"/>
      <c r="V66" s="189">
        <f t="shared" si="60"/>
        <v>0</v>
      </c>
      <c r="W66" s="224">
        <f t="shared" si="61"/>
        <v>0</v>
      </c>
      <c r="X66" s="610" t="s">
        <v>113</v>
      </c>
    </row>
    <row r="67" spans="1:24" s="2" customFormat="1" ht="12" customHeight="1">
      <c r="A67" s="19" t="str">
        <f>'Components and Space Standards'!A71:E71</f>
        <v>Classroom/Training Storage</v>
      </c>
      <c r="B67" s="16">
        <f>'Components and Space Standards'!B71:F71</f>
        <v>5.574</v>
      </c>
      <c r="C67" s="11">
        <f>'Components and Space Standards'!C71:G71</f>
        <v>60</v>
      </c>
      <c r="D67" s="255" t="str">
        <f>'Components and Space Standards'!D71:G71</f>
        <v>Storage Module(s)</v>
      </c>
      <c r="E67" s="17" t="str">
        <f>'Components and Space Standards'!E71:H71</f>
        <v>per 25-person Training Room</v>
      </c>
      <c r="F67" s="188">
        <v>0</v>
      </c>
      <c r="G67" s="189">
        <f t="shared" si="50"/>
        <v>0</v>
      </c>
      <c r="H67" s="190">
        <f t="shared" si="51"/>
        <v>0</v>
      </c>
      <c r="I67" s="190">
        <v>0</v>
      </c>
      <c r="J67" s="190">
        <f t="shared" si="52"/>
        <v>0</v>
      </c>
      <c r="K67" s="190">
        <f t="shared" si="53"/>
        <v>0</v>
      </c>
      <c r="L67" s="190">
        <v>1</v>
      </c>
      <c r="M67" s="190">
        <f t="shared" si="54"/>
        <v>5.574</v>
      </c>
      <c r="N67" s="190">
        <f t="shared" si="55"/>
        <v>60</v>
      </c>
      <c r="O67" s="190">
        <v>1</v>
      </c>
      <c r="P67" s="190">
        <f t="shared" si="56"/>
        <v>5.574</v>
      </c>
      <c r="Q67" s="190">
        <f t="shared" si="57"/>
        <v>60</v>
      </c>
      <c r="R67" s="188">
        <v>1</v>
      </c>
      <c r="S67" s="189">
        <f t="shared" si="58"/>
        <v>5.574</v>
      </c>
      <c r="T67" s="531">
        <f t="shared" si="59"/>
        <v>60</v>
      </c>
      <c r="U67" s="541"/>
      <c r="V67" s="189">
        <f t="shared" si="60"/>
        <v>0</v>
      </c>
      <c r="W67" s="224">
        <f t="shared" si="61"/>
        <v>0</v>
      </c>
      <c r="X67" s="611"/>
    </row>
    <row r="68" spans="1:24" s="2" customFormat="1" ht="15.75" customHeight="1">
      <c r="A68" s="617" t="str">
        <f>'Components and Space Standards'!A72:E72</f>
        <v>Optional or Service-specific Program Spaces</v>
      </c>
      <c r="B68" s="618">
        <f>'Components and Space Standards'!B72:F72</f>
        <v>0</v>
      </c>
      <c r="C68" s="618">
        <f>'Components and Space Standards'!C72:G72</f>
        <v>0</v>
      </c>
      <c r="D68" s="618"/>
      <c r="E68" s="618">
        <f>'Components and Space Standards'!E72:H72</f>
        <v>0</v>
      </c>
      <c r="F68" s="214"/>
      <c r="G68" s="214"/>
      <c r="H68" s="214"/>
      <c r="I68" s="214"/>
      <c r="J68" s="214"/>
      <c r="K68" s="214"/>
      <c r="L68" s="214"/>
      <c r="M68" s="214"/>
      <c r="N68" s="214"/>
      <c r="O68" s="214"/>
      <c r="P68" s="214"/>
      <c r="Q68" s="214"/>
      <c r="R68" s="214"/>
      <c r="S68" s="214"/>
      <c r="T68" s="214"/>
      <c r="U68" s="214"/>
      <c r="V68" s="214"/>
      <c r="W68" s="215"/>
      <c r="X68" s="108"/>
    </row>
    <row r="69" spans="1:24" s="331" customFormat="1" ht="12" customHeight="1">
      <c r="A69" s="184" t="str">
        <f>'Components and Space Standards'!A75:E75</f>
        <v>Indoor Track</v>
      </c>
      <c r="B69" s="185"/>
      <c r="C69" s="197"/>
      <c r="D69" s="197"/>
      <c r="E69" s="199"/>
      <c r="F69" s="200"/>
      <c r="G69" s="204"/>
      <c r="H69" s="205"/>
      <c r="I69" s="205"/>
      <c r="J69" s="205"/>
      <c r="K69" s="205"/>
      <c r="L69" s="205"/>
      <c r="M69" s="205"/>
      <c r="N69" s="205"/>
      <c r="O69" s="205"/>
      <c r="P69" s="205"/>
      <c r="Q69" s="205"/>
      <c r="R69" s="200"/>
      <c r="S69" s="204"/>
      <c r="T69" s="528"/>
      <c r="U69" s="524"/>
      <c r="V69" s="204"/>
      <c r="W69" s="329"/>
      <c r="X69" s="330"/>
    </row>
    <row r="70" spans="1:24" s="456" customFormat="1" ht="12" customHeight="1">
      <c r="A70" s="454" t="str">
        <f>'Components and Space Standards'!A76:E76</f>
        <v>Indoor Track</v>
      </c>
      <c r="B70" s="457"/>
      <c r="C70" s="104"/>
      <c r="D70" s="104"/>
      <c r="E70" s="458"/>
      <c r="F70" s="194"/>
      <c r="G70" s="206"/>
      <c r="H70" s="207"/>
      <c r="I70" s="207"/>
      <c r="J70" s="207"/>
      <c r="K70" s="207"/>
      <c r="L70" s="207"/>
      <c r="M70" s="207"/>
      <c r="N70" s="207"/>
      <c r="O70" s="207"/>
      <c r="P70" s="207"/>
      <c r="Q70" s="207"/>
      <c r="R70" s="194"/>
      <c r="S70" s="206"/>
      <c r="T70" s="529"/>
      <c r="U70" s="525"/>
      <c r="V70" s="206"/>
      <c r="W70" s="459"/>
      <c r="X70" s="455"/>
    </row>
    <row r="71" spans="1:24" s="2" customFormat="1" ht="12" customHeight="1">
      <c r="A71" s="293" t="str">
        <f>'Components and Space Standards'!A77:E77</f>
        <v>1/14th-mile Indoor Track</v>
      </c>
      <c r="B71" s="16">
        <f>'Components and Space Standards'!B77:F77</f>
        <v>310.0073</v>
      </c>
      <c r="C71" s="11">
        <f>'Components and Space Standards'!C77:G77</f>
        <v>3337</v>
      </c>
      <c r="D71" s="255" t="str">
        <f>'Components and Space Standards'!D77:G77</f>
        <v>1/14th-mile, 2-lane Indoor Track </v>
      </c>
      <c r="E71" s="17" t="str">
        <f>'Components and Space Standards'!E77:H77</f>
        <v>1/14th-mile, 2-lane Indoor Track (754 linear ft.)</v>
      </c>
      <c r="F71" s="188">
        <v>1</v>
      </c>
      <c r="G71" s="216">
        <f aca="true" t="shared" si="62" ref="G71:G87">$B71*F71</f>
        <v>310.0073</v>
      </c>
      <c r="H71" s="190">
        <f aca="true" t="shared" si="63" ref="H71:H87">F71*$C71</f>
        <v>3337</v>
      </c>
      <c r="I71" s="190"/>
      <c r="J71" s="190">
        <f aca="true" t="shared" si="64" ref="J71:J87">$B71*I71</f>
        <v>0</v>
      </c>
      <c r="K71" s="190">
        <f aca="true" t="shared" si="65" ref="K71:K87">I71*$C71</f>
        <v>0</v>
      </c>
      <c r="L71" s="190"/>
      <c r="M71" s="190">
        <f aca="true" t="shared" si="66" ref="M71:M87">$B71*L71</f>
        <v>0</v>
      </c>
      <c r="N71" s="190">
        <f aca="true" t="shared" si="67" ref="N71:N87">L71*$C71</f>
        <v>0</v>
      </c>
      <c r="O71" s="190"/>
      <c r="P71" s="190">
        <f aca="true" t="shared" si="68" ref="P71:P87">$B71*O71</f>
        <v>0</v>
      </c>
      <c r="Q71" s="190">
        <f aca="true" t="shared" si="69" ref="Q71:Q87">O71*$C71</f>
        <v>0</v>
      </c>
      <c r="R71" s="188"/>
      <c r="S71" s="216">
        <f aca="true" t="shared" si="70" ref="S71:S87">$B71*R71</f>
        <v>0</v>
      </c>
      <c r="T71" s="531">
        <f aca="true" t="shared" si="71" ref="T71:T87">R71*$C71</f>
        <v>0</v>
      </c>
      <c r="U71" s="541"/>
      <c r="V71" s="216">
        <f aca="true" t="shared" si="72" ref="V71:V87">$B71*U71</f>
        <v>0</v>
      </c>
      <c r="W71" s="224">
        <f aca="true" t="shared" si="73" ref="W71:W87">U71*$C71</f>
        <v>0</v>
      </c>
      <c r="X71" s="108" t="s">
        <v>194</v>
      </c>
    </row>
    <row r="72" spans="1:24" s="2" customFormat="1" ht="12" customHeight="1">
      <c r="A72" s="293" t="str">
        <f>'Components and Space Standards'!A78:E78</f>
        <v>1/12th-mile Indoor Track</v>
      </c>
      <c r="B72" s="16">
        <f>'Components and Space Standards'!B78:F78</f>
        <v>523.0269999999999</v>
      </c>
      <c r="C72" s="11">
        <f>'Components and Space Standards'!C78:G78</f>
        <v>5630</v>
      </c>
      <c r="D72" s="255" t="str">
        <f>'Components and Space Standards'!D78:G78</f>
        <v>1/12th-mile, 3-lane Indoor Track</v>
      </c>
      <c r="E72" s="17" t="str">
        <f>'Components and Space Standards'!E78:H78</f>
        <v>1/12th-mile, 3-lane Indoor Track (1284 linear ft.)</v>
      </c>
      <c r="F72" s="188"/>
      <c r="G72" s="216">
        <f t="shared" si="62"/>
        <v>0</v>
      </c>
      <c r="H72" s="190">
        <f>F72*$C72</f>
        <v>0</v>
      </c>
      <c r="I72" s="190">
        <v>1</v>
      </c>
      <c r="J72" s="190">
        <f t="shared" si="64"/>
        <v>523.0269999999999</v>
      </c>
      <c r="K72" s="190">
        <f>I72*$C72</f>
        <v>5630</v>
      </c>
      <c r="L72" s="190"/>
      <c r="M72" s="190">
        <f t="shared" si="66"/>
        <v>0</v>
      </c>
      <c r="N72" s="190">
        <f>L72*$C72</f>
        <v>0</v>
      </c>
      <c r="O72" s="190"/>
      <c r="P72" s="190">
        <f t="shared" si="68"/>
        <v>0</v>
      </c>
      <c r="Q72" s="190">
        <f>O72*$C72</f>
        <v>0</v>
      </c>
      <c r="R72" s="188"/>
      <c r="S72" s="216">
        <f t="shared" si="70"/>
        <v>0</v>
      </c>
      <c r="T72" s="531">
        <f>R72*$C72</f>
        <v>0</v>
      </c>
      <c r="U72" s="541"/>
      <c r="V72" s="216">
        <f t="shared" si="72"/>
        <v>0</v>
      </c>
      <c r="W72" s="224">
        <f>U72*$C72</f>
        <v>0</v>
      </c>
      <c r="X72" s="108"/>
    </row>
    <row r="73" spans="1:24" s="2" customFormat="1" ht="12" customHeight="1">
      <c r="A73" s="293" t="str">
        <f>'Components and Space Standards'!A79:E79</f>
        <v>1/11th-mile Indoor Track</v>
      </c>
      <c r="B73" s="16">
        <f>'Components and Space Standards'!B79:F79</f>
        <v>556.7497</v>
      </c>
      <c r="C73" s="11">
        <f>'Components and Space Standards'!C79:G79</f>
        <v>5993</v>
      </c>
      <c r="D73" s="255" t="str">
        <f>'Components and Space Standards'!D79:G79</f>
        <v>1/11th-mile, 3-lane Indoor Track </v>
      </c>
      <c r="E73" s="17" t="str">
        <f>'Components and Space Standards'!E79:H79</f>
        <v>1/11th-mile, 3-lane Indoor Track (1440 linear ft.)</v>
      </c>
      <c r="F73" s="188"/>
      <c r="G73" s="216">
        <f t="shared" si="62"/>
        <v>0</v>
      </c>
      <c r="H73" s="190">
        <f t="shared" si="63"/>
        <v>0</v>
      </c>
      <c r="I73" s="190"/>
      <c r="J73" s="190">
        <f t="shared" si="64"/>
        <v>0</v>
      </c>
      <c r="K73" s="190">
        <f t="shared" si="65"/>
        <v>0</v>
      </c>
      <c r="L73" s="190">
        <v>1</v>
      </c>
      <c r="M73" s="190">
        <f t="shared" si="66"/>
        <v>556.7497</v>
      </c>
      <c r="N73" s="190">
        <f t="shared" si="67"/>
        <v>5993</v>
      </c>
      <c r="O73" s="190">
        <v>1</v>
      </c>
      <c r="P73" s="190">
        <f t="shared" si="68"/>
        <v>556.7497</v>
      </c>
      <c r="Q73" s="190">
        <f t="shared" si="69"/>
        <v>5993</v>
      </c>
      <c r="R73" s="188">
        <v>1</v>
      </c>
      <c r="S73" s="216">
        <f t="shared" si="70"/>
        <v>556.7497</v>
      </c>
      <c r="T73" s="531">
        <f t="shared" si="71"/>
        <v>5993</v>
      </c>
      <c r="U73" s="541"/>
      <c r="V73" s="216">
        <f t="shared" si="72"/>
        <v>0</v>
      </c>
      <c r="W73" s="224">
        <f t="shared" si="73"/>
        <v>0</v>
      </c>
      <c r="X73" s="108"/>
    </row>
    <row r="74" spans="1:24" s="2" customFormat="1" ht="12" customHeight="1">
      <c r="A74" s="293" t="str">
        <f>'Components and Space Standards'!A80:E80</f>
        <v>1/8th-mile Indoor Track</v>
      </c>
      <c r="B74" s="16">
        <f>'Components and Space Standards'!B80:F80</f>
        <v>989.1062999999999</v>
      </c>
      <c r="C74" s="11">
        <f>'Components and Space Standards'!C80:G80</f>
        <v>10647</v>
      </c>
      <c r="D74" s="255" t="str">
        <f>'Components and Space Standards'!D80:G80</f>
        <v>1/8th-mile, 4-lane Indoor Track </v>
      </c>
      <c r="E74" s="17" t="str">
        <f>'Components and Space Standards'!E80:H80</f>
        <v>1/8th-mile, 4-lane Indoor Track (2640 linear ft.)</v>
      </c>
      <c r="F74" s="188"/>
      <c r="G74" s="216">
        <f t="shared" si="62"/>
        <v>0</v>
      </c>
      <c r="H74" s="190">
        <f t="shared" si="63"/>
        <v>0</v>
      </c>
      <c r="I74" s="190"/>
      <c r="J74" s="190">
        <f t="shared" si="64"/>
        <v>0</v>
      </c>
      <c r="K74" s="190">
        <f t="shared" si="65"/>
        <v>0</v>
      </c>
      <c r="L74" s="190"/>
      <c r="M74" s="190">
        <f t="shared" si="66"/>
        <v>0</v>
      </c>
      <c r="N74" s="190">
        <f t="shared" si="67"/>
        <v>0</v>
      </c>
      <c r="O74" s="190"/>
      <c r="P74" s="190">
        <f t="shared" si="68"/>
        <v>0</v>
      </c>
      <c r="Q74" s="190">
        <f t="shared" si="69"/>
        <v>0</v>
      </c>
      <c r="R74" s="188"/>
      <c r="S74" s="216">
        <f t="shared" si="70"/>
        <v>0</v>
      </c>
      <c r="T74" s="531">
        <f t="shared" si="71"/>
        <v>0</v>
      </c>
      <c r="U74" s="541"/>
      <c r="V74" s="216">
        <f t="shared" si="72"/>
        <v>0</v>
      </c>
      <c r="W74" s="224">
        <f t="shared" si="73"/>
        <v>0</v>
      </c>
      <c r="X74" s="108"/>
    </row>
    <row r="75" spans="1:24" s="2" customFormat="1" ht="12" customHeight="1">
      <c r="A75" s="23" t="str">
        <f>'Components and Space Standards'!A81:E81</f>
        <v>Indoor track lobby</v>
      </c>
      <c r="B75" s="16">
        <f>'Components and Space Standards'!B81:F81</f>
        <v>13.3776</v>
      </c>
      <c r="C75" s="11">
        <f>'Components and Space Standards'!C81:G81</f>
        <v>144</v>
      </c>
      <c r="D75" s="255" t="str">
        <f>'Components and Space Standards'!D81:G81</f>
        <v>Indoor track lobby(ies)</v>
      </c>
      <c r="E75" s="17" t="str">
        <f>'Components and Space Standards'!E81:H81</f>
        <v>Access point to lobby from stair/elevator</v>
      </c>
      <c r="F75" s="188">
        <v>1</v>
      </c>
      <c r="G75" s="216">
        <f t="shared" si="62"/>
        <v>13.3776</v>
      </c>
      <c r="H75" s="190">
        <f t="shared" si="63"/>
        <v>144</v>
      </c>
      <c r="I75" s="190">
        <v>1.5</v>
      </c>
      <c r="J75" s="190">
        <f t="shared" si="64"/>
        <v>20.066399999999998</v>
      </c>
      <c r="K75" s="190">
        <f t="shared" si="65"/>
        <v>216</v>
      </c>
      <c r="L75" s="190">
        <v>1.5</v>
      </c>
      <c r="M75" s="190">
        <f t="shared" si="66"/>
        <v>20.066399999999998</v>
      </c>
      <c r="N75" s="190">
        <f t="shared" si="67"/>
        <v>216</v>
      </c>
      <c r="O75" s="190">
        <v>1.5</v>
      </c>
      <c r="P75" s="190">
        <f t="shared" si="68"/>
        <v>20.066399999999998</v>
      </c>
      <c r="Q75" s="190">
        <f t="shared" si="69"/>
        <v>216</v>
      </c>
      <c r="R75" s="188">
        <v>1.5</v>
      </c>
      <c r="S75" s="216">
        <f t="shared" si="70"/>
        <v>20.066399999999998</v>
      </c>
      <c r="T75" s="531">
        <f t="shared" si="71"/>
        <v>216</v>
      </c>
      <c r="U75" s="541"/>
      <c r="V75" s="216">
        <f t="shared" si="72"/>
        <v>0</v>
      </c>
      <c r="W75" s="224">
        <f t="shared" si="73"/>
        <v>0</v>
      </c>
      <c r="X75" s="108"/>
    </row>
    <row r="76" spans="1:24" s="2" customFormat="1" ht="12" customHeight="1">
      <c r="A76" s="103" t="str">
        <f>'Components and Space Standards'!A82:E82</f>
        <v>Additional Group Exercise Room</v>
      </c>
      <c r="B76" s="16">
        <f>'Components and Space Standards'!B82:F82</f>
        <v>116.125</v>
      </c>
      <c r="C76" s="11">
        <f>'Components and Space Standards'!C82:G82</f>
        <v>1250</v>
      </c>
      <c r="D76" s="255" t="str">
        <f>'Components and Space Standards'!D82:G82</f>
        <v>Additional Group Exercise Room</v>
      </c>
      <c r="E76" s="17" t="str">
        <f>'Components and Space Standards'!E82:H82</f>
        <v>per room</v>
      </c>
      <c r="F76" s="188"/>
      <c r="G76" s="189">
        <f t="shared" si="62"/>
        <v>0</v>
      </c>
      <c r="H76" s="190">
        <f t="shared" si="63"/>
        <v>0</v>
      </c>
      <c r="I76" s="190"/>
      <c r="J76" s="190">
        <f t="shared" si="64"/>
        <v>0</v>
      </c>
      <c r="K76" s="190">
        <f t="shared" si="65"/>
        <v>0</v>
      </c>
      <c r="L76" s="190"/>
      <c r="M76" s="190">
        <f t="shared" si="66"/>
        <v>0</v>
      </c>
      <c r="N76" s="190">
        <f t="shared" si="67"/>
        <v>0</v>
      </c>
      <c r="O76" s="190"/>
      <c r="P76" s="190">
        <f t="shared" si="68"/>
        <v>0</v>
      </c>
      <c r="Q76" s="190">
        <f t="shared" si="69"/>
        <v>0</v>
      </c>
      <c r="R76" s="188"/>
      <c r="S76" s="216">
        <f t="shared" si="70"/>
        <v>0</v>
      </c>
      <c r="T76" s="531">
        <f t="shared" si="71"/>
        <v>0</v>
      </c>
      <c r="U76" s="541"/>
      <c r="V76" s="216">
        <f t="shared" si="72"/>
        <v>0</v>
      </c>
      <c r="W76" s="224">
        <f t="shared" si="73"/>
        <v>0</v>
      </c>
      <c r="X76" s="108" t="s">
        <v>76</v>
      </c>
    </row>
    <row r="77" spans="1:24" s="2" customFormat="1" ht="12" customHeight="1">
      <c r="A77" s="19" t="str">
        <f>'Components and Space Standards'!A83:E83</f>
        <v>Massage Room</v>
      </c>
      <c r="B77" s="16">
        <f>'Components and Space Standards'!B83:F83</f>
        <v>11.148</v>
      </c>
      <c r="C77" s="11">
        <f>'Components and Space Standards'!C83:G83</f>
        <v>120</v>
      </c>
      <c r="D77" s="255" t="str">
        <f>'Components and Space Standards'!D83:G83</f>
        <v>Massage Room(s)</v>
      </c>
      <c r="E77" s="17" t="str">
        <f>'Components and Space Standards'!E83:H83</f>
        <v>per room</v>
      </c>
      <c r="F77" s="188"/>
      <c r="G77" s="189">
        <f t="shared" si="62"/>
        <v>0</v>
      </c>
      <c r="H77" s="190">
        <f t="shared" si="63"/>
        <v>0</v>
      </c>
      <c r="I77" s="190"/>
      <c r="J77" s="190">
        <f t="shared" si="64"/>
        <v>0</v>
      </c>
      <c r="K77" s="190">
        <f t="shared" si="65"/>
        <v>0</v>
      </c>
      <c r="L77" s="190"/>
      <c r="M77" s="190">
        <f t="shared" si="66"/>
        <v>0</v>
      </c>
      <c r="N77" s="190">
        <f t="shared" si="67"/>
        <v>0</v>
      </c>
      <c r="O77" s="190"/>
      <c r="P77" s="190">
        <f t="shared" si="68"/>
        <v>0</v>
      </c>
      <c r="Q77" s="190">
        <f t="shared" si="69"/>
        <v>0</v>
      </c>
      <c r="R77" s="188"/>
      <c r="S77" s="189">
        <f t="shared" si="70"/>
        <v>0</v>
      </c>
      <c r="T77" s="531">
        <f t="shared" si="71"/>
        <v>0</v>
      </c>
      <c r="U77" s="541"/>
      <c r="V77" s="189">
        <f t="shared" si="72"/>
        <v>0</v>
      </c>
      <c r="W77" s="224">
        <f t="shared" si="73"/>
        <v>0</v>
      </c>
      <c r="X77" s="108"/>
    </row>
    <row r="78" spans="1:24" s="2" customFormat="1" ht="12" customHeight="1">
      <c r="A78" s="19" t="str">
        <f>'Components and Space Standards'!A84:E84</f>
        <v>Physical Therapy Training</v>
      </c>
      <c r="B78" s="16">
        <f>'Components and Space Standards'!B84:F84</f>
        <v>11.612499999999999</v>
      </c>
      <c r="C78" s="11">
        <f>'Components and Space Standards'!C84:G84</f>
        <v>125</v>
      </c>
      <c r="D78" s="255" t="str">
        <f>'Components and Space Standards'!D84:G84</f>
        <v>Physical Therapy Training Room(s)</v>
      </c>
      <c r="E78" s="17" t="str">
        <f>'Components and Space Standards'!E84:H84</f>
        <v>per room</v>
      </c>
      <c r="F78" s="188"/>
      <c r="G78" s="189">
        <f t="shared" si="62"/>
        <v>0</v>
      </c>
      <c r="H78" s="190">
        <f t="shared" si="63"/>
        <v>0</v>
      </c>
      <c r="I78" s="190"/>
      <c r="J78" s="190">
        <f t="shared" si="64"/>
        <v>0</v>
      </c>
      <c r="K78" s="190">
        <f t="shared" si="65"/>
        <v>0</v>
      </c>
      <c r="L78" s="190"/>
      <c r="M78" s="190">
        <f t="shared" si="66"/>
        <v>0</v>
      </c>
      <c r="N78" s="190">
        <f t="shared" si="67"/>
        <v>0</v>
      </c>
      <c r="O78" s="190"/>
      <c r="P78" s="190">
        <f t="shared" si="68"/>
        <v>0</v>
      </c>
      <c r="Q78" s="190">
        <f t="shared" si="69"/>
        <v>0</v>
      </c>
      <c r="R78" s="188"/>
      <c r="S78" s="189">
        <f t="shared" si="70"/>
        <v>0</v>
      </c>
      <c r="T78" s="531">
        <f t="shared" si="71"/>
        <v>0</v>
      </c>
      <c r="U78" s="541"/>
      <c r="V78" s="189">
        <f t="shared" si="72"/>
        <v>0</v>
      </c>
      <c r="W78" s="224">
        <f t="shared" si="73"/>
        <v>0</v>
      </c>
      <c r="X78" s="108" t="s">
        <v>78</v>
      </c>
    </row>
    <row r="79" spans="1:24" s="2" customFormat="1" ht="12" customHeight="1">
      <c r="A79" s="19" t="str">
        <f>'Components and Space Standards'!A85:E85</f>
        <v>Expanded Retail 1</v>
      </c>
      <c r="B79" s="16">
        <f>'Components and Space Standards'!B85:F85</f>
        <v>9.29</v>
      </c>
      <c r="C79" s="11">
        <f>'Components and Space Standards'!C85:G85</f>
        <v>100</v>
      </c>
      <c r="D79" s="255" t="str">
        <f>'Components and Space Standards'!D85:G85</f>
        <v>Expanded Retail Module(s)</v>
      </c>
      <c r="E79" s="17" t="str">
        <f>'Components and Space Standards'!E85:H85</f>
        <v>per area</v>
      </c>
      <c r="F79" s="188"/>
      <c r="G79" s="189">
        <f t="shared" si="62"/>
        <v>0</v>
      </c>
      <c r="H79" s="190">
        <f t="shared" si="63"/>
        <v>0</v>
      </c>
      <c r="I79" s="190"/>
      <c r="J79" s="190">
        <f t="shared" si="64"/>
        <v>0</v>
      </c>
      <c r="K79" s="190">
        <f t="shared" si="65"/>
        <v>0</v>
      </c>
      <c r="L79" s="190"/>
      <c r="M79" s="190">
        <f t="shared" si="66"/>
        <v>0</v>
      </c>
      <c r="N79" s="190">
        <f t="shared" si="67"/>
        <v>0</v>
      </c>
      <c r="O79" s="190"/>
      <c r="P79" s="190">
        <f t="shared" si="68"/>
        <v>0</v>
      </c>
      <c r="Q79" s="190">
        <f t="shared" si="69"/>
        <v>0</v>
      </c>
      <c r="R79" s="188"/>
      <c r="S79" s="189">
        <f t="shared" si="70"/>
        <v>0</v>
      </c>
      <c r="T79" s="531">
        <f t="shared" si="71"/>
        <v>0</v>
      </c>
      <c r="U79" s="541"/>
      <c r="V79" s="189">
        <f t="shared" si="72"/>
        <v>0</v>
      </c>
      <c r="W79" s="224">
        <f t="shared" si="73"/>
        <v>0</v>
      </c>
      <c r="X79" s="118" t="s">
        <v>123</v>
      </c>
    </row>
    <row r="80" spans="1:24" s="2" customFormat="1" ht="12" customHeight="1">
      <c r="A80" s="19" t="str">
        <f>'Components and Space Standards'!A86:E86</f>
        <v>Expanded Juice Bar 1</v>
      </c>
      <c r="B80" s="16">
        <f>'Components and Space Standards'!B86:F86</f>
        <v>13.934999999999999</v>
      </c>
      <c r="C80" s="11">
        <f>'Components and Space Standards'!C86:G86</f>
        <v>150</v>
      </c>
      <c r="D80" s="255" t="str">
        <f>'Components and Space Standards'!D86:G86</f>
        <v>Expanded Juice Bar Module(s)</v>
      </c>
      <c r="E80" s="17" t="str">
        <f>'Components and Space Standards'!E86:H86</f>
        <v>per area</v>
      </c>
      <c r="F80" s="188"/>
      <c r="G80" s="189">
        <f t="shared" si="62"/>
        <v>0</v>
      </c>
      <c r="H80" s="190">
        <f t="shared" si="63"/>
        <v>0</v>
      </c>
      <c r="I80" s="190"/>
      <c r="J80" s="190">
        <f t="shared" si="64"/>
        <v>0</v>
      </c>
      <c r="K80" s="190">
        <f t="shared" si="65"/>
        <v>0</v>
      </c>
      <c r="L80" s="190"/>
      <c r="M80" s="190">
        <f t="shared" si="66"/>
        <v>0</v>
      </c>
      <c r="N80" s="190">
        <f t="shared" si="67"/>
        <v>0</v>
      </c>
      <c r="O80" s="190"/>
      <c r="P80" s="190">
        <f t="shared" si="68"/>
        <v>0</v>
      </c>
      <c r="Q80" s="190">
        <f t="shared" si="69"/>
        <v>0</v>
      </c>
      <c r="R80" s="188"/>
      <c r="S80" s="189">
        <f t="shared" si="70"/>
        <v>0</v>
      </c>
      <c r="T80" s="531">
        <f t="shared" si="71"/>
        <v>0</v>
      </c>
      <c r="U80" s="541"/>
      <c r="V80" s="189">
        <f t="shared" si="72"/>
        <v>0</v>
      </c>
      <c r="W80" s="224">
        <f t="shared" si="73"/>
        <v>0</v>
      </c>
      <c r="X80" s="118" t="s">
        <v>124</v>
      </c>
    </row>
    <row r="81" spans="1:24" s="2" customFormat="1" ht="12" customHeight="1">
      <c r="A81" s="19" t="str">
        <f>'Components and Space Standards'!A87:E87</f>
        <v>Expanded Juice Bar Seating</v>
      </c>
      <c r="B81" s="16">
        <f>'Components and Space Standards'!B87:F87</f>
        <v>13.934999999999999</v>
      </c>
      <c r="C81" s="11">
        <f>'Components and Space Standards'!C87:G87</f>
        <v>150</v>
      </c>
      <c r="D81" s="255" t="str">
        <f>'Components and Space Standards'!D87:G87</f>
        <v>Two-table seating Module(s)</v>
      </c>
      <c r="E81" s="17" t="str">
        <f>'Components and Space Standards'!E87:H87</f>
        <v>Two 4-top tables and seating area</v>
      </c>
      <c r="F81" s="188"/>
      <c r="G81" s="189">
        <f t="shared" si="62"/>
        <v>0</v>
      </c>
      <c r="H81" s="190">
        <f t="shared" si="63"/>
        <v>0</v>
      </c>
      <c r="I81" s="190"/>
      <c r="J81" s="190">
        <f t="shared" si="64"/>
        <v>0</v>
      </c>
      <c r="K81" s="190">
        <f t="shared" si="65"/>
        <v>0</v>
      </c>
      <c r="L81" s="190"/>
      <c r="M81" s="190">
        <f t="shared" si="66"/>
        <v>0</v>
      </c>
      <c r="N81" s="190">
        <f t="shared" si="67"/>
        <v>0</v>
      </c>
      <c r="O81" s="190"/>
      <c r="P81" s="190">
        <f t="shared" si="68"/>
        <v>0</v>
      </c>
      <c r="Q81" s="190">
        <f t="shared" si="69"/>
        <v>0</v>
      </c>
      <c r="R81" s="188"/>
      <c r="S81" s="189">
        <f t="shared" si="70"/>
        <v>0</v>
      </c>
      <c r="T81" s="531">
        <f t="shared" si="71"/>
        <v>0</v>
      </c>
      <c r="U81" s="541"/>
      <c r="V81" s="189">
        <f t="shared" si="72"/>
        <v>0</v>
      </c>
      <c r="W81" s="224">
        <f t="shared" si="73"/>
        <v>0</v>
      </c>
      <c r="X81" s="118"/>
    </row>
    <row r="82" spans="1:24" s="2" customFormat="1" ht="12" customHeight="1">
      <c r="A82" s="19" t="str">
        <f>'Components and Space Standards'!A88:E88</f>
        <v>Family Changing Room</v>
      </c>
      <c r="B82" s="16">
        <f>'Components and Space Standards'!B88:F88</f>
        <v>10.219</v>
      </c>
      <c r="C82" s="11">
        <f>'Components and Space Standards'!C88:G88</f>
        <v>110</v>
      </c>
      <c r="D82" s="255" t="str">
        <f>'Components and Space Standards'!D88:G88</f>
        <v>Family Changing Room(s)</v>
      </c>
      <c r="E82" s="17" t="str">
        <f>'Components and Space Standards'!E88:H88</f>
        <v>per shower, wc, lav, changing, and locker</v>
      </c>
      <c r="F82" s="188"/>
      <c r="G82" s="189">
        <f t="shared" si="62"/>
        <v>0</v>
      </c>
      <c r="H82" s="190">
        <f t="shared" si="63"/>
        <v>0</v>
      </c>
      <c r="I82" s="190"/>
      <c r="J82" s="190">
        <f t="shared" si="64"/>
        <v>0</v>
      </c>
      <c r="K82" s="190">
        <f t="shared" si="65"/>
        <v>0</v>
      </c>
      <c r="L82" s="190"/>
      <c r="M82" s="190">
        <f t="shared" si="66"/>
        <v>0</v>
      </c>
      <c r="N82" s="190">
        <f t="shared" si="67"/>
        <v>0</v>
      </c>
      <c r="O82" s="190"/>
      <c r="P82" s="190">
        <f t="shared" si="68"/>
        <v>0</v>
      </c>
      <c r="Q82" s="190">
        <f t="shared" si="69"/>
        <v>0</v>
      </c>
      <c r="R82" s="188"/>
      <c r="S82" s="189">
        <f t="shared" si="70"/>
        <v>0</v>
      </c>
      <c r="T82" s="531">
        <f t="shared" si="71"/>
        <v>0</v>
      </c>
      <c r="U82" s="541"/>
      <c r="V82" s="189">
        <f t="shared" si="72"/>
        <v>0</v>
      </c>
      <c r="W82" s="224">
        <f t="shared" si="73"/>
        <v>0</v>
      </c>
      <c r="X82" s="108" t="s">
        <v>197</v>
      </c>
    </row>
    <row r="83" spans="1:24" s="2" customFormat="1" ht="12" customHeight="1">
      <c r="A83" s="19" t="str">
        <f>'Components and Space Standards'!A89:E89</f>
        <v>Convertible Locker Space</v>
      </c>
      <c r="B83" s="16">
        <f>'Components and Space Standards'!B89:F89</f>
        <v>69.675</v>
      </c>
      <c r="C83" s="11">
        <f>'Components and Space Standards'!C89:G89</f>
        <v>750</v>
      </c>
      <c r="D83" s="255" t="str">
        <f>'Components and Space Standards'!D89:G89</f>
        <v>Add'l male or female space</v>
      </c>
      <c r="E83" s="17" t="str">
        <f>'Components and Space Standards'!E89:H89</f>
        <v>750 sf</v>
      </c>
      <c r="F83" s="188"/>
      <c r="G83" s="189">
        <f t="shared" si="62"/>
        <v>0</v>
      </c>
      <c r="H83" s="190">
        <f t="shared" si="63"/>
        <v>0</v>
      </c>
      <c r="I83" s="190"/>
      <c r="J83" s="190">
        <f t="shared" si="64"/>
        <v>0</v>
      </c>
      <c r="K83" s="190">
        <f t="shared" si="65"/>
        <v>0</v>
      </c>
      <c r="L83" s="190"/>
      <c r="M83" s="190">
        <f t="shared" si="66"/>
        <v>0</v>
      </c>
      <c r="N83" s="190">
        <f t="shared" si="67"/>
        <v>0</v>
      </c>
      <c r="O83" s="190"/>
      <c r="P83" s="190">
        <f t="shared" si="68"/>
        <v>0</v>
      </c>
      <c r="Q83" s="190">
        <f t="shared" si="69"/>
        <v>0</v>
      </c>
      <c r="R83" s="188"/>
      <c r="S83" s="189">
        <f t="shared" si="70"/>
        <v>0</v>
      </c>
      <c r="T83" s="531">
        <f t="shared" si="71"/>
        <v>0</v>
      </c>
      <c r="U83" s="541"/>
      <c r="V83" s="189">
        <f t="shared" si="72"/>
        <v>0</v>
      </c>
      <c r="W83" s="224">
        <f t="shared" si="73"/>
        <v>0</v>
      </c>
      <c r="X83" s="633" t="s">
        <v>79</v>
      </c>
    </row>
    <row r="84" spans="1:24" s="2" customFormat="1" ht="12" customHeight="1">
      <c r="A84" s="19" t="str">
        <f>'Components and Space Standards'!A90:E90</f>
        <v>Female DV Locker Room *</v>
      </c>
      <c r="B84" s="16">
        <f>'Components and Space Standards'!B90:F90</f>
        <v>23.224999999999998</v>
      </c>
      <c r="C84" s="11">
        <f>'Components and Space Standards'!C90:G90</f>
        <v>250</v>
      </c>
      <c r="D84" s="255" t="str">
        <f>'Components and Space Standards'!D90:G90</f>
        <v>Female DV Locker Room</v>
      </c>
      <c r="E84" s="17" t="str">
        <f>'Components and Space Standards'!E90:H90</f>
        <v>250, 500, 750</v>
      </c>
      <c r="F84" s="188"/>
      <c r="G84" s="189">
        <f t="shared" si="62"/>
        <v>0</v>
      </c>
      <c r="H84" s="190">
        <f t="shared" si="63"/>
        <v>0</v>
      </c>
      <c r="I84" s="190"/>
      <c r="J84" s="190">
        <f t="shared" si="64"/>
        <v>0</v>
      </c>
      <c r="K84" s="190">
        <f t="shared" si="65"/>
        <v>0</v>
      </c>
      <c r="L84" s="190"/>
      <c r="M84" s="190">
        <f t="shared" si="66"/>
        <v>0</v>
      </c>
      <c r="N84" s="190">
        <f t="shared" si="67"/>
        <v>0</v>
      </c>
      <c r="O84" s="190"/>
      <c r="P84" s="190">
        <f t="shared" si="68"/>
        <v>0</v>
      </c>
      <c r="Q84" s="190">
        <f t="shared" si="69"/>
        <v>0</v>
      </c>
      <c r="R84" s="188"/>
      <c r="S84" s="189">
        <f t="shared" si="70"/>
        <v>0</v>
      </c>
      <c r="T84" s="531">
        <f t="shared" si="71"/>
        <v>0</v>
      </c>
      <c r="U84" s="541"/>
      <c r="V84" s="189">
        <f t="shared" si="72"/>
        <v>0</v>
      </c>
      <c r="W84" s="224">
        <f t="shared" si="73"/>
        <v>0</v>
      </c>
      <c r="X84" s="634"/>
    </row>
    <row r="85" spans="1:24" s="2" customFormat="1" ht="12" customHeight="1">
      <c r="A85" s="19" t="str">
        <f>'Components and Space Standards'!A91:E91</f>
        <v>Child Play Area/Parent Child Area *</v>
      </c>
      <c r="B85" s="16">
        <f>'Components and Space Standards'!B91:F91</f>
        <v>74.32</v>
      </c>
      <c r="C85" s="11">
        <f>'Components and Space Standards'!C91:G91</f>
        <v>800</v>
      </c>
      <c r="D85" s="255" t="str">
        <f>'Components and Space Standards'!D91:G91</f>
        <v>Parent/child Module(s)</v>
      </c>
      <c r="E85" s="17" t="str">
        <f>'Components and Space Standards'!E91:H91</f>
        <v>400 sf play area (at 35 sf/child), 400 sf equip (50 sf/equip)</v>
      </c>
      <c r="F85" s="188"/>
      <c r="G85" s="189">
        <f t="shared" si="62"/>
        <v>0</v>
      </c>
      <c r="H85" s="190">
        <f t="shared" si="63"/>
        <v>0</v>
      </c>
      <c r="I85" s="190"/>
      <c r="J85" s="190">
        <f t="shared" si="64"/>
        <v>0</v>
      </c>
      <c r="K85" s="190">
        <f t="shared" si="65"/>
        <v>0</v>
      </c>
      <c r="L85" s="190"/>
      <c r="M85" s="190">
        <f t="shared" si="66"/>
        <v>0</v>
      </c>
      <c r="N85" s="190">
        <f t="shared" si="67"/>
        <v>0</v>
      </c>
      <c r="O85" s="190"/>
      <c r="P85" s="190">
        <f t="shared" si="68"/>
        <v>0</v>
      </c>
      <c r="Q85" s="190">
        <f t="shared" si="69"/>
        <v>0</v>
      </c>
      <c r="R85" s="188"/>
      <c r="S85" s="189">
        <f t="shared" si="70"/>
        <v>0</v>
      </c>
      <c r="T85" s="531">
        <f t="shared" si="71"/>
        <v>0</v>
      </c>
      <c r="U85" s="541"/>
      <c r="V85" s="189">
        <f t="shared" si="72"/>
        <v>0</v>
      </c>
      <c r="W85" s="224">
        <f t="shared" si="73"/>
        <v>0</v>
      </c>
      <c r="X85" s="108"/>
    </row>
    <row r="86" spans="1:24" s="2" customFormat="1" ht="12" customHeight="1">
      <c r="A86" s="19" t="str">
        <f>'Components and Space Standards'!A92:E92</f>
        <v>HAWC Demonstration Kitchen</v>
      </c>
      <c r="B86" s="16">
        <f>'Components and Space Standards'!B92:F92</f>
        <v>46.449999999999996</v>
      </c>
      <c r="C86" s="11">
        <f>'Components and Space Standards'!C92:G92</f>
        <v>500</v>
      </c>
      <c r="D86" s="255" t="str">
        <f>'Components and Space Standards'!D92:G92</f>
        <v>Kitchen Module(s)</v>
      </c>
      <c r="E86" s="17" t="str">
        <f>'Components and Space Standards'!E92:H92</f>
        <v>per kitchen</v>
      </c>
      <c r="F86" s="188"/>
      <c r="G86" s="189">
        <f t="shared" si="62"/>
        <v>0</v>
      </c>
      <c r="H86" s="190">
        <f t="shared" si="63"/>
        <v>0</v>
      </c>
      <c r="I86" s="190"/>
      <c r="J86" s="190">
        <f t="shared" si="64"/>
        <v>0</v>
      </c>
      <c r="K86" s="190">
        <f t="shared" si="65"/>
        <v>0</v>
      </c>
      <c r="L86" s="190"/>
      <c r="M86" s="190">
        <f t="shared" si="66"/>
        <v>0</v>
      </c>
      <c r="N86" s="190">
        <f t="shared" si="67"/>
        <v>0</v>
      </c>
      <c r="O86" s="190"/>
      <c r="P86" s="190">
        <f t="shared" si="68"/>
        <v>0</v>
      </c>
      <c r="Q86" s="190">
        <f t="shared" si="69"/>
        <v>0</v>
      </c>
      <c r="R86" s="188"/>
      <c r="S86" s="189">
        <f t="shared" si="70"/>
        <v>0</v>
      </c>
      <c r="T86" s="531">
        <f t="shared" si="71"/>
        <v>0</v>
      </c>
      <c r="U86" s="541"/>
      <c r="V86" s="189">
        <f t="shared" si="72"/>
        <v>0</v>
      </c>
      <c r="W86" s="224">
        <f t="shared" si="73"/>
        <v>0</v>
      </c>
      <c r="X86" s="108" t="s">
        <v>56</v>
      </c>
    </row>
    <row r="87" spans="1:24" s="2" customFormat="1" ht="12" customHeight="1">
      <c r="A87" s="354" t="str">
        <f>'Components and Space Standards'!A93:E93</f>
        <v>HAWC Relaxation Room *</v>
      </c>
      <c r="B87" s="355">
        <f>'Components and Space Standards'!B93:F93</f>
        <v>9.29</v>
      </c>
      <c r="C87" s="356">
        <f>'Components and Space Standards'!C93:G93</f>
        <v>100</v>
      </c>
      <c r="D87" s="325" t="str">
        <f>'Components and Space Standards'!D93:G93</f>
        <v>Relaxation Room(s)</v>
      </c>
      <c r="E87" s="101" t="str">
        <f>'Components and Space Standards'!E93:H93</f>
        <v>per room</v>
      </c>
      <c r="F87" s="360"/>
      <c r="G87" s="361">
        <f t="shared" si="62"/>
        <v>0</v>
      </c>
      <c r="H87" s="362">
        <f t="shared" si="63"/>
        <v>0</v>
      </c>
      <c r="I87" s="362"/>
      <c r="J87" s="362">
        <f t="shared" si="64"/>
        <v>0</v>
      </c>
      <c r="K87" s="362">
        <f t="shared" si="65"/>
        <v>0</v>
      </c>
      <c r="L87" s="362"/>
      <c r="M87" s="362">
        <f t="shared" si="66"/>
        <v>0</v>
      </c>
      <c r="N87" s="362">
        <f t="shared" si="67"/>
        <v>0</v>
      </c>
      <c r="O87" s="362"/>
      <c r="P87" s="362">
        <f t="shared" si="68"/>
        <v>0</v>
      </c>
      <c r="Q87" s="362">
        <f t="shared" si="69"/>
        <v>0</v>
      </c>
      <c r="R87" s="360"/>
      <c r="S87" s="361">
        <f t="shared" si="70"/>
        <v>0</v>
      </c>
      <c r="T87" s="533">
        <f t="shared" si="71"/>
        <v>0</v>
      </c>
      <c r="U87" s="542"/>
      <c r="V87" s="361">
        <f t="shared" si="72"/>
        <v>0</v>
      </c>
      <c r="W87" s="363">
        <f t="shared" si="73"/>
        <v>0</v>
      </c>
      <c r="X87" s="357" t="s">
        <v>56</v>
      </c>
    </row>
    <row r="88" spans="1:24" s="380" customFormat="1" ht="15.75" customHeight="1">
      <c r="A88" s="132" t="str">
        <f>'Components and Space Standards'!A94:E94</f>
        <v>Site Spaces</v>
      </c>
      <c r="B88" s="368"/>
      <c r="C88" s="369"/>
      <c r="D88" s="370"/>
      <c r="E88" s="371"/>
      <c r="F88" s="375"/>
      <c r="G88" s="376"/>
      <c r="H88" s="377"/>
      <c r="I88" s="377"/>
      <c r="J88" s="377"/>
      <c r="K88" s="377"/>
      <c r="L88" s="377"/>
      <c r="M88" s="377"/>
      <c r="N88" s="377"/>
      <c r="O88" s="377"/>
      <c r="P88" s="377"/>
      <c r="Q88" s="377"/>
      <c r="R88" s="375"/>
      <c r="S88" s="376"/>
      <c r="T88" s="378"/>
      <c r="U88" s="375"/>
      <c r="V88" s="376"/>
      <c r="W88" s="547"/>
      <c r="X88" s="379"/>
    </row>
    <row r="89" spans="1:24" s="2" customFormat="1" ht="12" customHeight="1">
      <c r="A89" s="128" t="str">
        <f>'Components and Space Standards'!A95:E95</f>
        <v>Staff Parking</v>
      </c>
      <c r="B89" s="364">
        <f>'Components and Space Standards'!B95:F95</f>
        <v>41.805</v>
      </c>
      <c r="C89" s="21">
        <f>'Components and Space Standards'!C95:G95</f>
        <v>450</v>
      </c>
      <c r="D89" s="253" t="str">
        <f>'Components and Space Standards'!D95:G95</f>
        <v>Parking Spaces</v>
      </c>
      <c r="E89" s="22" t="str">
        <f>'Components and Space Standards'!E95:H95</f>
        <v>per space (including circulation)</v>
      </c>
      <c r="F89" s="225">
        <v>6</v>
      </c>
      <c r="G89" s="229">
        <f aca="true" t="shared" si="74" ref="G89:G94">F89*B89</f>
        <v>250.82999999999998</v>
      </c>
      <c r="H89" s="228">
        <f aca="true" t="shared" si="75" ref="H89:H94">F89*C89</f>
        <v>2700</v>
      </c>
      <c r="I89" s="228">
        <v>6</v>
      </c>
      <c r="J89" s="228">
        <f aca="true" t="shared" si="76" ref="J89:J94">$B89*I89</f>
        <v>250.82999999999998</v>
      </c>
      <c r="K89" s="228">
        <f aca="true" t="shared" si="77" ref="K89:K94">I89*$C89</f>
        <v>2700</v>
      </c>
      <c r="L89" s="228">
        <v>6</v>
      </c>
      <c r="M89" s="228">
        <f aca="true" t="shared" si="78" ref="M89:M94">$B89*L89</f>
        <v>250.82999999999998</v>
      </c>
      <c r="N89" s="228">
        <f aca="true" t="shared" si="79" ref="N89:N94">L89*$C89</f>
        <v>2700</v>
      </c>
      <c r="O89" s="228">
        <v>6</v>
      </c>
      <c r="P89" s="228">
        <f aca="true" t="shared" si="80" ref="P89:P94">$B89*O89</f>
        <v>250.82999999999998</v>
      </c>
      <c r="Q89" s="228">
        <f aca="true" t="shared" si="81" ref="Q89:Q94">O89*$C89</f>
        <v>2700</v>
      </c>
      <c r="R89" s="225">
        <v>10</v>
      </c>
      <c r="S89" s="229">
        <f aca="true" t="shared" si="82" ref="S89:S94">$B89*R89</f>
        <v>418.05</v>
      </c>
      <c r="T89" s="228">
        <f aca="true" t="shared" si="83" ref="T89:T94">R89*$C89</f>
        <v>4500</v>
      </c>
      <c r="U89" s="556"/>
      <c r="V89" s="229">
        <f aca="true" t="shared" si="84" ref="V89:V94">$B89*U89</f>
        <v>0</v>
      </c>
      <c r="W89" s="230">
        <f aca="true" t="shared" si="85" ref="W89:W94">U89*$C89</f>
        <v>0</v>
      </c>
      <c r="X89" s="129"/>
    </row>
    <row r="90" spans="1:24" s="2" customFormat="1" ht="12" customHeight="1">
      <c r="A90" s="128" t="str">
        <f>'Components and Space Standards'!A96:E96</f>
        <v>Loading dock</v>
      </c>
      <c r="B90" s="16">
        <f>'Components and Space Standards'!B96:F96</f>
        <v>8.360999999999999</v>
      </c>
      <c r="C90" s="21">
        <f>'Components and Space Standards'!C96:G96</f>
        <v>90</v>
      </c>
      <c r="D90" s="253" t="str">
        <f>'Components and Space Standards'!D96:G96</f>
        <v>Loading Dock</v>
      </c>
      <c r="E90" s="22" t="str">
        <f>'Components and Space Standards'!E96:H96</f>
        <v>Per single-truck dock</v>
      </c>
      <c r="F90" s="225">
        <v>1</v>
      </c>
      <c r="G90" s="226">
        <f t="shared" si="74"/>
        <v>8.360999999999999</v>
      </c>
      <c r="H90" s="227">
        <f t="shared" si="75"/>
        <v>90</v>
      </c>
      <c r="I90" s="228">
        <v>1</v>
      </c>
      <c r="J90" s="228">
        <f t="shared" si="76"/>
        <v>8.360999999999999</v>
      </c>
      <c r="K90" s="228">
        <f t="shared" si="77"/>
        <v>90</v>
      </c>
      <c r="L90" s="228">
        <v>1</v>
      </c>
      <c r="M90" s="228">
        <f t="shared" si="78"/>
        <v>8.360999999999999</v>
      </c>
      <c r="N90" s="228">
        <f t="shared" si="79"/>
        <v>90</v>
      </c>
      <c r="O90" s="228">
        <v>1</v>
      </c>
      <c r="P90" s="228">
        <f t="shared" si="80"/>
        <v>8.360999999999999</v>
      </c>
      <c r="Q90" s="228">
        <f t="shared" si="81"/>
        <v>90</v>
      </c>
      <c r="R90" s="225">
        <v>2</v>
      </c>
      <c r="S90" s="229">
        <f t="shared" si="82"/>
        <v>16.721999999999998</v>
      </c>
      <c r="T90" s="228">
        <f t="shared" si="83"/>
        <v>180</v>
      </c>
      <c r="U90" s="556"/>
      <c r="V90" s="229">
        <f t="shared" si="84"/>
        <v>0</v>
      </c>
      <c r="W90" s="230">
        <f t="shared" si="85"/>
        <v>0</v>
      </c>
      <c r="X90" s="129"/>
    </row>
    <row r="91" spans="1:24" s="2" customFormat="1" ht="12" customHeight="1">
      <c r="A91" s="128" t="str">
        <f>'Components and Space Standards'!A97:E97</f>
        <v>Service Drive/trash</v>
      </c>
      <c r="B91" s="16">
        <f>'Components and Space Standards'!B97:F97</f>
        <v>69.675</v>
      </c>
      <c r="C91" s="21">
        <f>'Components and Space Standards'!C97:G97</f>
        <v>750</v>
      </c>
      <c r="D91" s="253" t="str">
        <f>'Components and Space Standards'!D97:G97</f>
        <v>Service Drive Module</v>
      </c>
      <c r="E91" s="22" t="str">
        <f>'Components and Space Standards'!E97:H97</f>
        <v>per area</v>
      </c>
      <c r="F91" s="225">
        <v>1</v>
      </c>
      <c r="G91" s="226">
        <f t="shared" si="74"/>
        <v>69.675</v>
      </c>
      <c r="H91" s="227">
        <f t="shared" si="75"/>
        <v>750</v>
      </c>
      <c r="I91" s="228">
        <v>1</v>
      </c>
      <c r="J91" s="228">
        <f t="shared" si="76"/>
        <v>69.675</v>
      </c>
      <c r="K91" s="228">
        <f t="shared" si="77"/>
        <v>750</v>
      </c>
      <c r="L91" s="228">
        <v>1</v>
      </c>
      <c r="M91" s="228">
        <f t="shared" si="78"/>
        <v>69.675</v>
      </c>
      <c r="N91" s="228">
        <f t="shared" si="79"/>
        <v>750</v>
      </c>
      <c r="O91" s="228">
        <v>1</v>
      </c>
      <c r="P91" s="228">
        <f t="shared" si="80"/>
        <v>69.675</v>
      </c>
      <c r="Q91" s="228">
        <f t="shared" si="81"/>
        <v>750</v>
      </c>
      <c r="R91" s="225">
        <v>2</v>
      </c>
      <c r="S91" s="229">
        <f t="shared" si="82"/>
        <v>139.35</v>
      </c>
      <c r="T91" s="228">
        <f t="shared" si="83"/>
        <v>1500</v>
      </c>
      <c r="U91" s="556"/>
      <c r="V91" s="229">
        <f t="shared" si="84"/>
        <v>0</v>
      </c>
      <c r="W91" s="230">
        <f t="shared" si="85"/>
        <v>0</v>
      </c>
      <c r="X91" s="129"/>
    </row>
    <row r="92" spans="1:24" s="2" customFormat="1" ht="12" customHeight="1">
      <c r="A92" s="19" t="str">
        <f>'Components and Space Standards'!A98:E98</f>
        <v>Customer Parking</v>
      </c>
      <c r="B92" s="16">
        <f>'Components and Space Standards'!B98:F98</f>
        <v>41.805</v>
      </c>
      <c r="C92" s="11">
        <f>'Components and Space Standards'!C98:G98</f>
        <v>450</v>
      </c>
      <c r="D92" s="255" t="str">
        <f>'Components and Space Standards'!D98:G98</f>
        <v>Parking Spaces</v>
      </c>
      <c r="E92" s="17" t="str">
        <f>'Components and Space Standards'!E98:H98</f>
        <v>per space (including circulation)</v>
      </c>
      <c r="F92" s="188">
        <v>92</v>
      </c>
      <c r="G92" s="226">
        <f t="shared" si="74"/>
        <v>3846.06</v>
      </c>
      <c r="H92" s="227">
        <f t="shared" si="75"/>
        <v>41400</v>
      </c>
      <c r="I92" s="227">
        <v>147</v>
      </c>
      <c r="J92" s="227">
        <f t="shared" si="76"/>
        <v>6145.335</v>
      </c>
      <c r="K92" s="227">
        <f t="shared" si="77"/>
        <v>66150</v>
      </c>
      <c r="L92" s="227">
        <v>215</v>
      </c>
      <c r="M92" s="227">
        <f t="shared" si="78"/>
        <v>8988.075</v>
      </c>
      <c r="N92" s="227">
        <f t="shared" si="79"/>
        <v>96750</v>
      </c>
      <c r="O92" s="227">
        <v>298</v>
      </c>
      <c r="P92" s="227">
        <f t="shared" si="80"/>
        <v>12457.89</v>
      </c>
      <c r="Q92" s="227">
        <f t="shared" si="81"/>
        <v>134100</v>
      </c>
      <c r="R92" s="188">
        <v>400</v>
      </c>
      <c r="S92" s="226">
        <f t="shared" si="82"/>
        <v>16722</v>
      </c>
      <c r="T92" s="227">
        <f t="shared" si="83"/>
        <v>180000</v>
      </c>
      <c r="U92" s="524"/>
      <c r="V92" s="226">
        <f t="shared" si="84"/>
        <v>0</v>
      </c>
      <c r="W92" s="231">
        <f t="shared" si="85"/>
        <v>0</v>
      </c>
      <c r="X92" s="108"/>
    </row>
    <row r="93" spans="1:24" s="2" customFormat="1" ht="12" customHeight="1">
      <c r="A93" s="19" t="str">
        <f>'Components and Space Standards'!A99:E99</f>
        <v>Bicycle Rack Area</v>
      </c>
      <c r="B93" s="16">
        <f>'Components and Space Standards'!B99:F99</f>
        <v>14.863999999999999</v>
      </c>
      <c r="C93" s="11">
        <f>'Components and Space Standards'!C99:G99</f>
        <v>160</v>
      </c>
      <c r="D93" s="255" t="str">
        <f>'Components and Space Standards'!D99:G99</f>
        <v>10-bike Rack(s)</v>
      </c>
      <c r="E93" s="17" t="str">
        <f>'Components and Space Standards'!E99:H99</f>
        <v>per 10-bike Rack</v>
      </c>
      <c r="F93" s="188">
        <v>1</v>
      </c>
      <c r="G93" s="226">
        <f t="shared" si="74"/>
        <v>14.863999999999999</v>
      </c>
      <c r="H93" s="227">
        <f t="shared" si="75"/>
        <v>160</v>
      </c>
      <c r="I93" s="227">
        <v>2</v>
      </c>
      <c r="J93" s="227">
        <f t="shared" si="76"/>
        <v>29.727999999999998</v>
      </c>
      <c r="K93" s="227">
        <f t="shared" si="77"/>
        <v>320</v>
      </c>
      <c r="L93" s="227">
        <v>3</v>
      </c>
      <c r="M93" s="227">
        <f t="shared" si="78"/>
        <v>44.592</v>
      </c>
      <c r="N93" s="227">
        <f t="shared" si="79"/>
        <v>480</v>
      </c>
      <c r="O93" s="227">
        <v>5</v>
      </c>
      <c r="P93" s="227">
        <f t="shared" si="80"/>
        <v>74.32</v>
      </c>
      <c r="Q93" s="227">
        <f t="shared" si="81"/>
        <v>800</v>
      </c>
      <c r="R93" s="188">
        <v>7</v>
      </c>
      <c r="S93" s="226">
        <f t="shared" si="82"/>
        <v>104.04799999999999</v>
      </c>
      <c r="T93" s="227">
        <f t="shared" si="83"/>
        <v>1120</v>
      </c>
      <c r="U93" s="524"/>
      <c r="V93" s="226">
        <f t="shared" si="84"/>
        <v>0</v>
      </c>
      <c r="W93" s="231">
        <f t="shared" si="85"/>
        <v>0</v>
      </c>
      <c r="X93" s="108"/>
    </row>
    <row r="94" spans="1:24" s="2" customFormat="1" ht="12" customHeight="1" thickBot="1">
      <c r="A94" s="217" t="str">
        <f>'Components and Space Standards'!A100:E100</f>
        <v>Patio</v>
      </c>
      <c r="B94" s="218">
        <f>'Components and Space Standards'!B100:F100</f>
        <v>2.3225</v>
      </c>
      <c r="C94" s="219">
        <f>'Components and Space Standards'!C100:G100</f>
        <v>25</v>
      </c>
      <c r="D94" s="328" t="str">
        <f>'Components and Space Standards'!D100:G100</f>
        <v>Patio Module(s)</v>
      </c>
      <c r="E94" s="18" t="str">
        <f>'Components and Space Standards'!E100:H100</f>
        <v>per patio</v>
      </c>
      <c r="F94" s="220"/>
      <c r="G94" s="315">
        <f t="shared" si="74"/>
        <v>0</v>
      </c>
      <c r="H94" s="316">
        <f t="shared" si="75"/>
        <v>0</v>
      </c>
      <c r="I94" s="316"/>
      <c r="J94" s="316">
        <f t="shared" si="76"/>
        <v>0</v>
      </c>
      <c r="K94" s="316">
        <f t="shared" si="77"/>
        <v>0</v>
      </c>
      <c r="L94" s="316"/>
      <c r="M94" s="316">
        <f t="shared" si="78"/>
        <v>0</v>
      </c>
      <c r="N94" s="316">
        <f t="shared" si="79"/>
        <v>0</v>
      </c>
      <c r="O94" s="316"/>
      <c r="P94" s="316">
        <f t="shared" si="80"/>
        <v>0</v>
      </c>
      <c r="Q94" s="316">
        <f t="shared" si="81"/>
        <v>0</v>
      </c>
      <c r="R94" s="220"/>
      <c r="S94" s="315">
        <f t="shared" si="82"/>
        <v>0</v>
      </c>
      <c r="T94" s="316">
        <f t="shared" si="83"/>
        <v>0</v>
      </c>
      <c r="U94" s="557"/>
      <c r="V94" s="315">
        <f t="shared" si="84"/>
        <v>0</v>
      </c>
      <c r="W94" s="317">
        <f t="shared" si="85"/>
        <v>0</v>
      </c>
      <c r="X94" s="112"/>
    </row>
    <row r="95" spans="1:24" s="2" customFormat="1" ht="12" customHeight="1" thickBot="1">
      <c r="A95" s="12" t="str">
        <f>'Components and Space Standards'!A101:E101</f>
        <v>* Service-specific space.</v>
      </c>
      <c r="B95" s="13"/>
      <c r="C95" s="14"/>
      <c r="D95" s="14"/>
      <c r="E95" s="15"/>
      <c r="F95" s="232"/>
      <c r="G95" s="232"/>
      <c r="H95" s="232"/>
      <c r="I95" s="232"/>
      <c r="J95" s="232"/>
      <c r="K95" s="232"/>
      <c r="L95" s="232"/>
      <c r="M95" s="232"/>
      <c r="N95" s="232"/>
      <c r="O95" s="232"/>
      <c r="P95" s="232"/>
      <c r="Q95" s="232"/>
      <c r="R95" s="233"/>
      <c r="S95" s="234"/>
      <c r="T95" s="534"/>
      <c r="U95" s="233"/>
      <c r="V95" s="234"/>
      <c r="W95" s="235"/>
      <c r="X95" s="113"/>
    </row>
    <row r="96" spans="1:24" s="2" customFormat="1" ht="12" customHeight="1">
      <c r="A96" s="4" t="str">
        <f>'Components and Space Standards'!A102:E102</f>
        <v>1 If contract service, verify area with contractor. </v>
      </c>
      <c r="B96" s="5"/>
      <c r="C96" s="8"/>
      <c r="D96" s="8"/>
      <c r="E96" s="6"/>
      <c r="F96" s="236"/>
      <c r="G96" s="236"/>
      <c r="H96" s="236"/>
      <c r="I96" s="236"/>
      <c r="J96" s="236"/>
      <c r="K96" s="236"/>
      <c r="L96" s="236"/>
      <c r="M96" s="236"/>
      <c r="N96" s="236"/>
      <c r="O96" s="236"/>
      <c r="P96" s="236"/>
      <c r="Q96" s="236"/>
      <c r="R96" s="237"/>
      <c r="S96" s="238"/>
      <c r="T96" s="535"/>
      <c r="U96" s="237"/>
      <c r="V96" s="238"/>
      <c r="W96" s="239"/>
      <c r="X96" s="113"/>
    </row>
    <row r="97" spans="1:24" s="2" customFormat="1" ht="12" customHeight="1">
      <c r="A97" s="4"/>
      <c r="B97" s="4"/>
      <c r="C97" s="4"/>
      <c r="D97" s="4"/>
      <c r="E97" s="4"/>
      <c r="F97" s="240"/>
      <c r="G97" s="240"/>
      <c r="H97" s="240"/>
      <c r="I97" s="240"/>
      <c r="J97" s="240"/>
      <c r="K97" s="240"/>
      <c r="L97" s="240"/>
      <c r="M97" s="240"/>
      <c r="N97" s="240"/>
      <c r="O97" s="240"/>
      <c r="P97" s="240"/>
      <c r="Q97" s="240"/>
      <c r="R97" s="240"/>
      <c r="S97" s="240"/>
      <c r="T97" s="536"/>
      <c r="U97" s="240"/>
      <c r="V97" s="240"/>
      <c r="W97" s="240"/>
      <c r="X97" s="113"/>
    </row>
    <row r="98" spans="1:24" s="2" customFormat="1" ht="12" customHeight="1">
      <c r="A98" s="4"/>
      <c r="B98" s="4"/>
      <c r="C98" s="4"/>
      <c r="D98" s="4"/>
      <c r="E98" s="4"/>
      <c r="F98" s="240"/>
      <c r="G98" s="240"/>
      <c r="H98" s="240"/>
      <c r="I98" s="240"/>
      <c r="J98" s="240"/>
      <c r="K98" s="240"/>
      <c r="L98" s="240"/>
      <c r="M98" s="240"/>
      <c r="N98" s="240"/>
      <c r="O98" s="240"/>
      <c r="P98" s="240"/>
      <c r="Q98" s="240"/>
      <c r="R98" s="240"/>
      <c r="S98" s="240"/>
      <c r="T98" s="536"/>
      <c r="U98" s="240"/>
      <c r="V98" s="240"/>
      <c r="W98" s="240"/>
      <c r="X98" s="113"/>
    </row>
    <row r="99" spans="1:23" ht="12" customHeight="1">
      <c r="A99" s="4"/>
      <c r="B99" s="4"/>
      <c r="C99" s="4"/>
      <c r="D99" s="4"/>
      <c r="E99" s="4"/>
      <c r="F99" s="240"/>
      <c r="G99" s="240"/>
      <c r="H99" s="240"/>
      <c r="I99" s="240"/>
      <c r="J99" s="240"/>
      <c r="K99" s="240"/>
      <c r="L99" s="240"/>
      <c r="M99" s="240"/>
      <c r="N99" s="240"/>
      <c r="O99" s="240"/>
      <c r="P99" s="240"/>
      <c r="Q99" s="240"/>
      <c r="R99" s="240"/>
      <c r="S99" s="240"/>
      <c r="T99" s="536"/>
      <c r="U99" s="240"/>
      <c r="V99" s="240"/>
      <c r="W99" s="240"/>
    </row>
    <row r="100" spans="2:23" ht="12" customHeight="1">
      <c r="B100" s="20"/>
      <c r="C100" s="20"/>
      <c r="D100" s="20"/>
      <c r="R100" s="241"/>
      <c r="U100" s="241"/>
      <c r="V100" s="241"/>
      <c r="W100" s="241"/>
    </row>
    <row r="101" spans="2:23" ht="12" customHeight="1">
      <c r="B101" s="20"/>
      <c r="C101" s="20"/>
      <c r="D101" s="20"/>
      <c r="R101" s="241"/>
      <c r="U101" s="241"/>
      <c r="V101" s="241"/>
      <c r="W101" s="241"/>
    </row>
    <row r="102" spans="2:23" ht="12" customHeight="1">
      <c r="B102" s="20"/>
      <c r="C102" s="20"/>
      <c r="D102" s="20"/>
      <c r="R102" s="241"/>
      <c r="U102" s="241"/>
      <c r="V102" s="241"/>
      <c r="W102" s="241"/>
    </row>
    <row r="103" spans="2:23" ht="12" customHeight="1">
      <c r="B103" s="20"/>
      <c r="C103" s="20"/>
      <c r="D103" s="20"/>
      <c r="R103" s="241"/>
      <c r="U103" s="241"/>
      <c r="V103" s="241"/>
      <c r="W103" s="241"/>
    </row>
    <row r="104" spans="2:23" ht="12" customHeight="1">
      <c r="B104" s="20"/>
      <c r="C104" s="20"/>
      <c r="D104" s="20"/>
      <c r="R104" s="241"/>
      <c r="U104" s="241"/>
      <c r="V104" s="241"/>
      <c r="W104" s="241"/>
    </row>
    <row r="105" spans="2:23" ht="12" customHeight="1">
      <c r="B105" s="20"/>
      <c r="C105" s="20"/>
      <c r="D105" s="20"/>
      <c r="R105" s="241"/>
      <c r="U105" s="241"/>
      <c r="V105" s="241"/>
      <c r="W105" s="241"/>
    </row>
    <row r="106" spans="2:23" ht="12" customHeight="1">
      <c r="B106" s="20"/>
      <c r="C106" s="20"/>
      <c r="D106" s="20"/>
      <c r="R106" s="241"/>
      <c r="U106" s="241"/>
      <c r="V106" s="241"/>
      <c r="W106" s="241"/>
    </row>
    <row r="107" spans="1:23" ht="12" customHeight="1">
      <c r="A107" s="9"/>
      <c r="B107" s="10"/>
      <c r="C107" s="8"/>
      <c r="D107" s="8"/>
      <c r="E107" s="4"/>
      <c r="F107" s="237"/>
      <c r="G107" s="242"/>
      <c r="H107" s="240"/>
      <c r="I107" s="240"/>
      <c r="J107" s="240"/>
      <c r="K107" s="240"/>
      <c r="L107" s="240"/>
      <c r="M107" s="240"/>
      <c r="N107" s="240"/>
      <c r="O107" s="240"/>
      <c r="P107" s="240"/>
      <c r="Q107" s="240"/>
      <c r="R107" s="237"/>
      <c r="S107" s="242"/>
      <c r="T107" s="538"/>
      <c r="U107" s="237"/>
      <c r="V107" s="242"/>
      <c r="W107" s="243"/>
    </row>
    <row r="108" spans="1:23" ht="12" customHeight="1">
      <c r="A108" s="9"/>
      <c r="B108" s="10"/>
      <c r="C108" s="8"/>
      <c r="D108" s="8"/>
      <c r="E108" s="4"/>
      <c r="F108" s="237"/>
      <c r="G108" s="242"/>
      <c r="H108" s="240"/>
      <c r="I108" s="240"/>
      <c r="J108" s="240"/>
      <c r="K108" s="240"/>
      <c r="L108" s="240"/>
      <c r="M108" s="240"/>
      <c r="N108" s="240"/>
      <c r="O108" s="240"/>
      <c r="P108" s="240"/>
      <c r="Q108" s="240"/>
      <c r="R108" s="237"/>
      <c r="S108" s="242"/>
      <c r="T108" s="538"/>
      <c r="U108" s="237"/>
      <c r="V108" s="242"/>
      <c r="W108" s="243"/>
    </row>
    <row r="109" spans="1:23" ht="12" customHeight="1">
      <c r="A109" s="9"/>
      <c r="B109" s="10"/>
      <c r="C109" s="8"/>
      <c r="D109" s="8"/>
      <c r="E109" s="4"/>
      <c r="F109" s="237"/>
      <c r="G109" s="242"/>
      <c r="H109" s="240"/>
      <c r="I109" s="240"/>
      <c r="J109" s="240"/>
      <c r="K109" s="240"/>
      <c r="L109" s="240"/>
      <c r="M109" s="240"/>
      <c r="N109" s="240"/>
      <c r="O109" s="240"/>
      <c r="P109" s="240"/>
      <c r="Q109" s="240"/>
      <c r="R109" s="237"/>
      <c r="S109" s="242"/>
      <c r="T109" s="538"/>
      <c r="U109" s="237"/>
      <c r="V109" s="242"/>
      <c r="W109" s="243"/>
    </row>
    <row r="110" spans="1:23" ht="12" customHeight="1">
      <c r="A110" s="9"/>
      <c r="B110" s="10"/>
      <c r="C110" s="8"/>
      <c r="D110" s="8"/>
      <c r="E110" s="4"/>
      <c r="F110" s="237"/>
      <c r="G110" s="242"/>
      <c r="H110" s="240"/>
      <c r="I110" s="240"/>
      <c r="J110" s="240"/>
      <c r="K110" s="240"/>
      <c r="L110" s="240"/>
      <c r="M110" s="240"/>
      <c r="N110" s="240"/>
      <c r="O110" s="240"/>
      <c r="P110" s="240"/>
      <c r="Q110" s="240"/>
      <c r="R110" s="237"/>
      <c r="S110" s="242"/>
      <c r="T110" s="538"/>
      <c r="U110" s="503"/>
      <c r="V110" s="505"/>
      <c r="W110" s="506"/>
    </row>
  </sheetData>
  <sheetProtection deleteColumns="0"/>
  <mergeCells count="18">
    <mergeCell ref="A68:E68"/>
    <mergeCell ref="A51:E51"/>
    <mergeCell ref="A3:E3"/>
    <mergeCell ref="A61:E61"/>
    <mergeCell ref="X83:X84"/>
    <mergeCell ref="X23:X28"/>
    <mergeCell ref="X13:X16"/>
    <mergeCell ref="X34:X35"/>
    <mergeCell ref="X48:X49"/>
    <mergeCell ref="X66:X67"/>
    <mergeCell ref="U1:W1"/>
    <mergeCell ref="X1:X2"/>
    <mergeCell ref="R1:T1"/>
    <mergeCell ref="F1:H1"/>
    <mergeCell ref="B1:E1"/>
    <mergeCell ref="I1:K1"/>
    <mergeCell ref="L1:N1"/>
    <mergeCell ref="O1:Q1"/>
  </mergeCells>
  <dataValidations count="1">
    <dataValidation allowBlank="1" showErrorMessage="1" promptTitle="Note:" prompt="Testing" sqref="A1"/>
  </dataValidations>
  <printOptions horizontalCentered="1"/>
  <pageMargins left="0.4" right="0.4" top="0.5" bottom="0.5" header="0.5" footer="0.25"/>
  <pageSetup horizontalDpi="600" verticalDpi="600" orientation="landscape" paperSize="17" r:id="rId3"/>
  <legacyDrawing r:id="rId2"/>
</worksheet>
</file>

<file path=xl/worksheets/sheet5.xml><?xml version="1.0" encoding="utf-8"?>
<worksheet xmlns="http://schemas.openxmlformats.org/spreadsheetml/2006/main" xmlns:r="http://schemas.openxmlformats.org/officeDocument/2006/relationships">
  <sheetPr codeName="Sheet4"/>
  <dimension ref="A1:Z111"/>
  <sheetViews>
    <sheetView showGridLines="0" zoomScale="110" zoomScaleNormal="110" zoomScalePageLayoutView="0" workbookViewId="0" topLeftCell="A1">
      <pane xSplit="1" ySplit="2" topLeftCell="F58" activePane="bottomRight" state="frozen"/>
      <selection pane="topLeft" activeCell="E82" sqref="E82"/>
      <selection pane="topRight" activeCell="E82" sqref="E82"/>
      <selection pane="bottomLeft" activeCell="E82" sqref="E82"/>
      <selection pane="bottomRight" activeCell="J76" sqref="J76"/>
    </sheetView>
  </sheetViews>
  <sheetFormatPr defaultColWidth="9.140625" defaultRowHeight="12" customHeight="1"/>
  <cols>
    <col min="1" max="1" width="30.7109375" style="20" customWidth="1"/>
    <col min="2" max="2" width="6.7109375" style="94" customWidth="1"/>
    <col min="3" max="3" width="6.7109375" style="95" customWidth="1"/>
    <col min="4" max="4" width="30.7109375" style="95" customWidth="1"/>
    <col min="5" max="5" width="40.7109375" style="20" customWidth="1"/>
    <col min="6" max="6" width="6.7109375" style="241" customWidth="1"/>
    <col min="7" max="8" width="8.7109375" style="241" customWidth="1"/>
    <col min="9" max="9" width="6.7109375" style="241" customWidth="1"/>
    <col min="10" max="11" width="8.7109375" style="241" customWidth="1"/>
    <col min="12" max="12" width="6.7109375" style="241" customWidth="1"/>
    <col min="13" max="14" width="8.7109375" style="241" customWidth="1"/>
    <col min="15" max="15" width="6.7109375" style="241" customWidth="1"/>
    <col min="16" max="17" width="8.7109375" style="241" customWidth="1"/>
    <col min="18" max="18" width="6.7109375" style="244" customWidth="1"/>
    <col min="19" max="20" width="8.7109375" style="241" customWidth="1"/>
    <col min="21" max="21" width="6.7109375" style="244" customWidth="1"/>
    <col min="22" max="23" width="8.7109375" style="241" customWidth="1"/>
    <col min="24" max="24" width="75.7109375" style="114" customWidth="1"/>
    <col min="25" max="25" width="1.7109375" style="1" customWidth="1"/>
    <col min="26" max="26" width="12.00390625" style="1" customWidth="1"/>
    <col min="27" max="16384" width="9.140625" style="1" customWidth="1"/>
  </cols>
  <sheetData>
    <row r="1" spans="1:26" ht="30" customHeight="1">
      <c r="A1" s="245" t="s">
        <v>199</v>
      </c>
      <c r="B1" s="614" t="s">
        <v>0</v>
      </c>
      <c r="C1" s="615"/>
      <c r="D1" s="615"/>
      <c r="E1" s="630"/>
      <c r="F1" s="627" t="s">
        <v>155</v>
      </c>
      <c r="G1" s="628"/>
      <c r="H1" s="629"/>
      <c r="I1" s="627" t="s">
        <v>170</v>
      </c>
      <c r="J1" s="628"/>
      <c r="K1" s="629"/>
      <c r="L1" s="626" t="s">
        <v>171</v>
      </c>
      <c r="M1" s="626"/>
      <c r="N1" s="626"/>
      <c r="O1" s="626" t="s">
        <v>172</v>
      </c>
      <c r="P1" s="626"/>
      <c r="Q1" s="626"/>
      <c r="R1" s="627" t="s">
        <v>173</v>
      </c>
      <c r="S1" s="628"/>
      <c r="T1" s="629"/>
      <c r="U1" s="628" t="s">
        <v>328</v>
      </c>
      <c r="V1" s="628"/>
      <c r="W1" s="629"/>
      <c r="X1" s="612" t="s">
        <v>21</v>
      </c>
      <c r="Z1" s="115"/>
    </row>
    <row r="2" spans="1:26" s="7" customFormat="1" ht="15" customHeight="1" thickBot="1">
      <c r="A2" s="89" t="s">
        <v>1</v>
      </c>
      <c r="B2" s="90" t="s">
        <v>4</v>
      </c>
      <c r="C2" s="91" t="s">
        <v>5</v>
      </c>
      <c r="D2" s="92" t="s">
        <v>2</v>
      </c>
      <c r="E2" s="92" t="s">
        <v>200</v>
      </c>
      <c r="F2" s="179" t="s">
        <v>3</v>
      </c>
      <c r="G2" s="179" t="s">
        <v>4</v>
      </c>
      <c r="H2" s="179" t="s">
        <v>5</v>
      </c>
      <c r="I2" s="179" t="s">
        <v>3</v>
      </c>
      <c r="J2" s="179" t="s">
        <v>4</v>
      </c>
      <c r="K2" s="179" t="s">
        <v>5</v>
      </c>
      <c r="L2" s="179" t="s">
        <v>3</v>
      </c>
      <c r="M2" s="179" t="s">
        <v>4</v>
      </c>
      <c r="N2" s="179" t="s">
        <v>5</v>
      </c>
      <c r="O2" s="179" t="s">
        <v>3</v>
      </c>
      <c r="P2" s="179" t="s">
        <v>4</v>
      </c>
      <c r="Q2" s="179" t="s">
        <v>5</v>
      </c>
      <c r="R2" s="179" t="s">
        <v>3</v>
      </c>
      <c r="S2" s="180" t="s">
        <v>4</v>
      </c>
      <c r="T2" s="527" t="s">
        <v>5</v>
      </c>
      <c r="U2" s="546" t="s">
        <v>3</v>
      </c>
      <c r="V2" s="180" t="s">
        <v>4</v>
      </c>
      <c r="W2" s="181" t="s">
        <v>5</v>
      </c>
      <c r="X2" s="613"/>
      <c r="Y2" s="76"/>
      <c r="Z2" s="115"/>
    </row>
    <row r="3" spans="1:25" s="2" customFormat="1" ht="15.75" customHeight="1">
      <c r="A3" s="631" t="str">
        <f>'Components and Space Standards'!A3:E3</f>
        <v>Fitness Spaces</v>
      </c>
      <c r="B3" s="632"/>
      <c r="C3" s="632"/>
      <c r="D3" s="632"/>
      <c r="E3" s="632"/>
      <c r="F3" s="182"/>
      <c r="G3" s="182"/>
      <c r="H3" s="182"/>
      <c r="I3" s="182"/>
      <c r="J3" s="182"/>
      <c r="K3" s="182"/>
      <c r="L3" s="182"/>
      <c r="M3" s="182"/>
      <c r="N3" s="182"/>
      <c r="O3" s="182"/>
      <c r="P3" s="182"/>
      <c r="Q3" s="182"/>
      <c r="R3" s="182"/>
      <c r="S3" s="182"/>
      <c r="T3" s="549"/>
      <c r="U3" s="182"/>
      <c r="V3" s="182"/>
      <c r="W3" s="183"/>
      <c r="X3" s="107"/>
      <c r="Y3" s="4"/>
    </row>
    <row r="4" spans="1:24" s="331" customFormat="1" ht="12" customHeight="1">
      <c r="A4" s="184" t="str">
        <f>'Components and Space Standards'!A4:E4</f>
        <v>Lobby/Reception</v>
      </c>
      <c r="B4" s="185"/>
      <c r="C4" s="186"/>
      <c r="D4" s="186"/>
      <c r="E4" s="187"/>
      <c r="F4" s="200"/>
      <c r="G4" s="204"/>
      <c r="H4" s="205"/>
      <c r="I4" s="202"/>
      <c r="J4" s="202"/>
      <c r="K4" s="202"/>
      <c r="L4" s="202"/>
      <c r="M4" s="202"/>
      <c r="N4" s="202"/>
      <c r="O4" s="202"/>
      <c r="P4" s="202"/>
      <c r="Q4" s="202"/>
      <c r="R4" s="200"/>
      <c r="S4" s="204"/>
      <c r="T4" s="528"/>
      <c r="U4" s="524"/>
      <c r="V4" s="204"/>
      <c r="W4" s="329"/>
      <c r="X4" s="330"/>
    </row>
    <row r="5" spans="1:25" s="2" customFormat="1" ht="12" customHeight="1">
      <c r="A5" s="23" t="str">
        <f>'Components and Space Standards'!A5:E5</f>
        <v>Entry Lobby</v>
      </c>
      <c r="B5" s="16">
        <f>'Components and Space Standards'!B5:F5</f>
        <v>9.29</v>
      </c>
      <c r="C5" s="21">
        <f>'Components and Space Standards'!C5:G5</f>
        <v>100</v>
      </c>
      <c r="D5" s="22" t="str">
        <f>'Components and Space Standards'!D5:G5</f>
        <v>Vestibule/Lobby Module(s) (for 2-3 ppl)</v>
      </c>
      <c r="E5" s="22" t="str">
        <f>'Components and Space Standards'!E5:H5</f>
        <v>Vesibule and/or space for 2 to 3 ppl to queue</v>
      </c>
      <c r="F5" s="188">
        <v>1</v>
      </c>
      <c r="G5" s="193">
        <f>$B5*F5</f>
        <v>9.29</v>
      </c>
      <c r="H5" s="191">
        <f>F5*$C5</f>
        <v>100</v>
      </c>
      <c r="I5" s="191">
        <v>2</v>
      </c>
      <c r="J5" s="193">
        <f>$B5*I5</f>
        <v>18.58</v>
      </c>
      <c r="K5" s="191">
        <f>I5*$C5</f>
        <v>200</v>
      </c>
      <c r="L5" s="191">
        <v>3</v>
      </c>
      <c r="M5" s="193">
        <f>$B5*L5</f>
        <v>27.869999999999997</v>
      </c>
      <c r="N5" s="191">
        <f>L5*$C5</f>
        <v>300</v>
      </c>
      <c r="O5" s="191">
        <v>4</v>
      </c>
      <c r="P5" s="193">
        <f>$B5*O5</f>
        <v>37.16</v>
      </c>
      <c r="Q5" s="191">
        <f>O5*$C5</f>
        <v>400</v>
      </c>
      <c r="R5" s="188">
        <v>5</v>
      </c>
      <c r="S5" s="193">
        <f>$B5*R5</f>
        <v>46.449999999999996</v>
      </c>
      <c r="T5" s="191">
        <f>R5*$C5</f>
        <v>500</v>
      </c>
      <c r="U5" s="541">
        <v>6</v>
      </c>
      <c r="V5" s="193">
        <f>$B5*U5</f>
        <v>55.739999999999995</v>
      </c>
      <c r="W5" s="191">
        <f>U5*$C5</f>
        <v>600</v>
      </c>
      <c r="X5" s="118" t="s">
        <v>175</v>
      </c>
      <c r="Y5" s="4"/>
    </row>
    <row r="6" spans="1:25" s="2" customFormat="1" ht="12" customHeight="1">
      <c r="A6" s="23" t="str">
        <f>'Components and Space Standards'!A6:E6</f>
        <v>Control Counter</v>
      </c>
      <c r="B6" s="16">
        <f>'Components and Space Standards'!B6:F6</f>
        <v>11.612499999999999</v>
      </c>
      <c r="C6" s="21">
        <f>'Components and Space Standards'!C6:G6</f>
        <v>125</v>
      </c>
      <c r="D6" s="22" t="str">
        <f>'Components and Space Standards'!D6:G6</f>
        <v>Counter Module(s)</v>
      </c>
      <c r="E6" s="22" t="str">
        <f>'Components and Space Standards'!E6:H6</f>
        <v>Space for counter, space behind, space in front</v>
      </c>
      <c r="F6" s="188">
        <v>1</v>
      </c>
      <c r="G6" s="193">
        <f>$B6*F6</f>
        <v>11.612499999999999</v>
      </c>
      <c r="H6" s="191">
        <f>F6*$C6</f>
        <v>125</v>
      </c>
      <c r="I6" s="191">
        <v>1</v>
      </c>
      <c r="J6" s="193">
        <f>$B6*I6</f>
        <v>11.612499999999999</v>
      </c>
      <c r="K6" s="191">
        <f>I6*$C6</f>
        <v>125</v>
      </c>
      <c r="L6" s="191">
        <v>2</v>
      </c>
      <c r="M6" s="193">
        <f>$B6*L6</f>
        <v>23.224999999999998</v>
      </c>
      <c r="N6" s="191">
        <f>L6*$C6</f>
        <v>250</v>
      </c>
      <c r="O6" s="191">
        <v>3</v>
      </c>
      <c r="P6" s="193">
        <f>$B6*O6</f>
        <v>34.8375</v>
      </c>
      <c r="Q6" s="191">
        <f>O6*$C6</f>
        <v>375</v>
      </c>
      <c r="R6" s="188">
        <v>4</v>
      </c>
      <c r="S6" s="193">
        <f>$B6*R6</f>
        <v>46.449999999999996</v>
      </c>
      <c r="T6" s="191">
        <f>R6*$C6</f>
        <v>500</v>
      </c>
      <c r="U6" s="541">
        <v>4</v>
      </c>
      <c r="V6" s="193">
        <f>$B6*U6</f>
        <v>46.449999999999996</v>
      </c>
      <c r="W6" s="191">
        <f>U6*$C6</f>
        <v>500</v>
      </c>
      <c r="X6" s="118" t="s">
        <v>122</v>
      </c>
      <c r="Y6" s="4"/>
    </row>
    <row r="7" spans="1:25" s="2" customFormat="1" ht="12" customHeight="1">
      <c r="A7" s="23" t="str">
        <f>'Components and Space Standards'!A7:E7</f>
        <v>Equipment issue storage</v>
      </c>
      <c r="B7" s="16">
        <f>'Components and Space Standards'!B7:F7</f>
        <v>16.2575</v>
      </c>
      <c r="C7" s="21">
        <f>'Components and Space Standards'!C7:G7</f>
        <v>175</v>
      </c>
      <c r="D7" s="22" t="str">
        <f>'Components and Space Standards'!D7:G7</f>
        <v>Storage Module(s)</v>
      </c>
      <c r="E7" s="22" t="str">
        <f>'Components and Space Standards'!E7:H7</f>
        <v>Equipment storage at/behind gear issue </v>
      </c>
      <c r="F7" s="188">
        <v>2</v>
      </c>
      <c r="G7" s="193">
        <f>$B7*F7</f>
        <v>32.515</v>
      </c>
      <c r="H7" s="191">
        <f>F7*$C7</f>
        <v>350</v>
      </c>
      <c r="I7" s="191">
        <v>2</v>
      </c>
      <c r="J7" s="193">
        <f>$B7*I7</f>
        <v>32.515</v>
      </c>
      <c r="K7" s="191">
        <f>I7*$C7</f>
        <v>350</v>
      </c>
      <c r="L7" s="191">
        <v>2</v>
      </c>
      <c r="M7" s="193">
        <f>$B7*L7</f>
        <v>32.515</v>
      </c>
      <c r="N7" s="191">
        <f>L7*$C7</f>
        <v>350</v>
      </c>
      <c r="O7" s="191">
        <v>3</v>
      </c>
      <c r="P7" s="193">
        <f>$B7*O7</f>
        <v>48.7725</v>
      </c>
      <c r="Q7" s="191">
        <f>O7*$C7</f>
        <v>525</v>
      </c>
      <c r="R7" s="188">
        <v>3</v>
      </c>
      <c r="S7" s="193">
        <f>$B7*R7</f>
        <v>48.7725</v>
      </c>
      <c r="T7" s="191">
        <f>R7*$C7</f>
        <v>525</v>
      </c>
      <c r="U7" s="541">
        <v>4</v>
      </c>
      <c r="V7" s="193">
        <f>$B7*U7</f>
        <v>65.03</v>
      </c>
      <c r="W7" s="191">
        <f>U7*$C7</f>
        <v>700</v>
      </c>
      <c r="X7" s="118" t="s">
        <v>118</v>
      </c>
      <c r="Y7" s="4"/>
    </row>
    <row r="8" spans="1:25" s="2" customFormat="1" ht="12" customHeight="1">
      <c r="A8" s="23" t="str">
        <f>'Components and Space Standards'!A8:E8</f>
        <v>Vending</v>
      </c>
      <c r="B8" s="16">
        <f>'Components and Space Standards'!B8:F8</f>
        <v>1.8579999999999999</v>
      </c>
      <c r="C8" s="21">
        <f>'Components and Space Standards'!C8:G8</f>
        <v>20</v>
      </c>
      <c r="D8" s="22" t="str">
        <f>'Components and Space Standards'!D8:G8</f>
        <v>Vending Machine(s)</v>
      </c>
      <c r="E8" s="22" t="str">
        <f>'Components and Space Standards'!E8:H8</f>
        <v>per vending machine</v>
      </c>
      <c r="F8" s="188">
        <v>1</v>
      </c>
      <c r="G8" s="193">
        <f>$B8*F8</f>
        <v>1.8579999999999999</v>
      </c>
      <c r="H8" s="191">
        <f>F8*$C8</f>
        <v>20</v>
      </c>
      <c r="I8" s="191">
        <v>1</v>
      </c>
      <c r="J8" s="193">
        <f>$B8*I8</f>
        <v>1.8579999999999999</v>
      </c>
      <c r="K8" s="191">
        <f>I8*$C8</f>
        <v>20</v>
      </c>
      <c r="L8" s="191">
        <v>1</v>
      </c>
      <c r="M8" s="193">
        <f>$B8*L8</f>
        <v>1.8579999999999999</v>
      </c>
      <c r="N8" s="191">
        <f>L8*$C8</f>
        <v>20</v>
      </c>
      <c r="O8" s="191">
        <v>1</v>
      </c>
      <c r="P8" s="193">
        <f>$B8*O8</f>
        <v>1.8579999999999999</v>
      </c>
      <c r="Q8" s="191">
        <f>O8*$C8</f>
        <v>20</v>
      </c>
      <c r="R8" s="188">
        <v>1</v>
      </c>
      <c r="S8" s="193">
        <f>$B8*R8</f>
        <v>1.8579999999999999</v>
      </c>
      <c r="T8" s="191">
        <f>R8*$C8</f>
        <v>20</v>
      </c>
      <c r="U8" s="541">
        <v>1</v>
      </c>
      <c r="V8" s="193">
        <f>$B8*U8</f>
        <v>1.8579999999999999</v>
      </c>
      <c r="W8" s="191">
        <f>U8*$C8</f>
        <v>20</v>
      </c>
      <c r="X8" s="118" t="s">
        <v>121</v>
      </c>
      <c r="Y8" s="4"/>
    </row>
    <row r="9" spans="1:25" s="2" customFormat="1" ht="12" customHeight="1">
      <c r="A9" s="23" t="str">
        <f>'Components and Space Standards'!A9:E9</f>
        <v>Waiting/Display</v>
      </c>
      <c r="B9" s="16">
        <f>'Components and Space Standards'!B9:F9</f>
        <v>8.360999999999999</v>
      </c>
      <c r="C9" s="21">
        <f>'Components and Space Standards'!C9:G9</f>
        <v>90</v>
      </c>
      <c r="D9" s="22" t="str">
        <f>'Components and Space Standards'!D9:G9</f>
        <v>Seating/Display Module(s) (for 4 ppl)</v>
      </c>
      <c r="E9" s="22" t="str">
        <f>'Components and Space Standards'!E9:H9</f>
        <v>Space for seating for 4 ppl and display area</v>
      </c>
      <c r="F9" s="188">
        <v>1</v>
      </c>
      <c r="G9" s="193">
        <f>$B9*F9</f>
        <v>8.360999999999999</v>
      </c>
      <c r="H9" s="191">
        <f>F9*$C9</f>
        <v>90</v>
      </c>
      <c r="I9" s="191">
        <v>2</v>
      </c>
      <c r="J9" s="193">
        <f>$B9*I9</f>
        <v>16.721999999999998</v>
      </c>
      <c r="K9" s="191">
        <f>I9*$C9</f>
        <v>180</v>
      </c>
      <c r="L9" s="191">
        <v>2</v>
      </c>
      <c r="M9" s="193">
        <f>$B9*L9</f>
        <v>16.721999999999998</v>
      </c>
      <c r="N9" s="191">
        <f>L9*$C9</f>
        <v>180</v>
      </c>
      <c r="O9" s="191">
        <v>4</v>
      </c>
      <c r="P9" s="193">
        <f>$B9*O9</f>
        <v>33.443999999999996</v>
      </c>
      <c r="Q9" s="191">
        <f>O9*$C9</f>
        <v>360</v>
      </c>
      <c r="R9" s="188">
        <v>5</v>
      </c>
      <c r="S9" s="193">
        <f>$B9*R9</f>
        <v>41.80499999999999</v>
      </c>
      <c r="T9" s="191">
        <f>R9*$C9</f>
        <v>450</v>
      </c>
      <c r="U9" s="541">
        <v>5</v>
      </c>
      <c r="V9" s="193">
        <f>$B9*U9</f>
        <v>41.80499999999999</v>
      </c>
      <c r="W9" s="191">
        <f>U9*$C9</f>
        <v>450</v>
      </c>
      <c r="X9" s="108" t="s">
        <v>178</v>
      </c>
      <c r="Y9" s="4"/>
    </row>
    <row r="10" spans="1:25" s="2" customFormat="1" ht="12" customHeight="1">
      <c r="A10" s="23" t="str">
        <f>'Components and Space Standards'!A10:E10</f>
        <v>Spectator peak-time circulation</v>
      </c>
      <c r="B10" s="16">
        <f>'Components and Space Standards'!B10:F10</f>
        <v>27.869999999999997</v>
      </c>
      <c r="C10" s="21">
        <f>'Components and Space Standards'!C10:G10</f>
        <v>300</v>
      </c>
      <c r="D10" s="22" t="str">
        <f>'Components and Space Standards'!D10:G10</f>
        <v>Circulation Module(s)</v>
      </c>
      <c r="E10" s="22" t="str">
        <f>'Components and Space Standards'!E10:H10</f>
        <v>Per one-side bleachers - driven by gym size</v>
      </c>
      <c r="F10" s="194"/>
      <c r="G10" s="195"/>
      <c r="H10" s="196"/>
      <c r="I10" s="196"/>
      <c r="J10" s="195"/>
      <c r="K10" s="196"/>
      <c r="L10" s="196"/>
      <c r="M10" s="195"/>
      <c r="N10" s="196"/>
      <c r="O10" s="196"/>
      <c r="P10" s="195"/>
      <c r="Q10" s="196"/>
      <c r="R10" s="194"/>
      <c r="S10" s="195"/>
      <c r="T10" s="196"/>
      <c r="U10" s="525"/>
      <c r="V10" s="195"/>
      <c r="W10" s="196"/>
      <c r="X10" s="108" t="s">
        <v>180</v>
      </c>
      <c r="Y10" s="4"/>
    </row>
    <row r="11" spans="1:25" s="2" customFormat="1" ht="12" customHeight="1">
      <c r="A11" s="23" t="str">
        <f>'Components and Space Standards'!A11:E11</f>
        <v>Public restrooms/phones</v>
      </c>
      <c r="B11" s="457">
        <f>'Components and Space Standards'!B11:F11</f>
        <v>0</v>
      </c>
      <c r="C11" s="494">
        <f>'Components and Space Standards'!C11:G11</f>
        <v>0</v>
      </c>
      <c r="D11" s="495" t="str">
        <f>'Components and Space Standards'!D11:G11</f>
        <v>Public Restroom(s)</v>
      </c>
      <c r="E11" s="22" t="str">
        <f>'Components and Space Standards'!E11:H11</f>
        <v>Option - Driven by gym size</v>
      </c>
      <c r="F11" s="194"/>
      <c r="G11" s="195"/>
      <c r="H11" s="196"/>
      <c r="I11" s="196"/>
      <c r="J11" s="195"/>
      <c r="K11" s="196"/>
      <c r="L11" s="196"/>
      <c r="M11" s="195"/>
      <c r="N11" s="196"/>
      <c r="O11" s="196"/>
      <c r="P11" s="195"/>
      <c r="Q11" s="196"/>
      <c r="R11" s="194"/>
      <c r="S11" s="195"/>
      <c r="T11" s="196"/>
      <c r="U11" s="525"/>
      <c r="V11" s="195"/>
      <c r="W11" s="196"/>
      <c r="X11" s="108" t="s">
        <v>130</v>
      </c>
      <c r="Y11" s="4"/>
    </row>
    <row r="12" spans="1:24" s="331" customFormat="1" ht="12" customHeight="1">
      <c r="A12" s="184" t="str">
        <f>'Components and Space Standards'!A12:E12</f>
        <v>Gymnasium</v>
      </c>
      <c r="B12" s="185"/>
      <c r="C12" s="186"/>
      <c r="D12" s="186"/>
      <c r="E12" s="187"/>
      <c r="F12" s="200"/>
      <c r="G12" s="201"/>
      <c r="H12" s="202"/>
      <c r="I12" s="202"/>
      <c r="J12" s="201"/>
      <c r="K12" s="202"/>
      <c r="L12" s="202"/>
      <c r="M12" s="201"/>
      <c r="N12" s="202"/>
      <c r="O12" s="202"/>
      <c r="P12" s="201"/>
      <c r="Q12" s="202"/>
      <c r="R12" s="200"/>
      <c r="S12" s="201"/>
      <c r="T12" s="202"/>
      <c r="U12" s="524"/>
      <c r="V12" s="201"/>
      <c r="W12" s="202"/>
      <c r="X12" s="330"/>
    </row>
    <row r="13" spans="1:25" s="2" customFormat="1" ht="12" customHeight="1">
      <c r="A13" s="23" t="str">
        <f>'Components and Space Standards'!A13:E13</f>
        <v>Basketball/volleyball Court</v>
      </c>
      <c r="B13" s="16">
        <f>'Components and Space Standards'!B13:F13</f>
        <v>826.0668</v>
      </c>
      <c r="C13" s="21">
        <f>'Components and Space Standards'!C13:G13</f>
        <v>8892</v>
      </c>
      <c r="D13" s="275" t="str">
        <f>'Components and Space Standards'!D13:G13</f>
        <v>One-court/200-seat Module(s)</v>
      </c>
      <c r="E13" s="17" t="str">
        <f>'Components and Space Standards'!E13:H13</f>
        <v>NCAA Court + 10' safety + 200 seats (one side)</v>
      </c>
      <c r="F13" s="188">
        <v>1</v>
      </c>
      <c r="G13" s="193">
        <f aca="true" t="shared" si="0" ref="G13:G21">$B13*F13</f>
        <v>826.0668</v>
      </c>
      <c r="H13" s="191">
        <f aca="true" t="shared" si="1" ref="H13:H18">F13*$C13</f>
        <v>8892</v>
      </c>
      <c r="I13" s="191">
        <v>1</v>
      </c>
      <c r="J13" s="193">
        <f aca="true" t="shared" si="2" ref="J13:J21">$B13*I13</f>
        <v>826.0668</v>
      </c>
      <c r="K13" s="191">
        <f aca="true" t="shared" si="3" ref="K13:K18">I13*$C13</f>
        <v>8892</v>
      </c>
      <c r="L13" s="191">
        <v>0</v>
      </c>
      <c r="M13" s="193">
        <f aca="true" t="shared" si="4" ref="M13:M21">$B13*L13</f>
        <v>0</v>
      </c>
      <c r="N13" s="191">
        <f aca="true" t="shared" si="5" ref="N13:N18">L13*$C13</f>
        <v>0</v>
      </c>
      <c r="O13" s="191">
        <v>1</v>
      </c>
      <c r="P13" s="193">
        <f aca="true" t="shared" si="6" ref="P13:P21">$B13*O13</f>
        <v>826.0668</v>
      </c>
      <c r="Q13" s="191">
        <f aca="true" t="shared" si="7" ref="Q13:Q18">O13*$C13</f>
        <v>8892</v>
      </c>
      <c r="R13" s="188">
        <v>0</v>
      </c>
      <c r="S13" s="193">
        <f aca="true" t="shared" si="8" ref="S13:S21">$B13*R13</f>
        <v>0</v>
      </c>
      <c r="T13" s="191">
        <f aca="true" t="shared" si="9" ref="T13:T18">R13*$C13</f>
        <v>0</v>
      </c>
      <c r="U13" s="541">
        <v>0</v>
      </c>
      <c r="V13" s="193">
        <f aca="true" t="shared" si="10" ref="V13:V21">$B13*U13</f>
        <v>0</v>
      </c>
      <c r="W13" s="191">
        <f aca="true" t="shared" si="11" ref="W13:W18">U13*$C13</f>
        <v>0</v>
      </c>
      <c r="X13" s="610" t="s">
        <v>70</v>
      </c>
      <c r="Y13" s="4"/>
    </row>
    <row r="14" spans="1:25" s="2" customFormat="1" ht="12" customHeight="1">
      <c r="A14" s="293" t="str">
        <f>'Components and Space Standards'!A14:E14</f>
        <v>Two Court Module</v>
      </c>
      <c r="B14" s="16">
        <f>'Components and Space Standards'!B14:F14</f>
        <v>1630.9524</v>
      </c>
      <c r="C14" s="21">
        <f>'Components and Space Standards'!C14:G14</f>
        <v>17556</v>
      </c>
      <c r="D14" s="275" t="str">
        <f>'Components and Space Standards'!D14:G14</f>
        <v>Two-court/200-seat Module(s)</v>
      </c>
      <c r="E14" s="17" t="str">
        <f>'Components and Space Standards'!E14:H14</f>
        <v>Two courts + 10' safety, 16' between cts, + 200 seats</v>
      </c>
      <c r="F14" s="188">
        <v>0</v>
      </c>
      <c r="G14" s="193">
        <f t="shared" si="0"/>
        <v>0</v>
      </c>
      <c r="H14" s="191">
        <f>F14*$C14</f>
        <v>0</v>
      </c>
      <c r="I14" s="191">
        <v>0</v>
      </c>
      <c r="J14" s="193">
        <f t="shared" si="2"/>
        <v>0</v>
      </c>
      <c r="K14" s="191">
        <f>I14*$C14</f>
        <v>0</v>
      </c>
      <c r="L14" s="191">
        <v>1</v>
      </c>
      <c r="M14" s="193">
        <f t="shared" si="4"/>
        <v>1630.9524</v>
      </c>
      <c r="N14" s="191">
        <f>L14*$C14</f>
        <v>17556</v>
      </c>
      <c r="O14" s="191">
        <v>1</v>
      </c>
      <c r="P14" s="193">
        <f t="shared" si="6"/>
        <v>1630.9524</v>
      </c>
      <c r="Q14" s="191">
        <f>O14*$C14</f>
        <v>17556</v>
      </c>
      <c r="R14" s="188">
        <v>2</v>
      </c>
      <c r="S14" s="193">
        <f t="shared" si="8"/>
        <v>3261.9048</v>
      </c>
      <c r="T14" s="191">
        <f>R14*$C14</f>
        <v>35112</v>
      </c>
      <c r="U14" s="541">
        <v>3</v>
      </c>
      <c r="V14" s="193">
        <f t="shared" si="10"/>
        <v>4892.8571999999995</v>
      </c>
      <c r="W14" s="191">
        <f t="shared" si="11"/>
        <v>52668</v>
      </c>
      <c r="X14" s="623"/>
      <c r="Y14" s="4"/>
    </row>
    <row r="15" spans="1:25" s="2" customFormat="1" ht="12" customHeight="1">
      <c r="A15" s="293" t="str">
        <f>'Components and Space Standards'!A15:E15</f>
        <v>Arena-style Two-Court Module</v>
      </c>
      <c r="B15" s="16">
        <f>'Components and Space Standards'!B15:F15</f>
        <v>1708.6168</v>
      </c>
      <c r="C15" s="21">
        <f>'Components and Space Standards'!C15:G15</f>
        <v>18392</v>
      </c>
      <c r="D15" s="275" t="str">
        <f>'Components and Space Standards'!D15:G15</f>
        <v>Arena-style Two-Court Module(s)</v>
      </c>
      <c r="E15" s="17" t="str">
        <f>'Components and Space Standards'!E15:H15</f>
        <v>Provides space for arena-style seating for center, longitudinal ct.</v>
      </c>
      <c r="F15" s="188">
        <v>0</v>
      </c>
      <c r="G15" s="193">
        <f t="shared" si="0"/>
        <v>0</v>
      </c>
      <c r="H15" s="191">
        <f>F15*$C15</f>
        <v>0</v>
      </c>
      <c r="I15" s="191">
        <v>0</v>
      </c>
      <c r="J15" s="193">
        <f t="shared" si="2"/>
        <v>0</v>
      </c>
      <c r="K15" s="191">
        <f>I15*$C15</f>
        <v>0</v>
      </c>
      <c r="L15" s="191">
        <v>0</v>
      </c>
      <c r="M15" s="193">
        <f t="shared" si="4"/>
        <v>0</v>
      </c>
      <c r="N15" s="191">
        <f>L15*$C15</f>
        <v>0</v>
      </c>
      <c r="O15" s="191">
        <v>0</v>
      </c>
      <c r="P15" s="193">
        <f t="shared" si="6"/>
        <v>0</v>
      </c>
      <c r="Q15" s="191">
        <f>O15*$C15</f>
        <v>0</v>
      </c>
      <c r="R15" s="188">
        <v>0</v>
      </c>
      <c r="S15" s="193">
        <f t="shared" si="8"/>
        <v>0</v>
      </c>
      <c r="T15" s="191">
        <f>R15*$C15</f>
        <v>0</v>
      </c>
      <c r="U15" s="541">
        <v>0</v>
      </c>
      <c r="V15" s="193">
        <f t="shared" si="10"/>
        <v>0</v>
      </c>
      <c r="W15" s="191">
        <f t="shared" si="11"/>
        <v>0</v>
      </c>
      <c r="X15" s="623"/>
      <c r="Y15" s="4"/>
    </row>
    <row r="16" spans="1:25" s="2" customFormat="1" ht="12" customHeight="1">
      <c r="A16" s="23" t="str">
        <f>'Components and Space Standards'!A16:E16</f>
        <v>Additional Spectator seating</v>
      </c>
      <c r="B16" s="16">
        <f>'Components and Space Standards'!B16:F16</f>
        <v>84.70621999999999</v>
      </c>
      <c r="C16" s="21">
        <f>'Components and Space Standards'!C16:G16</f>
        <v>911.8</v>
      </c>
      <c r="D16" s="275" t="str">
        <f>'Components and Space Standards'!D16:G16</f>
        <v>Additional 200-seat Module(s)</v>
      </c>
      <c r="E16" s="17" t="str">
        <f>'Components and Space Standards'!E16:H16</f>
        <v>Four rows of seats (one ea. side) = 200 ppl.</v>
      </c>
      <c r="F16" s="188">
        <v>0</v>
      </c>
      <c r="G16" s="193">
        <f t="shared" si="0"/>
        <v>0</v>
      </c>
      <c r="H16" s="191">
        <f>F16*$C16</f>
        <v>0</v>
      </c>
      <c r="I16" s="191">
        <v>0</v>
      </c>
      <c r="J16" s="193">
        <f t="shared" si="2"/>
        <v>0</v>
      </c>
      <c r="K16" s="191">
        <f t="shared" si="3"/>
        <v>0</v>
      </c>
      <c r="L16" s="191">
        <v>0</v>
      </c>
      <c r="M16" s="193">
        <f t="shared" si="4"/>
        <v>0</v>
      </c>
      <c r="N16" s="191">
        <f t="shared" si="5"/>
        <v>0</v>
      </c>
      <c r="O16" s="191">
        <v>0</v>
      </c>
      <c r="P16" s="193">
        <f t="shared" si="6"/>
        <v>0</v>
      </c>
      <c r="Q16" s="191">
        <f t="shared" si="7"/>
        <v>0</v>
      </c>
      <c r="R16" s="188">
        <v>0</v>
      </c>
      <c r="S16" s="193">
        <f t="shared" si="8"/>
        <v>0</v>
      </c>
      <c r="T16" s="191">
        <f t="shared" si="9"/>
        <v>0</v>
      </c>
      <c r="U16" s="541">
        <v>0</v>
      </c>
      <c r="V16" s="193">
        <f t="shared" si="10"/>
        <v>0</v>
      </c>
      <c r="W16" s="191">
        <f t="shared" si="11"/>
        <v>0</v>
      </c>
      <c r="X16" s="611"/>
      <c r="Y16" s="4"/>
    </row>
    <row r="17" spans="1:25" s="2" customFormat="1" ht="12" customHeight="1">
      <c r="A17" s="23" t="str">
        <f>'Components and Space Standards'!A17:E17</f>
        <v>Basic storage/support</v>
      </c>
      <c r="B17" s="16">
        <f>'Components and Space Standards'!B17:F17</f>
        <v>65.03</v>
      </c>
      <c r="C17" s="11">
        <f>'Components and Space Standards'!C17:G17</f>
        <v>700</v>
      </c>
      <c r="D17" s="275" t="str">
        <f>'Components and Space Standards'!D17:G17</f>
        <v>Storage Module(s)</v>
      </c>
      <c r="E17" s="17" t="str">
        <f>'Components and Space Standards'!E17:H17</f>
        <v>Roughly 8% of base gym area</v>
      </c>
      <c r="F17" s="188">
        <v>0</v>
      </c>
      <c r="G17" s="193">
        <f t="shared" si="0"/>
        <v>0</v>
      </c>
      <c r="H17" s="191">
        <f t="shared" si="1"/>
        <v>0</v>
      </c>
      <c r="I17" s="191">
        <v>1</v>
      </c>
      <c r="J17" s="193">
        <f t="shared" si="2"/>
        <v>65.03</v>
      </c>
      <c r="K17" s="191">
        <f t="shared" si="3"/>
        <v>700</v>
      </c>
      <c r="L17" s="191">
        <v>2</v>
      </c>
      <c r="M17" s="193">
        <f t="shared" si="4"/>
        <v>130.06</v>
      </c>
      <c r="N17" s="191">
        <f t="shared" si="5"/>
        <v>1400</v>
      </c>
      <c r="O17" s="191">
        <v>3</v>
      </c>
      <c r="P17" s="193">
        <f t="shared" si="6"/>
        <v>195.09</v>
      </c>
      <c r="Q17" s="191">
        <f t="shared" si="7"/>
        <v>2100</v>
      </c>
      <c r="R17" s="188">
        <v>4</v>
      </c>
      <c r="S17" s="193">
        <f t="shared" si="8"/>
        <v>260.12</v>
      </c>
      <c r="T17" s="191">
        <f t="shared" si="9"/>
        <v>2800</v>
      </c>
      <c r="U17" s="541">
        <v>5</v>
      </c>
      <c r="V17" s="193">
        <f t="shared" si="10"/>
        <v>325.15</v>
      </c>
      <c r="W17" s="191">
        <f t="shared" si="11"/>
        <v>3500</v>
      </c>
      <c r="X17" s="108"/>
      <c r="Y17" s="4"/>
    </row>
    <row r="18" spans="1:25" s="2" customFormat="1" ht="12" customHeight="1">
      <c r="A18" s="23" t="str">
        <f>'Components and Space Standards'!A18:E18</f>
        <v>Additional court storage</v>
      </c>
      <c r="B18" s="16">
        <f>'Components and Space Standards'!B18:F18</f>
        <v>32.515</v>
      </c>
      <c r="C18" s="11">
        <f>'Components and Space Standards'!C18:G18</f>
        <v>350</v>
      </c>
      <c r="D18" s="275" t="str">
        <f>'Components and Space Standards'!D18:G18</f>
        <v>Additional storage module(s)</v>
      </c>
      <c r="E18" s="17" t="str">
        <f>'Components and Space Standards'!E18:H18</f>
        <v>Storage space per additional court</v>
      </c>
      <c r="F18" s="188">
        <v>0</v>
      </c>
      <c r="G18" s="193">
        <f t="shared" si="0"/>
        <v>0</v>
      </c>
      <c r="H18" s="191">
        <f t="shared" si="1"/>
        <v>0</v>
      </c>
      <c r="I18" s="191">
        <v>0</v>
      </c>
      <c r="J18" s="193">
        <f t="shared" si="2"/>
        <v>0</v>
      </c>
      <c r="K18" s="191">
        <f t="shared" si="3"/>
        <v>0</v>
      </c>
      <c r="L18" s="191">
        <v>0</v>
      </c>
      <c r="M18" s="193">
        <f t="shared" si="4"/>
        <v>0</v>
      </c>
      <c r="N18" s="191">
        <f t="shared" si="5"/>
        <v>0</v>
      </c>
      <c r="O18" s="191">
        <v>0</v>
      </c>
      <c r="P18" s="193">
        <f t="shared" si="6"/>
        <v>0</v>
      </c>
      <c r="Q18" s="191">
        <f t="shared" si="7"/>
        <v>0</v>
      </c>
      <c r="R18" s="188">
        <v>0</v>
      </c>
      <c r="S18" s="193">
        <f t="shared" si="8"/>
        <v>0</v>
      </c>
      <c r="T18" s="191">
        <f t="shared" si="9"/>
        <v>0</v>
      </c>
      <c r="U18" s="541">
        <v>0</v>
      </c>
      <c r="V18" s="193">
        <f t="shared" si="10"/>
        <v>0</v>
      </c>
      <c r="W18" s="191">
        <f t="shared" si="11"/>
        <v>0</v>
      </c>
      <c r="X18" s="108"/>
      <c r="Y18" s="4"/>
    </row>
    <row r="19" spans="1:24" s="331" customFormat="1" ht="12" customHeight="1">
      <c r="A19" s="184" t="str">
        <f>'Components and Space Standards'!A19:E19</f>
        <v>Unit PT/Group Exercise</v>
      </c>
      <c r="B19" s="185"/>
      <c r="C19" s="197"/>
      <c r="D19" s="197"/>
      <c r="E19" s="198"/>
      <c r="F19" s="200"/>
      <c r="G19" s="201"/>
      <c r="H19" s="202"/>
      <c r="I19" s="202"/>
      <c r="J19" s="201"/>
      <c r="K19" s="202"/>
      <c r="L19" s="202"/>
      <c r="M19" s="201"/>
      <c r="N19" s="202"/>
      <c r="O19" s="202"/>
      <c r="P19" s="201"/>
      <c r="Q19" s="202"/>
      <c r="R19" s="200"/>
      <c r="S19" s="201"/>
      <c r="T19" s="202"/>
      <c r="U19" s="524"/>
      <c r="V19" s="201"/>
      <c r="W19" s="202"/>
      <c r="X19" s="332"/>
    </row>
    <row r="20" spans="1:25" s="2" customFormat="1" ht="12" customHeight="1">
      <c r="A20" s="23" t="str">
        <f>'Components and Space Standards'!A20:E20</f>
        <v>Partitionable Room(s)</v>
      </c>
      <c r="B20" s="119">
        <f>'Components and Space Standards'!B20:F20</f>
        <v>4.645</v>
      </c>
      <c r="C20" s="11">
        <f>'Components and Space Standards'!C20:G20</f>
        <v>50</v>
      </c>
      <c r="D20" s="275" t="str">
        <f>'Components and Space Standards'!D20:G20</f>
        <v>people at 4.6 m2 (50 ft.2)/person</v>
      </c>
      <c r="E20" s="17" t="str">
        <f>'Components and Space Standards'!E20:H20</f>
        <v>116.1 m2 (1,250 ft.2) (25 ppl) minimum size</v>
      </c>
      <c r="F20" s="188">
        <v>0</v>
      </c>
      <c r="G20" s="193">
        <f t="shared" si="0"/>
        <v>0</v>
      </c>
      <c r="H20" s="191">
        <f>F20*$C20</f>
        <v>0</v>
      </c>
      <c r="I20" s="191">
        <v>25</v>
      </c>
      <c r="J20" s="193">
        <f t="shared" si="2"/>
        <v>116.12499999999999</v>
      </c>
      <c r="K20" s="191">
        <f>I20*$C20</f>
        <v>1250</v>
      </c>
      <c r="L20" s="191">
        <v>25</v>
      </c>
      <c r="M20" s="193">
        <f t="shared" si="4"/>
        <v>116.12499999999999</v>
      </c>
      <c r="N20" s="191">
        <f>L20*$C20</f>
        <v>1250</v>
      </c>
      <c r="O20" s="191">
        <v>50</v>
      </c>
      <c r="P20" s="193">
        <f t="shared" si="6"/>
        <v>232.24999999999997</v>
      </c>
      <c r="Q20" s="191">
        <f>O20*$C20</f>
        <v>2500</v>
      </c>
      <c r="R20" s="188">
        <v>50</v>
      </c>
      <c r="S20" s="193">
        <f t="shared" si="8"/>
        <v>232.24999999999997</v>
      </c>
      <c r="T20" s="191">
        <f>R20*$C20</f>
        <v>2500</v>
      </c>
      <c r="U20" s="541">
        <v>75</v>
      </c>
      <c r="V20" s="193">
        <f t="shared" si="10"/>
        <v>348.37499999999994</v>
      </c>
      <c r="W20" s="191">
        <f>U20*$C20</f>
        <v>3750</v>
      </c>
      <c r="X20" s="118" t="s">
        <v>75</v>
      </c>
      <c r="Y20" s="106"/>
    </row>
    <row r="21" spans="1:25" s="2" customFormat="1" ht="12" customHeight="1">
      <c r="A21" s="23" t="str">
        <f>'Components and Space Standards'!A21:E21</f>
        <v>Storage/support</v>
      </c>
      <c r="B21" s="119">
        <f>'Components and Space Standards'!B21:F21</f>
        <v>0.46449999999999997</v>
      </c>
      <c r="C21" s="11">
        <f>'Components and Space Standards'!C21:G21</f>
        <v>5</v>
      </c>
      <c r="D21" s="275" t="str">
        <f>'Components and Space Standards'!D21:G21</f>
        <v>10% of partitionable room area</v>
      </c>
      <c r="E21" s="17" t="str">
        <f>'Components and Space Standards'!E21:H21</f>
        <v>11.6 m2 (125 ft.2) minimum (10% of room area)</v>
      </c>
      <c r="F21" s="188">
        <f>F20</f>
        <v>0</v>
      </c>
      <c r="G21" s="193">
        <f t="shared" si="0"/>
        <v>0</v>
      </c>
      <c r="H21" s="191">
        <f>F21*$C21</f>
        <v>0</v>
      </c>
      <c r="I21" s="191">
        <f>I20</f>
        <v>25</v>
      </c>
      <c r="J21" s="193">
        <f t="shared" si="2"/>
        <v>11.612499999999999</v>
      </c>
      <c r="K21" s="191">
        <f>I21*$C21</f>
        <v>125</v>
      </c>
      <c r="L21" s="191">
        <f>L20</f>
        <v>25</v>
      </c>
      <c r="M21" s="193">
        <f t="shared" si="4"/>
        <v>11.612499999999999</v>
      </c>
      <c r="N21" s="191">
        <f>L21*$C21</f>
        <v>125</v>
      </c>
      <c r="O21" s="191">
        <f>O20</f>
        <v>50</v>
      </c>
      <c r="P21" s="193">
        <f t="shared" si="6"/>
        <v>23.224999999999998</v>
      </c>
      <c r="Q21" s="191">
        <f>O21*$C21</f>
        <v>250</v>
      </c>
      <c r="R21" s="188">
        <f>R20</f>
        <v>50</v>
      </c>
      <c r="S21" s="193">
        <f t="shared" si="8"/>
        <v>23.224999999999998</v>
      </c>
      <c r="T21" s="191">
        <f>R21*$C21</f>
        <v>250</v>
      </c>
      <c r="U21" s="541">
        <v>75</v>
      </c>
      <c r="V21" s="193">
        <f t="shared" si="10"/>
        <v>34.8375</v>
      </c>
      <c r="W21" s="191">
        <f>U21*$C21</f>
        <v>375</v>
      </c>
      <c r="X21" s="108"/>
      <c r="Y21" s="4"/>
    </row>
    <row r="22" spans="1:24" s="331" customFormat="1" ht="12" customHeight="1">
      <c r="A22" s="184" t="str">
        <f>'Components and Space Standards'!A22:E22</f>
        <v>Fitness Spaces</v>
      </c>
      <c r="B22" s="185"/>
      <c r="C22" s="197"/>
      <c r="D22" s="197"/>
      <c r="E22" s="199"/>
      <c r="F22" s="200"/>
      <c r="G22" s="201"/>
      <c r="H22" s="202"/>
      <c r="I22" s="202"/>
      <c r="J22" s="201"/>
      <c r="K22" s="202"/>
      <c r="L22" s="202"/>
      <c r="M22" s="201"/>
      <c r="N22" s="202"/>
      <c r="O22" s="202"/>
      <c r="P22" s="201"/>
      <c r="Q22" s="202"/>
      <c r="R22" s="200"/>
      <c r="S22" s="201"/>
      <c r="T22" s="202"/>
      <c r="U22" s="524"/>
      <c r="V22" s="201"/>
      <c r="W22" s="202"/>
      <c r="X22" s="330"/>
    </row>
    <row r="23" spans="1:25" s="2" customFormat="1" ht="12" customHeight="1">
      <c r="A23" s="23" t="str">
        <f>'Components and Space Standards'!A23:E23</f>
        <v>Stretching</v>
      </c>
      <c r="B23" s="119">
        <f>'Components and Space Standards'!B23:F23</f>
        <v>4.645</v>
      </c>
      <c r="C23" s="11">
        <f>'Components and Space Standards'!C23:G23</f>
        <v>50</v>
      </c>
      <c r="D23" s="275" t="str">
        <f>'Components and Space Standards'!D23:G23</f>
        <v>people at 4.6 m2 (50 ft.2)/person</v>
      </c>
      <c r="E23" s="17" t="str">
        <f>'Components and Space Standards'!E23:H23</f>
        <v>50 sf per person - min. 2 ppl</v>
      </c>
      <c r="F23" s="188">
        <v>3</v>
      </c>
      <c r="G23" s="193">
        <f>$B23*F23</f>
        <v>13.934999999999999</v>
      </c>
      <c r="H23" s="191">
        <f>F23*$C23</f>
        <v>150</v>
      </c>
      <c r="I23" s="191">
        <v>3</v>
      </c>
      <c r="J23" s="193">
        <f>$B23*I23</f>
        <v>13.934999999999999</v>
      </c>
      <c r="K23" s="191">
        <f>I23*$C23</f>
        <v>150</v>
      </c>
      <c r="L23" s="191">
        <v>6</v>
      </c>
      <c r="M23" s="193">
        <f>$B23*L23</f>
        <v>27.869999999999997</v>
      </c>
      <c r="N23" s="191">
        <f>L23*$C23</f>
        <v>300</v>
      </c>
      <c r="O23" s="191">
        <v>8</v>
      </c>
      <c r="P23" s="193">
        <f>$B23*O23</f>
        <v>37.16</v>
      </c>
      <c r="Q23" s="191">
        <f>O23*$C23</f>
        <v>400</v>
      </c>
      <c r="R23" s="188">
        <v>12</v>
      </c>
      <c r="S23" s="193">
        <f>$B23*R23</f>
        <v>55.739999999999995</v>
      </c>
      <c r="T23" s="191">
        <f>R23*$C23</f>
        <v>600</v>
      </c>
      <c r="U23" s="541">
        <v>12</v>
      </c>
      <c r="V23" s="193">
        <f>$B23*U23</f>
        <v>55.739999999999995</v>
      </c>
      <c r="W23" s="191">
        <f>U23*$C23</f>
        <v>600</v>
      </c>
      <c r="X23" s="610" t="s">
        <v>108</v>
      </c>
      <c r="Y23" s="4"/>
    </row>
    <row r="24" spans="1:25" s="2" customFormat="1" ht="12" customHeight="1">
      <c r="A24" s="23" t="str">
        <f>'Components and Space Standards'!A24:E24</f>
        <v>Cardiovascular Equipment</v>
      </c>
      <c r="B24" s="119">
        <f>'Components and Space Standards'!B24:F24</f>
        <v>4.645</v>
      </c>
      <c r="C24" s="11">
        <f>'Components and Space Standards'!C24:G24</f>
        <v>50</v>
      </c>
      <c r="D24" s="275" t="str">
        <f>'Components and Space Standards'!D24:G24</f>
        <v>items at 4.6 m2 (50 ft.2)/item</v>
      </c>
      <c r="E24" s="17" t="str">
        <f>'Components and Space Standards'!E24:H24</f>
        <v>50 sf per station</v>
      </c>
      <c r="F24" s="188">
        <v>20</v>
      </c>
      <c r="G24" s="193">
        <f>$B24*F24</f>
        <v>92.89999999999999</v>
      </c>
      <c r="H24" s="191">
        <f>F24*$C24</f>
        <v>1000</v>
      </c>
      <c r="I24" s="191">
        <v>35</v>
      </c>
      <c r="J24" s="193">
        <f>$B24*I24</f>
        <v>162.575</v>
      </c>
      <c r="K24" s="191">
        <f>I24*$C24</f>
        <v>1750</v>
      </c>
      <c r="L24" s="191">
        <v>64</v>
      </c>
      <c r="M24" s="193">
        <f>$B24*L24</f>
        <v>297.28</v>
      </c>
      <c r="N24" s="191">
        <f>L24*$C24</f>
        <v>3200</v>
      </c>
      <c r="O24" s="191">
        <v>80</v>
      </c>
      <c r="P24" s="193">
        <f>$B24*O24</f>
        <v>371.59999999999997</v>
      </c>
      <c r="Q24" s="191">
        <f>O24*$C24</f>
        <v>4000</v>
      </c>
      <c r="R24" s="188">
        <v>125</v>
      </c>
      <c r="S24" s="193">
        <f>$B24*R24</f>
        <v>580.625</v>
      </c>
      <c r="T24" s="191">
        <f>R24*$C24</f>
        <v>6250</v>
      </c>
      <c r="U24" s="541">
        <v>150</v>
      </c>
      <c r="V24" s="193">
        <f>$B24*U24</f>
        <v>696.7499999999999</v>
      </c>
      <c r="W24" s="191">
        <f>U24*$C24</f>
        <v>7500</v>
      </c>
      <c r="X24" s="623"/>
      <c r="Y24" s="4"/>
    </row>
    <row r="25" spans="1:25" s="2" customFormat="1" ht="12" customHeight="1">
      <c r="A25" s="23" t="str">
        <f>'Components and Space Standards'!A25:E25</f>
        <v>Selectorized (machine) weights</v>
      </c>
      <c r="B25" s="119">
        <f>'Components and Space Standards'!B25:F25</f>
        <v>4.645</v>
      </c>
      <c r="C25" s="11">
        <f>'Components and Space Standards'!C25:G25</f>
        <v>50</v>
      </c>
      <c r="D25" s="275" t="str">
        <f>'Components and Space Standards'!D25:G25</f>
        <v>items at 4.6 m2 (50 ft.2)/item</v>
      </c>
      <c r="E25" s="17" t="str">
        <f>'Components and Space Standards'!E25:H25</f>
        <v>50 sf per station</v>
      </c>
      <c r="F25" s="188">
        <v>10</v>
      </c>
      <c r="G25" s="193">
        <f>$B25*F25</f>
        <v>46.449999999999996</v>
      </c>
      <c r="H25" s="191">
        <f>F25*$C25</f>
        <v>500</v>
      </c>
      <c r="I25" s="191">
        <v>18</v>
      </c>
      <c r="J25" s="193">
        <f>$B25*I25</f>
        <v>83.60999999999999</v>
      </c>
      <c r="K25" s="191">
        <f>I25*$C25</f>
        <v>900</v>
      </c>
      <c r="L25" s="191">
        <v>18</v>
      </c>
      <c r="M25" s="193">
        <f>$B25*L25</f>
        <v>83.60999999999999</v>
      </c>
      <c r="N25" s="191">
        <f>L25*$C25</f>
        <v>900</v>
      </c>
      <c r="O25" s="191">
        <v>36</v>
      </c>
      <c r="P25" s="193">
        <f>$B25*O25</f>
        <v>167.21999999999997</v>
      </c>
      <c r="Q25" s="191">
        <f>O25*$C25</f>
        <v>1800</v>
      </c>
      <c r="R25" s="188">
        <v>36</v>
      </c>
      <c r="S25" s="193">
        <f>$B25*R25</f>
        <v>167.21999999999997</v>
      </c>
      <c r="T25" s="191">
        <f>R25*$C25</f>
        <v>1800</v>
      </c>
      <c r="U25" s="541">
        <v>54</v>
      </c>
      <c r="V25" s="193">
        <f>$B25*U25</f>
        <v>250.82999999999998</v>
      </c>
      <c r="W25" s="191">
        <f>U25*$C25</f>
        <v>2700</v>
      </c>
      <c r="X25" s="623"/>
      <c r="Y25" s="4"/>
    </row>
    <row r="26" spans="1:25" s="2" customFormat="1" ht="12" customHeight="1">
      <c r="A26" s="23" t="str">
        <f>'Components and Space Standards'!A26:E26</f>
        <v>Free/Plate-loaded weights</v>
      </c>
      <c r="B26" s="119">
        <f>'Components and Space Standards'!B26:F26</f>
        <v>6.0385</v>
      </c>
      <c r="C26" s="11">
        <f>'Components and Space Standards'!C26:G26</f>
        <v>65</v>
      </c>
      <c r="D26" s="275" t="str">
        <f>'Components and Space Standards'!D26:G26</f>
        <v>stations at 6.0 m2 (65 ft.2)/stations</v>
      </c>
      <c r="E26" s="17" t="str">
        <f>'Components and Space Standards'!E26:H26</f>
        <v>65 sf per station</v>
      </c>
      <c r="F26" s="188">
        <v>15</v>
      </c>
      <c r="G26" s="193">
        <f>$B26*F26</f>
        <v>90.5775</v>
      </c>
      <c r="H26" s="191">
        <f>F26*$C26</f>
        <v>975</v>
      </c>
      <c r="I26" s="191">
        <v>15</v>
      </c>
      <c r="J26" s="193">
        <f>$B26*I26</f>
        <v>90.5775</v>
      </c>
      <c r="K26" s="191">
        <f>I26*$C26</f>
        <v>975</v>
      </c>
      <c r="L26" s="191">
        <v>30</v>
      </c>
      <c r="M26" s="193">
        <f>$B26*L26</f>
        <v>181.155</v>
      </c>
      <c r="N26" s="191">
        <f>L26*$C26</f>
        <v>1950</v>
      </c>
      <c r="O26" s="191">
        <v>30</v>
      </c>
      <c r="P26" s="193">
        <f>$B26*O26</f>
        <v>181.155</v>
      </c>
      <c r="Q26" s="191">
        <f>O26*$C26</f>
        <v>1950</v>
      </c>
      <c r="R26" s="188">
        <v>45</v>
      </c>
      <c r="S26" s="193">
        <f>$B26*R26</f>
        <v>271.7325</v>
      </c>
      <c r="T26" s="191">
        <f>R26*$C26</f>
        <v>2925</v>
      </c>
      <c r="U26" s="541">
        <v>45</v>
      </c>
      <c r="V26" s="193">
        <f>$B26*U26</f>
        <v>271.7325</v>
      </c>
      <c r="W26" s="191">
        <f>U26*$C26</f>
        <v>2925</v>
      </c>
      <c r="X26" s="623"/>
      <c r="Y26" s="4"/>
    </row>
    <row r="27" spans="1:25" s="2" customFormat="1" ht="12" customHeight="1">
      <c r="A27" s="23" t="str">
        <f>'Components and Space Standards'!A27:E27</f>
        <v>Finess Program Manager's Office</v>
      </c>
      <c r="B27" s="119">
        <f>'Components and Space Standards'!B27:F27</f>
        <v>11.612499999999999</v>
      </c>
      <c r="C27" s="11">
        <f>'Components and Space Standards'!C27:G27</f>
        <v>125</v>
      </c>
      <c r="D27" s="275" t="str">
        <f>'Components and Space Standards'!D27:G27</f>
        <v>Office</v>
      </c>
      <c r="E27" s="17" t="str">
        <f>'Components and Space Standards'!E27:H27</f>
        <v>Private office that may include fitness testing equipment</v>
      </c>
      <c r="F27" s="188"/>
      <c r="G27" s="193"/>
      <c r="H27" s="191"/>
      <c r="I27" s="191"/>
      <c r="J27" s="193"/>
      <c r="K27" s="191"/>
      <c r="L27" s="191"/>
      <c r="M27" s="193"/>
      <c r="N27" s="191"/>
      <c r="O27" s="191"/>
      <c r="P27" s="193"/>
      <c r="Q27" s="191"/>
      <c r="R27" s="188"/>
      <c r="S27" s="193"/>
      <c r="T27" s="191"/>
      <c r="U27" s="541"/>
      <c r="V27" s="193"/>
      <c r="W27" s="191"/>
      <c r="X27" s="623"/>
      <c r="Y27" s="4"/>
    </row>
    <row r="28" spans="1:25" s="2" customFormat="1" ht="12" customHeight="1">
      <c r="A28" s="23" t="str">
        <f>'Components and Space Standards'!A28:E28</f>
        <v>Fitness Assessment Room</v>
      </c>
      <c r="B28" s="119">
        <f>'Components and Space Standards'!B28:F28</f>
        <v>11.612499999999999</v>
      </c>
      <c r="C28" s="11">
        <f>'Components and Space Standards'!C28:G28</f>
        <v>125</v>
      </c>
      <c r="D28" s="275" t="str">
        <f>'Components and Space Standards'!D28:G28</f>
        <v>Office(s)</v>
      </c>
      <c r="E28" s="17" t="str">
        <f>'Components and Space Standards'!E28:H28</f>
        <v>1 piece fitness equip for testing, computer desk, chairs, stretching</v>
      </c>
      <c r="F28" s="188">
        <v>1</v>
      </c>
      <c r="G28" s="193">
        <f>$B28*F28</f>
        <v>11.612499999999999</v>
      </c>
      <c r="H28" s="191">
        <f>F28*$C28</f>
        <v>125</v>
      </c>
      <c r="I28" s="191">
        <v>1</v>
      </c>
      <c r="J28" s="193">
        <f>$B28*I28</f>
        <v>11.612499999999999</v>
      </c>
      <c r="K28" s="191">
        <f>I28*$C28</f>
        <v>125</v>
      </c>
      <c r="L28" s="191">
        <v>1</v>
      </c>
      <c r="M28" s="193">
        <f>$B28*L28</f>
        <v>11.612499999999999</v>
      </c>
      <c r="N28" s="191">
        <f>L28*$C28</f>
        <v>125</v>
      </c>
      <c r="O28" s="191">
        <v>1</v>
      </c>
      <c r="P28" s="193">
        <f>$B28*O28</f>
        <v>11.612499999999999</v>
      </c>
      <c r="Q28" s="191">
        <f>O28*$C28</f>
        <v>125</v>
      </c>
      <c r="R28" s="188">
        <v>1</v>
      </c>
      <c r="S28" s="193">
        <f>$B28*R28</f>
        <v>11.612499999999999</v>
      </c>
      <c r="T28" s="191">
        <f>R28*$C28</f>
        <v>125</v>
      </c>
      <c r="U28" s="541">
        <v>1</v>
      </c>
      <c r="V28" s="193">
        <f>$B28*U28</f>
        <v>11.612499999999999</v>
      </c>
      <c r="W28" s="191">
        <f>U28*$C28</f>
        <v>125</v>
      </c>
      <c r="X28" s="623"/>
      <c r="Y28" s="4"/>
    </row>
    <row r="29" spans="1:24" s="331" customFormat="1" ht="12" customHeight="1">
      <c r="A29" s="184" t="str">
        <f>'Components and Space Standards'!A29:E29</f>
        <v>Structured Activities</v>
      </c>
      <c r="B29" s="185"/>
      <c r="C29" s="197"/>
      <c r="D29" s="197"/>
      <c r="E29" s="199"/>
      <c r="F29" s="200"/>
      <c r="G29" s="201"/>
      <c r="H29" s="202"/>
      <c r="I29" s="202"/>
      <c r="J29" s="201"/>
      <c r="K29" s="202"/>
      <c r="L29" s="202"/>
      <c r="M29" s="201"/>
      <c r="N29" s="202"/>
      <c r="O29" s="202"/>
      <c r="P29" s="201"/>
      <c r="Q29" s="202"/>
      <c r="R29" s="200"/>
      <c r="S29" s="201"/>
      <c r="T29" s="202"/>
      <c r="U29" s="524"/>
      <c r="V29" s="201"/>
      <c r="W29" s="202"/>
      <c r="X29" s="330"/>
    </row>
    <row r="30" spans="1:25" s="2" customFormat="1" ht="12" customHeight="1">
      <c r="A30" s="23" t="str">
        <f>'Components and Space Standards'!A30:E30</f>
        <v>Structured Activity Space</v>
      </c>
      <c r="B30" s="119">
        <f>'Components and Space Standards'!B30:F30</f>
        <v>74.32</v>
      </c>
      <c r="C30" s="11">
        <f>'Components and Space Standards'!C30:G30</f>
        <v>800</v>
      </c>
      <c r="D30" s="275" t="str">
        <f>'Components and Space Standards'!D30:G30</f>
        <v>Flexible space Module(s)</v>
      </c>
      <c r="E30" s="17" t="str">
        <f>'Components and Space Standards'!E30:H30</f>
        <v>Based on size of a single racquetball court</v>
      </c>
      <c r="F30" s="188">
        <v>1</v>
      </c>
      <c r="G30" s="193">
        <f>$B30*F30</f>
        <v>74.32</v>
      </c>
      <c r="H30" s="191">
        <f>F30*$C30</f>
        <v>800</v>
      </c>
      <c r="I30" s="191">
        <v>2</v>
      </c>
      <c r="J30" s="193">
        <f>$B30*I30</f>
        <v>148.64</v>
      </c>
      <c r="K30" s="191">
        <f>I30*$C30</f>
        <v>1600</v>
      </c>
      <c r="L30" s="191">
        <v>2</v>
      </c>
      <c r="M30" s="193">
        <f>$B30*L30</f>
        <v>148.64</v>
      </c>
      <c r="N30" s="191">
        <f>L30*$C30</f>
        <v>1600</v>
      </c>
      <c r="O30" s="191">
        <v>3</v>
      </c>
      <c r="P30" s="193">
        <f>$B30*O30</f>
        <v>222.95999999999998</v>
      </c>
      <c r="Q30" s="191">
        <f>O30*$C30</f>
        <v>2400</v>
      </c>
      <c r="R30" s="188">
        <v>3</v>
      </c>
      <c r="S30" s="193">
        <f>$B30*R30</f>
        <v>222.95999999999998</v>
      </c>
      <c r="T30" s="191">
        <f>R30*$C30</f>
        <v>2400</v>
      </c>
      <c r="U30" s="541">
        <v>3</v>
      </c>
      <c r="V30" s="193">
        <f>$B30*U30</f>
        <v>222.95999999999998</v>
      </c>
      <c r="W30" s="191">
        <f>U30*$C30</f>
        <v>2400</v>
      </c>
      <c r="X30" s="108" t="s">
        <v>74</v>
      </c>
      <c r="Y30" s="4"/>
    </row>
    <row r="31" spans="1:25" s="2" customFormat="1" ht="12" customHeight="1">
      <c r="A31" s="23" t="str">
        <f>'Components and Space Standards'!A31:E31</f>
        <v>Racquetball Courts</v>
      </c>
      <c r="B31" s="119">
        <f>'Components and Space Standards'!B31:F31</f>
        <v>74.32</v>
      </c>
      <c r="C31" s="11">
        <f>'Components and Space Standards'!C31:G31</f>
        <v>800</v>
      </c>
      <c r="D31" s="275" t="str">
        <f>'Components and Space Standards'!D31:G31</f>
        <v>Racquetball Court(s)</v>
      </c>
      <c r="E31" s="17" t="str">
        <f>'Components and Space Standards'!E31:H31</f>
        <v>Single court size. Minimum of two courts</v>
      </c>
      <c r="F31" s="188">
        <v>1</v>
      </c>
      <c r="G31" s="193">
        <f>$B31*F31</f>
        <v>74.32</v>
      </c>
      <c r="H31" s="191">
        <f>F31*$C31</f>
        <v>800</v>
      </c>
      <c r="I31" s="191">
        <v>2</v>
      </c>
      <c r="J31" s="193">
        <f>$B31*I31</f>
        <v>148.64</v>
      </c>
      <c r="K31" s="191">
        <f>I31*$C31</f>
        <v>1600</v>
      </c>
      <c r="L31" s="191">
        <v>4</v>
      </c>
      <c r="M31" s="193">
        <f>$B31*L31</f>
        <v>297.28</v>
      </c>
      <c r="N31" s="191">
        <f>L31*$C31</f>
        <v>3200</v>
      </c>
      <c r="O31" s="191">
        <v>4</v>
      </c>
      <c r="P31" s="193">
        <f>$B31*O31</f>
        <v>297.28</v>
      </c>
      <c r="Q31" s="191">
        <f>O31*$C31</f>
        <v>3200</v>
      </c>
      <c r="R31" s="188">
        <v>6</v>
      </c>
      <c r="S31" s="193">
        <f>$B31*R31</f>
        <v>445.91999999999996</v>
      </c>
      <c r="T31" s="191">
        <f>R31*$C31</f>
        <v>4800</v>
      </c>
      <c r="U31" s="541">
        <v>8</v>
      </c>
      <c r="V31" s="193">
        <f>$B31*U31</f>
        <v>594.56</v>
      </c>
      <c r="W31" s="191">
        <f>U31*$C31</f>
        <v>6400</v>
      </c>
      <c r="X31" s="108"/>
      <c r="Y31" s="4"/>
    </row>
    <row r="32" spans="1:25" s="2" customFormat="1" ht="12" customHeight="1">
      <c r="A32" s="23" t="str">
        <f>'Components and Space Standards'!A34:E34</f>
        <v>Spectator/officiating (MC Option)</v>
      </c>
      <c r="B32" s="119">
        <f>'Components and Space Standards'!B34:F34</f>
        <v>18.58</v>
      </c>
      <c r="C32" s="11">
        <f>'Components and Space Standards'!C34:G34</f>
        <v>200</v>
      </c>
      <c r="D32" s="275" t="str">
        <f>'Components and Space Standards'!D34:G34</f>
        <v>Spectator/officiating Module(s)</v>
      </c>
      <c r="E32" s="17" t="str">
        <f>'Components and Space Standards'!E34:H34</f>
        <v>Two rows of 10 seats for one ct. Max of two cts (400 sf)</v>
      </c>
      <c r="F32" s="188">
        <v>0</v>
      </c>
      <c r="G32" s="193">
        <f>$B32*F32</f>
        <v>0</v>
      </c>
      <c r="H32" s="191">
        <f>F32*$C32</f>
        <v>0</v>
      </c>
      <c r="I32" s="191">
        <v>0</v>
      </c>
      <c r="J32" s="193">
        <f>$B32*I32</f>
        <v>0</v>
      </c>
      <c r="K32" s="191">
        <f>I32*$C32</f>
        <v>0</v>
      </c>
      <c r="L32" s="191">
        <v>0</v>
      </c>
      <c r="M32" s="193">
        <f>$B32*L32</f>
        <v>0</v>
      </c>
      <c r="N32" s="191">
        <f>L32*$C32</f>
        <v>0</v>
      </c>
      <c r="O32" s="191">
        <v>0</v>
      </c>
      <c r="P32" s="193">
        <f>$B32*O32</f>
        <v>0</v>
      </c>
      <c r="Q32" s="191">
        <f>O32*$C32</f>
        <v>0</v>
      </c>
      <c r="R32" s="188">
        <v>0</v>
      </c>
      <c r="S32" s="193">
        <f>$B32*R32</f>
        <v>0</v>
      </c>
      <c r="T32" s="191">
        <f>R32*$C32</f>
        <v>0</v>
      </c>
      <c r="U32" s="541">
        <v>0</v>
      </c>
      <c r="V32" s="193">
        <f>$B32*U32</f>
        <v>0</v>
      </c>
      <c r="W32" s="191">
        <f>U32*$C32</f>
        <v>0</v>
      </c>
      <c r="X32" s="108"/>
      <c r="Y32" s="4"/>
    </row>
    <row r="33" spans="1:25" s="2" customFormat="1" ht="12" customHeight="1">
      <c r="A33" s="23" t="str">
        <f>'Components and Space Standards'!A35:E35</f>
        <v>Structured activity storage</v>
      </c>
      <c r="B33" s="119">
        <f>'Components and Space Standards'!B35:F35</f>
        <v>7.4319999999999995</v>
      </c>
      <c r="C33" s="11">
        <f>'Components and Space Standards'!C35:G35</f>
        <v>80</v>
      </c>
      <c r="D33" s="275" t="str">
        <f>'Components and Space Standards'!D35:G35</f>
        <v>10% of Structured Activity Space</v>
      </c>
      <c r="E33" s="17" t="str">
        <f>'Components and Space Standards'!E35:H35</f>
        <v>Based on Structured activity space (10% of room area)</v>
      </c>
      <c r="F33" s="194"/>
      <c r="G33" s="195"/>
      <c r="H33" s="196"/>
      <c r="I33" s="196"/>
      <c r="J33" s="195"/>
      <c r="K33" s="196"/>
      <c r="L33" s="196"/>
      <c r="M33" s="195"/>
      <c r="N33" s="196"/>
      <c r="O33" s="196"/>
      <c r="P33" s="195"/>
      <c r="Q33" s="196"/>
      <c r="R33" s="194"/>
      <c r="S33" s="195"/>
      <c r="T33" s="196"/>
      <c r="U33" s="525"/>
      <c r="V33" s="195"/>
      <c r="W33" s="196"/>
      <c r="X33" s="357"/>
      <c r="Y33" s="4"/>
    </row>
    <row r="34" spans="1:24" s="331" customFormat="1" ht="12" customHeight="1">
      <c r="A34" s="184" t="str">
        <f>'Components and Space Standards'!A36:E36</f>
        <v>Locker Rooms</v>
      </c>
      <c r="B34" s="203"/>
      <c r="C34" s="185"/>
      <c r="D34" s="185"/>
      <c r="E34" s="185"/>
      <c r="F34" s="200"/>
      <c r="G34" s="201"/>
      <c r="H34" s="202"/>
      <c r="I34" s="202"/>
      <c r="J34" s="201"/>
      <c r="K34" s="202"/>
      <c r="L34" s="202"/>
      <c r="M34" s="201"/>
      <c r="N34" s="202"/>
      <c r="O34" s="202"/>
      <c r="P34" s="201"/>
      <c r="Q34" s="202"/>
      <c r="R34" s="200"/>
      <c r="S34" s="201"/>
      <c r="T34" s="202"/>
      <c r="U34" s="524"/>
      <c r="V34" s="201"/>
      <c r="W34" s="202"/>
      <c r="X34" s="610" t="s">
        <v>184</v>
      </c>
    </row>
    <row r="35" spans="1:25" s="2" customFormat="1" ht="12" customHeight="1">
      <c r="A35" s="93" t="str">
        <f>'Components and Space Standards'!A37:E37</f>
        <v>Men's Locker Room</v>
      </c>
      <c r="B35" s="16">
        <f>'Components and Space Standards'!B37:F37</f>
        <v>0</v>
      </c>
      <c r="C35" s="11">
        <f>'Components and Space Standards'!C37:G37</f>
        <v>0</v>
      </c>
      <c r="D35" s="275">
        <f>'Components and Space Standards'!D37:G37</f>
        <v>0</v>
      </c>
      <c r="E35" s="17">
        <f>'Components and Space Standards'!E37:H37</f>
        <v>0</v>
      </c>
      <c r="F35" s="188"/>
      <c r="G35" s="193">
        <f aca="true" t="shared" si="12" ref="G35:G42">$B35*F35</f>
        <v>0</v>
      </c>
      <c r="H35" s="191">
        <f aca="true" t="shared" si="13" ref="H35:H42">F35*$C35</f>
        <v>0</v>
      </c>
      <c r="I35" s="191"/>
      <c r="J35" s="193">
        <f aca="true" t="shared" si="14" ref="J35:J42">$B35*I35</f>
        <v>0</v>
      </c>
      <c r="K35" s="191">
        <f aca="true" t="shared" si="15" ref="K35:K42">I35*$C35</f>
        <v>0</v>
      </c>
      <c r="L35" s="191"/>
      <c r="M35" s="193">
        <f aca="true" t="shared" si="16" ref="M35:M42">$B35*L35</f>
        <v>0</v>
      </c>
      <c r="N35" s="191">
        <f aca="true" t="shared" si="17" ref="N35:N42">L35*$C35</f>
        <v>0</v>
      </c>
      <c r="O35" s="191"/>
      <c r="P35" s="193">
        <f aca="true" t="shared" si="18" ref="P35:P42">$B35*O35</f>
        <v>0</v>
      </c>
      <c r="Q35" s="191">
        <f aca="true" t="shared" si="19" ref="Q35:Q42">O35*$C35</f>
        <v>0</v>
      </c>
      <c r="R35" s="188"/>
      <c r="S35" s="193">
        <f aca="true" t="shared" si="20" ref="S35:S42">$B35*R35</f>
        <v>0</v>
      </c>
      <c r="T35" s="191">
        <f aca="true" t="shared" si="21" ref="T35:T42">R35*$C35</f>
        <v>0</v>
      </c>
      <c r="U35" s="541"/>
      <c r="V35" s="193">
        <f aca="true" t="shared" si="22" ref="V35:V42">$B35*U35</f>
        <v>0</v>
      </c>
      <c r="W35" s="191">
        <f aca="true" t="shared" si="23" ref="W35:W42">U35*$C35</f>
        <v>0</v>
      </c>
      <c r="X35" s="611"/>
      <c r="Y35" s="4"/>
    </row>
    <row r="36" spans="1:25" s="2" customFormat="1" ht="12" customHeight="1">
      <c r="A36" s="102" t="str">
        <f>'Components and Space Standards'!A38:E38</f>
        <v>Locker/changing area</v>
      </c>
      <c r="B36" s="16">
        <f>'Components and Space Standards'!B38:F38</f>
        <v>0.7432</v>
      </c>
      <c r="C36" s="11">
        <f>'Components and Space Standards'!C38:G38</f>
        <v>8</v>
      </c>
      <c r="D36" s="275" t="str">
        <f>'Components and Space Standards'!D38:G38</f>
        <v>Lockers</v>
      </c>
      <c r="E36" s="17" t="str">
        <f>'Components and Space Standards'!E38:H38</f>
        <v>Per slot (2 double lockers or 1 single locker)</v>
      </c>
      <c r="F36" s="194"/>
      <c r="G36" s="195">
        <f t="shared" si="12"/>
        <v>0</v>
      </c>
      <c r="H36" s="196">
        <f t="shared" si="13"/>
        <v>0</v>
      </c>
      <c r="I36" s="196"/>
      <c r="J36" s="195">
        <f t="shared" si="14"/>
        <v>0</v>
      </c>
      <c r="K36" s="196">
        <f t="shared" si="15"/>
        <v>0</v>
      </c>
      <c r="L36" s="196"/>
      <c r="M36" s="195">
        <f t="shared" si="16"/>
        <v>0</v>
      </c>
      <c r="N36" s="196">
        <f t="shared" si="17"/>
        <v>0</v>
      </c>
      <c r="O36" s="196"/>
      <c r="P36" s="195">
        <f t="shared" si="18"/>
        <v>0</v>
      </c>
      <c r="Q36" s="196">
        <f t="shared" si="19"/>
        <v>0</v>
      </c>
      <c r="R36" s="194"/>
      <c r="S36" s="195">
        <f t="shared" si="20"/>
        <v>0</v>
      </c>
      <c r="T36" s="196">
        <f t="shared" si="21"/>
        <v>0</v>
      </c>
      <c r="U36" s="525"/>
      <c r="V36" s="195">
        <f t="shared" si="22"/>
        <v>0</v>
      </c>
      <c r="W36" s="196">
        <f t="shared" si="23"/>
        <v>0</v>
      </c>
      <c r="X36" s="118" t="s">
        <v>186</v>
      </c>
      <c r="Y36" s="4"/>
    </row>
    <row r="37" spans="1:25" s="2" customFormat="1" ht="12" customHeight="1">
      <c r="A37" s="102" t="str">
        <f>'Components and Space Standards'!A39:E39</f>
        <v>Shower/drying area</v>
      </c>
      <c r="B37" s="16">
        <f>'Components and Space Standards'!B39:F39</f>
        <v>2.787</v>
      </c>
      <c r="C37" s="11">
        <f>'Components and Space Standards'!C39:G39</f>
        <v>30</v>
      </c>
      <c r="D37" s="275" t="str">
        <f>'Components and Space Standards'!D39:G39</f>
        <v>Showers</v>
      </c>
      <c r="E37" s="17" t="str">
        <f>'Components and Space Standards'!E39:H39</f>
        <v>Per shower &amp; integral drying area at 22 lockers/shower</v>
      </c>
      <c r="F37" s="194"/>
      <c r="G37" s="195">
        <f t="shared" si="12"/>
        <v>0</v>
      </c>
      <c r="H37" s="196">
        <f t="shared" si="13"/>
        <v>0</v>
      </c>
      <c r="I37" s="196"/>
      <c r="J37" s="195">
        <f t="shared" si="14"/>
        <v>0</v>
      </c>
      <c r="K37" s="196">
        <f t="shared" si="15"/>
        <v>0</v>
      </c>
      <c r="L37" s="196"/>
      <c r="M37" s="195">
        <f t="shared" si="16"/>
        <v>0</v>
      </c>
      <c r="N37" s="196">
        <f t="shared" si="17"/>
        <v>0</v>
      </c>
      <c r="O37" s="196"/>
      <c r="P37" s="195">
        <f t="shared" si="18"/>
        <v>0</v>
      </c>
      <c r="Q37" s="196">
        <f t="shared" si="19"/>
        <v>0</v>
      </c>
      <c r="R37" s="194"/>
      <c r="S37" s="195">
        <f t="shared" si="20"/>
        <v>0</v>
      </c>
      <c r="T37" s="196">
        <f t="shared" si="21"/>
        <v>0</v>
      </c>
      <c r="U37" s="525"/>
      <c r="V37" s="195">
        <f t="shared" si="22"/>
        <v>0</v>
      </c>
      <c r="W37" s="196">
        <f t="shared" si="23"/>
        <v>0</v>
      </c>
      <c r="X37" s="118"/>
      <c r="Y37" s="4"/>
    </row>
    <row r="38" spans="1:25" s="2" customFormat="1" ht="12" customHeight="1">
      <c r="A38" s="102" t="str">
        <f>'Components and Space Standards'!A40:E40</f>
        <v>Toilet area</v>
      </c>
      <c r="B38" s="16">
        <f>'Components and Space Standards'!B40:F40</f>
        <v>4.180499999999999</v>
      </c>
      <c r="C38" s="11">
        <f>'Components and Space Standards'!C40:G40</f>
        <v>45</v>
      </c>
      <c r="D38" s="275" t="str">
        <f>'Components and Space Standards'!D40:G40</f>
        <v>Water closets/lavatory modules</v>
      </c>
      <c r="E38" s="17" t="str">
        <f>'Components and Space Standards'!E40:H40</f>
        <v>Per wc and lav. at 30 lockers per wc/lav</v>
      </c>
      <c r="F38" s="194"/>
      <c r="G38" s="195">
        <f t="shared" si="12"/>
        <v>0</v>
      </c>
      <c r="H38" s="196">
        <f t="shared" si="13"/>
        <v>0</v>
      </c>
      <c r="I38" s="196"/>
      <c r="J38" s="195">
        <f t="shared" si="14"/>
        <v>0</v>
      </c>
      <c r="K38" s="196">
        <f t="shared" si="15"/>
        <v>0</v>
      </c>
      <c r="L38" s="196"/>
      <c r="M38" s="195">
        <f t="shared" si="16"/>
        <v>0</v>
      </c>
      <c r="N38" s="196">
        <f t="shared" si="17"/>
        <v>0</v>
      </c>
      <c r="O38" s="196"/>
      <c r="P38" s="195">
        <f t="shared" si="18"/>
        <v>0</v>
      </c>
      <c r="Q38" s="196">
        <f t="shared" si="19"/>
        <v>0</v>
      </c>
      <c r="R38" s="194"/>
      <c r="S38" s="195">
        <f t="shared" si="20"/>
        <v>0</v>
      </c>
      <c r="T38" s="196">
        <f t="shared" si="21"/>
        <v>0</v>
      </c>
      <c r="U38" s="525"/>
      <c r="V38" s="195">
        <f t="shared" si="22"/>
        <v>0</v>
      </c>
      <c r="W38" s="196">
        <f t="shared" si="23"/>
        <v>0</v>
      </c>
      <c r="X38" s="118" t="s">
        <v>189</v>
      </c>
      <c r="Y38" s="4"/>
    </row>
    <row r="39" spans="1:25" s="2" customFormat="1" ht="12" customHeight="1">
      <c r="A39" s="93" t="str">
        <f>'Components and Space Standards'!A41:E41</f>
        <v>Women's Locker Room</v>
      </c>
      <c r="B39" s="16">
        <f>'Components and Space Standards'!B41:F41</f>
        <v>0</v>
      </c>
      <c r="C39" s="11">
        <f>'Components and Space Standards'!C41:G41</f>
        <v>0</v>
      </c>
      <c r="D39" s="275">
        <f>'Components and Space Standards'!D41:G41</f>
        <v>0</v>
      </c>
      <c r="E39" s="17">
        <f>'Components and Space Standards'!E41:H41</f>
        <v>0</v>
      </c>
      <c r="F39" s="194"/>
      <c r="G39" s="195">
        <f t="shared" si="12"/>
        <v>0</v>
      </c>
      <c r="H39" s="196">
        <f t="shared" si="13"/>
        <v>0</v>
      </c>
      <c r="I39" s="196"/>
      <c r="J39" s="195">
        <f t="shared" si="14"/>
        <v>0</v>
      </c>
      <c r="K39" s="196">
        <f t="shared" si="15"/>
        <v>0</v>
      </c>
      <c r="L39" s="196"/>
      <c r="M39" s="195">
        <f t="shared" si="16"/>
        <v>0</v>
      </c>
      <c r="N39" s="196">
        <f t="shared" si="17"/>
        <v>0</v>
      </c>
      <c r="O39" s="196"/>
      <c r="P39" s="195">
        <f t="shared" si="18"/>
        <v>0</v>
      </c>
      <c r="Q39" s="196">
        <f t="shared" si="19"/>
        <v>0</v>
      </c>
      <c r="R39" s="194"/>
      <c r="S39" s="195">
        <f t="shared" si="20"/>
        <v>0</v>
      </c>
      <c r="T39" s="196">
        <f t="shared" si="21"/>
        <v>0</v>
      </c>
      <c r="U39" s="525"/>
      <c r="V39" s="195">
        <f t="shared" si="22"/>
        <v>0</v>
      </c>
      <c r="W39" s="196">
        <f t="shared" si="23"/>
        <v>0</v>
      </c>
      <c r="X39" s="118"/>
      <c r="Y39" s="4"/>
    </row>
    <row r="40" spans="1:25" s="2" customFormat="1" ht="12" customHeight="1">
      <c r="A40" s="102" t="str">
        <f>'Components and Space Standards'!A42:E42</f>
        <v>Locker/changing area</v>
      </c>
      <c r="B40" s="16">
        <f>'Components and Space Standards'!B42:F42</f>
        <v>0.7432</v>
      </c>
      <c r="C40" s="11">
        <f>'Components and Space Standards'!C42:G42</f>
        <v>8</v>
      </c>
      <c r="D40" s="275" t="str">
        <f>'Components and Space Standards'!D42:G42</f>
        <v>Lockers</v>
      </c>
      <c r="E40" s="17" t="str">
        <f>'Components and Space Standards'!E42:H42</f>
        <v>Per slot (2 double lockers or 1 single locker)</v>
      </c>
      <c r="F40" s="194"/>
      <c r="G40" s="195">
        <f t="shared" si="12"/>
        <v>0</v>
      </c>
      <c r="H40" s="196">
        <f t="shared" si="13"/>
        <v>0</v>
      </c>
      <c r="I40" s="196"/>
      <c r="J40" s="195">
        <f t="shared" si="14"/>
        <v>0</v>
      </c>
      <c r="K40" s="196">
        <f t="shared" si="15"/>
        <v>0</v>
      </c>
      <c r="L40" s="196"/>
      <c r="M40" s="195">
        <f t="shared" si="16"/>
        <v>0</v>
      </c>
      <c r="N40" s="196">
        <f t="shared" si="17"/>
        <v>0</v>
      </c>
      <c r="O40" s="196"/>
      <c r="P40" s="195">
        <f t="shared" si="18"/>
        <v>0</v>
      </c>
      <c r="Q40" s="196">
        <f t="shared" si="19"/>
        <v>0</v>
      </c>
      <c r="R40" s="194"/>
      <c r="S40" s="195">
        <f t="shared" si="20"/>
        <v>0</v>
      </c>
      <c r="T40" s="196">
        <f t="shared" si="21"/>
        <v>0</v>
      </c>
      <c r="U40" s="525"/>
      <c r="V40" s="195">
        <f t="shared" si="22"/>
        <v>0</v>
      </c>
      <c r="W40" s="196">
        <f t="shared" si="23"/>
        <v>0</v>
      </c>
      <c r="X40" s="118"/>
      <c r="Y40" s="4"/>
    </row>
    <row r="41" spans="1:25" s="2" customFormat="1" ht="12" customHeight="1">
      <c r="A41" s="102" t="str">
        <f>'Components and Space Standards'!A43:E43</f>
        <v>Shower/drying area</v>
      </c>
      <c r="B41" s="16">
        <f>'Components and Space Standards'!B43:F43</f>
        <v>2.787</v>
      </c>
      <c r="C41" s="11">
        <f>'Components and Space Standards'!C43:G43</f>
        <v>30</v>
      </c>
      <c r="D41" s="275" t="str">
        <f>'Components and Space Standards'!D43:G43</f>
        <v>Showers</v>
      </c>
      <c r="E41" s="17" t="str">
        <f>'Components and Space Standards'!E43:H43</f>
        <v>Per shower &amp; integral drying area at 22 lockers/shower</v>
      </c>
      <c r="F41" s="194"/>
      <c r="G41" s="195">
        <f t="shared" si="12"/>
        <v>0</v>
      </c>
      <c r="H41" s="196">
        <f t="shared" si="13"/>
        <v>0</v>
      </c>
      <c r="I41" s="196"/>
      <c r="J41" s="195">
        <f t="shared" si="14"/>
        <v>0</v>
      </c>
      <c r="K41" s="196">
        <f t="shared" si="15"/>
        <v>0</v>
      </c>
      <c r="L41" s="196"/>
      <c r="M41" s="195">
        <f t="shared" si="16"/>
        <v>0</v>
      </c>
      <c r="N41" s="196">
        <f t="shared" si="17"/>
        <v>0</v>
      </c>
      <c r="O41" s="196"/>
      <c r="P41" s="195">
        <f t="shared" si="18"/>
        <v>0</v>
      </c>
      <c r="Q41" s="196">
        <f t="shared" si="19"/>
        <v>0</v>
      </c>
      <c r="R41" s="194"/>
      <c r="S41" s="195">
        <f t="shared" si="20"/>
        <v>0</v>
      </c>
      <c r="T41" s="196">
        <f t="shared" si="21"/>
        <v>0</v>
      </c>
      <c r="U41" s="525"/>
      <c r="V41" s="195">
        <f t="shared" si="22"/>
        <v>0</v>
      </c>
      <c r="W41" s="196">
        <f t="shared" si="23"/>
        <v>0</v>
      </c>
      <c r="X41" s="118"/>
      <c r="Y41" s="4"/>
    </row>
    <row r="42" spans="1:25" s="2" customFormat="1" ht="12" customHeight="1">
      <c r="A42" s="102" t="str">
        <f>'Components and Space Standards'!A44:E44</f>
        <v>Toilet area</v>
      </c>
      <c r="B42" s="16">
        <f>'Components and Space Standards'!B44:F44</f>
        <v>4.180499999999999</v>
      </c>
      <c r="C42" s="11">
        <f>'Components and Space Standards'!C44:G44</f>
        <v>45</v>
      </c>
      <c r="D42" s="275" t="str">
        <f>'Components and Space Standards'!D44:G44</f>
        <v>Water closets/lavatory modules</v>
      </c>
      <c r="E42" s="17" t="str">
        <f>'Components and Space Standards'!E44:H44</f>
        <v>per wc and lav. at 20 lockers per wc/lav</v>
      </c>
      <c r="F42" s="194"/>
      <c r="G42" s="195">
        <f t="shared" si="12"/>
        <v>0</v>
      </c>
      <c r="H42" s="196">
        <f t="shared" si="13"/>
        <v>0</v>
      </c>
      <c r="I42" s="196"/>
      <c r="J42" s="195">
        <f t="shared" si="14"/>
        <v>0</v>
      </c>
      <c r="K42" s="196">
        <f t="shared" si="15"/>
        <v>0</v>
      </c>
      <c r="L42" s="196"/>
      <c r="M42" s="195">
        <f t="shared" si="16"/>
        <v>0</v>
      </c>
      <c r="N42" s="196">
        <f t="shared" si="17"/>
        <v>0</v>
      </c>
      <c r="O42" s="196"/>
      <c r="P42" s="195">
        <f t="shared" si="18"/>
        <v>0</v>
      </c>
      <c r="Q42" s="196">
        <f t="shared" si="19"/>
        <v>0</v>
      </c>
      <c r="R42" s="194"/>
      <c r="S42" s="195">
        <f t="shared" si="20"/>
        <v>0</v>
      </c>
      <c r="T42" s="196">
        <f t="shared" si="21"/>
        <v>0</v>
      </c>
      <c r="U42" s="525"/>
      <c r="V42" s="195">
        <f t="shared" si="22"/>
        <v>0</v>
      </c>
      <c r="W42" s="196">
        <f t="shared" si="23"/>
        <v>0</v>
      </c>
      <c r="X42" s="118" t="s">
        <v>191</v>
      </c>
      <c r="Y42" s="4"/>
    </row>
    <row r="43" spans="1:25" s="2" customFormat="1" ht="12" customHeight="1">
      <c r="A43" s="93" t="str">
        <f>'Components and Space Standards'!A45:E45</f>
        <v>Sauna, cool-down area</v>
      </c>
      <c r="B43" s="16">
        <f>'Components and Space Standards'!B45:F45</f>
        <v>0</v>
      </c>
      <c r="C43" s="104">
        <f>'Components and Space Standards'!C45:G45</f>
        <v>0</v>
      </c>
      <c r="D43" s="258" t="str">
        <f>'Components and Space Standards'!D45:G45</f>
        <v>M/F (2) Saunas/cool-down area</v>
      </c>
      <c r="E43" s="17" t="str">
        <f>'Components and Space Standards'!E45:H45</f>
        <v>small = 6 ppl, med = 8-9, lg = 12 ppl (+ cool down space)</v>
      </c>
      <c r="F43" s="188"/>
      <c r="G43" s="195"/>
      <c r="H43" s="196"/>
      <c r="I43" s="188" t="s">
        <v>170</v>
      </c>
      <c r="J43" s="195"/>
      <c r="K43" s="196"/>
      <c r="L43" s="188" t="s">
        <v>171</v>
      </c>
      <c r="M43" s="195"/>
      <c r="N43" s="196"/>
      <c r="O43" s="188" t="s">
        <v>172</v>
      </c>
      <c r="P43" s="195"/>
      <c r="Q43" s="196"/>
      <c r="R43" s="188" t="s">
        <v>172</v>
      </c>
      <c r="S43" s="195"/>
      <c r="T43" s="196"/>
      <c r="U43" s="188" t="s">
        <v>172</v>
      </c>
      <c r="V43" s="195"/>
      <c r="W43" s="196"/>
      <c r="X43" s="118" t="s">
        <v>368</v>
      </c>
      <c r="Y43" s="4"/>
    </row>
    <row r="44" spans="1:25" s="2" customFormat="1" ht="12" customHeight="1">
      <c r="A44" s="93" t="str">
        <f>'Components and Space Standards'!A46:E46</f>
        <v>Steam Room, cool-down area</v>
      </c>
      <c r="B44" s="16">
        <f>'Components and Space Standards'!B46:F46</f>
        <v>0</v>
      </c>
      <c r="C44" s="104">
        <f>'Components and Space Standards'!C46:G46</f>
        <v>0</v>
      </c>
      <c r="D44" s="258" t="str">
        <f>'Components and Space Standards'!D46:G46</f>
        <v>M/F (2) Steam Rooms/cool-down area</v>
      </c>
      <c r="E44" s="17" t="str">
        <f>'Components and Space Standards'!E46:H46</f>
        <v>small = 6-7 ppl, med = 8-9, lg = 12-14 (+ cool down space)</v>
      </c>
      <c r="F44" s="188"/>
      <c r="G44" s="195"/>
      <c r="H44" s="196"/>
      <c r="I44" s="188" t="s">
        <v>170</v>
      </c>
      <c r="J44" s="195"/>
      <c r="K44" s="196"/>
      <c r="L44" s="188" t="s">
        <v>171</v>
      </c>
      <c r="M44" s="195"/>
      <c r="N44" s="196"/>
      <c r="O44" s="188" t="s">
        <v>172</v>
      </c>
      <c r="P44" s="195"/>
      <c r="Q44" s="196"/>
      <c r="R44" s="188" t="s">
        <v>172</v>
      </c>
      <c r="S44" s="195"/>
      <c r="T44" s="196"/>
      <c r="U44" s="188" t="s">
        <v>172</v>
      </c>
      <c r="V44" s="195"/>
      <c r="W44" s="196"/>
      <c r="X44" s="118" t="s">
        <v>368</v>
      </c>
      <c r="Y44" s="4"/>
    </row>
    <row r="45" spans="1:25" s="2" customFormat="1" ht="12" customHeight="1">
      <c r="A45" s="93" t="str">
        <f>'Components and Space Standards'!A47:E47</f>
        <v>Hot Tub</v>
      </c>
      <c r="B45" s="16">
        <f>'Components and Space Standards'!B47:F47</f>
        <v>0</v>
      </c>
      <c r="C45" s="104">
        <f>'Components and Space Standards'!C47:G47</f>
        <v>0</v>
      </c>
      <c r="D45" s="258" t="str">
        <f>'Components and Space Standards'!D47:G47</f>
        <v>Unisex Hot Tub</v>
      </c>
      <c r="E45" s="17" t="str">
        <f>'Components and Space Standards'!E47:H47</f>
        <v>small = 5 ppl, med = 8, lg = 12-14 ppl</v>
      </c>
      <c r="F45" s="188"/>
      <c r="G45" s="195"/>
      <c r="H45" s="196"/>
      <c r="I45" s="188" t="s">
        <v>170</v>
      </c>
      <c r="J45" s="195"/>
      <c r="K45" s="196"/>
      <c r="L45" s="188" t="s">
        <v>171</v>
      </c>
      <c r="M45" s="195"/>
      <c r="N45" s="196"/>
      <c r="O45" s="188" t="s">
        <v>172</v>
      </c>
      <c r="P45" s="195"/>
      <c r="Q45" s="196"/>
      <c r="R45" s="188" t="s">
        <v>172</v>
      </c>
      <c r="S45" s="195"/>
      <c r="T45" s="196"/>
      <c r="U45" s="188" t="s">
        <v>172</v>
      </c>
      <c r="V45" s="195"/>
      <c r="W45" s="196"/>
      <c r="X45" s="118" t="s">
        <v>368</v>
      </c>
      <c r="Y45" s="4"/>
    </row>
    <row r="46" spans="1:24" s="331" customFormat="1" ht="12" customHeight="1">
      <c r="A46" s="184" t="str">
        <f>'Components and Space Standards'!A48:E48</f>
        <v>Support Areas</v>
      </c>
      <c r="B46" s="185"/>
      <c r="C46" s="197"/>
      <c r="D46" s="197"/>
      <c r="E46" s="199"/>
      <c r="F46" s="200"/>
      <c r="G46" s="204"/>
      <c r="H46" s="205"/>
      <c r="I46" s="205"/>
      <c r="J46" s="205"/>
      <c r="K46" s="205"/>
      <c r="L46" s="205"/>
      <c r="M46" s="205"/>
      <c r="N46" s="205"/>
      <c r="O46" s="205"/>
      <c r="P46" s="205"/>
      <c r="Q46" s="205"/>
      <c r="R46" s="200"/>
      <c r="S46" s="204"/>
      <c r="T46" s="528"/>
      <c r="U46" s="524"/>
      <c r="V46" s="204"/>
      <c r="W46" s="329"/>
      <c r="X46" s="330"/>
    </row>
    <row r="47" spans="1:25" s="2" customFormat="1" ht="12" customHeight="1">
      <c r="A47" s="23" t="str">
        <f>'Components and Space Standards'!A49:E49</f>
        <v>Laundry</v>
      </c>
      <c r="B47" s="16">
        <f>'Components and Space Standards'!B49:F49</f>
        <v>18.58</v>
      </c>
      <c r="C47" s="11">
        <f>'Components and Space Standards'!C49:G49</f>
        <v>200</v>
      </c>
      <c r="D47" s="255" t="str">
        <f>'Components and Space Standards'!D49:G49</f>
        <v>Laundry Room</v>
      </c>
      <c r="E47" s="17" t="str">
        <f>'Components and Space Standards'!E49:H49</f>
        <v>Per one-washer/two-dryer room</v>
      </c>
      <c r="F47" s="326" t="s">
        <v>244</v>
      </c>
      <c r="G47" s="206"/>
      <c r="H47" s="207"/>
      <c r="I47" s="326" t="s">
        <v>244</v>
      </c>
      <c r="J47" s="207"/>
      <c r="K47" s="207"/>
      <c r="L47" s="326" t="s">
        <v>245</v>
      </c>
      <c r="M47" s="207"/>
      <c r="N47" s="207"/>
      <c r="O47" s="326" t="s">
        <v>246</v>
      </c>
      <c r="P47" s="207"/>
      <c r="Q47" s="207"/>
      <c r="R47" s="326" t="s">
        <v>247</v>
      </c>
      <c r="S47" s="206"/>
      <c r="T47" s="529"/>
      <c r="U47" s="548" t="s">
        <v>320</v>
      </c>
      <c r="V47" s="206"/>
      <c r="W47" s="208"/>
      <c r="X47" s="116" t="s">
        <v>192</v>
      </c>
      <c r="Y47" s="4"/>
    </row>
    <row r="48" spans="1:25" s="2" customFormat="1" ht="12" customHeight="1">
      <c r="A48" s="105" t="str">
        <f>'Components and Space Standards'!A50:E50</f>
        <v>Equipment repair and receiving</v>
      </c>
      <c r="B48" s="16">
        <f>'Components and Space Standards'!B50:F50</f>
        <v>0</v>
      </c>
      <c r="C48" s="209">
        <f>'Components and Space Standards'!C50</f>
        <v>0</v>
      </c>
      <c r="D48" s="259" t="str">
        <f>'Components and Space Standards'!D50:G50</f>
        <v>Repair/receiving Room</v>
      </c>
      <c r="E48" s="101" t="str">
        <f>'Components and Space Standards'!E50:H50</f>
        <v>Fixed receiving area + variable repair (10% of Fitness)</v>
      </c>
      <c r="F48" s="194"/>
      <c r="G48" s="206"/>
      <c r="H48" s="207"/>
      <c r="I48" s="207"/>
      <c r="J48" s="207"/>
      <c r="K48" s="207"/>
      <c r="L48" s="207"/>
      <c r="M48" s="207"/>
      <c r="N48" s="207"/>
      <c r="O48" s="207"/>
      <c r="P48" s="207"/>
      <c r="Q48" s="207"/>
      <c r="R48" s="194"/>
      <c r="S48" s="206"/>
      <c r="T48" s="529"/>
      <c r="U48" s="525"/>
      <c r="V48" s="206"/>
      <c r="W48" s="208"/>
      <c r="X48" s="610" t="s">
        <v>131</v>
      </c>
      <c r="Y48" s="4"/>
    </row>
    <row r="49" spans="1:25" s="2" customFormat="1" ht="12" customHeight="1">
      <c r="A49" s="105" t="str">
        <f>'Components and Space Standards'!A51:E51</f>
        <v>Storage</v>
      </c>
      <c r="B49" s="16">
        <f>'Components and Space Standards'!B51:F51</f>
        <v>0</v>
      </c>
      <c r="C49" s="209">
        <f>'Components and Space Standards'!C51</f>
        <v>0</v>
      </c>
      <c r="D49" s="259" t="str">
        <f>'Components and Space Standards'!D51:G51</f>
        <v>Storage Room</v>
      </c>
      <c r="E49" s="101" t="str">
        <f>'Components and Space Standards'!E51:H51</f>
        <v>Variable lockable storage room (5% of fitness)</v>
      </c>
      <c r="F49" s="194"/>
      <c r="G49" s="206"/>
      <c r="H49" s="207"/>
      <c r="I49" s="207"/>
      <c r="J49" s="207"/>
      <c r="K49" s="207"/>
      <c r="L49" s="207"/>
      <c r="M49" s="207"/>
      <c r="N49" s="207"/>
      <c r="O49" s="207"/>
      <c r="P49" s="207"/>
      <c r="Q49" s="207"/>
      <c r="R49" s="194"/>
      <c r="S49" s="206"/>
      <c r="T49" s="529"/>
      <c r="U49" s="525"/>
      <c r="V49" s="206"/>
      <c r="W49" s="208"/>
      <c r="X49" s="611"/>
      <c r="Y49" s="4"/>
    </row>
    <row r="50" spans="1:25" s="2" customFormat="1" ht="12" customHeight="1">
      <c r="A50" s="105" t="str">
        <f>'Components and Space Standards'!A52:E52</f>
        <v>Additional Programmatic Storage</v>
      </c>
      <c r="B50" s="16">
        <f>'Components and Space Standards'!B52:F52</f>
        <v>0</v>
      </c>
      <c r="C50" s="209">
        <f>'Components and Space Standards'!C52</f>
        <v>0</v>
      </c>
      <c r="D50" s="259" t="str">
        <f>'Components and Space Standards'!D52:G52</f>
        <v> sf  Additional Storage</v>
      </c>
      <c r="E50" s="101" t="str">
        <f>'Components and Space Standards'!E52:H52</f>
        <v>To be filled-in by programmer and justified based on item stored.</v>
      </c>
      <c r="F50" s="210"/>
      <c r="G50" s="211"/>
      <c r="H50" s="212"/>
      <c r="I50" s="212"/>
      <c r="J50" s="212"/>
      <c r="K50" s="212"/>
      <c r="L50" s="212"/>
      <c r="M50" s="212"/>
      <c r="N50" s="212"/>
      <c r="O50" s="212"/>
      <c r="P50" s="212"/>
      <c r="Q50" s="212"/>
      <c r="R50" s="210"/>
      <c r="S50" s="211"/>
      <c r="T50" s="530"/>
      <c r="U50" s="545"/>
      <c r="V50" s="211"/>
      <c r="W50" s="213"/>
      <c r="X50" s="134"/>
      <c r="Y50" s="4"/>
    </row>
    <row r="51" spans="1:25" s="2" customFormat="1" ht="12" customHeight="1">
      <c r="A51" s="105" t="str">
        <f>'Components and Space Standards'!A53:E53</f>
        <v>Janitor's Closet(s)</v>
      </c>
      <c r="B51" s="16">
        <f>'Components and Space Standards'!B53:F53</f>
        <v>3.7159999999999997</v>
      </c>
      <c r="C51" s="11">
        <f>'Components and Space Standards'!C53</f>
        <v>40</v>
      </c>
      <c r="D51" s="259" t="str">
        <f>'Components and Space Standards'!D53:G53</f>
        <v>40 SF/closet</v>
      </c>
      <c r="E51" s="101" t="str">
        <f>'Components and Space Standards'!E53:H53</f>
        <v>Per Janitor's Closet</v>
      </c>
      <c r="F51" s="210">
        <v>2</v>
      </c>
      <c r="G51" s="195">
        <f>$B51*F51</f>
        <v>7.4319999999999995</v>
      </c>
      <c r="H51" s="196">
        <f>F51*$C51</f>
        <v>80</v>
      </c>
      <c r="I51" s="212">
        <v>2</v>
      </c>
      <c r="J51" s="195">
        <f>$B51*I51</f>
        <v>7.4319999999999995</v>
      </c>
      <c r="K51" s="196">
        <f>I51*$C51</f>
        <v>80</v>
      </c>
      <c r="L51" s="212">
        <v>3</v>
      </c>
      <c r="M51" s="195">
        <f>$B51*L51</f>
        <v>11.148</v>
      </c>
      <c r="N51" s="196">
        <f>L51*$C51</f>
        <v>120</v>
      </c>
      <c r="O51" s="212">
        <v>4</v>
      </c>
      <c r="P51" s="195">
        <f>$B51*O51</f>
        <v>14.863999999999999</v>
      </c>
      <c r="Q51" s="196">
        <f>O51*$C51</f>
        <v>160</v>
      </c>
      <c r="R51" s="210">
        <v>4</v>
      </c>
      <c r="S51" s="195">
        <f>$B51*R51</f>
        <v>14.863999999999999</v>
      </c>
      <c r="T51" s="196">
        <f>R51*$C51</f>
        <v>160</v>
      </c>
      <c r="U51" s="545">
        <v>4</v>
      </c>
      <c r="V51" s="195">
        <f>$B51*U51</f>
        <v>14.863999999999999</v>
      </c>
      <c r="W51" s="196">
        <f>U51*$C51</f>
        <v>160</v>
      </c>
      <c r="X51" s="134"/>
      <c r="Y51" s="4"/>
    </row>
    <row r="52" spans="1:24" s="2" customFormat="1" ht="15.75" customHeight="1">
      <c r="A52" s="617" t="str">
        <f>'Components and Space Standards'!A54:E54</f>
        <v>Health Promotion Spaces - Marine Corps Only (Required or Optional)</v>
      </c>
      <c r="B52" s="618">
        <f>'Components and Space Standards'!B54:F54</f>
        <v>0</v>
      </c>
      <c r="C52" s="618">
        <f>'Components and Space Standards'!C54:G54</f>
        <v>0</v>
      </c>
      <c r="D52" s="618"/>
      <c r="E52" s="618">
        <f>'Components and Space Standards'!E54:H54</f>
        <v>0</v>
      </c>
      <c r="F52" s="214"/>
      <c r="G52" s="214"/>
      <c r="H52" s="214"/>
      <c r="I52" s="214"/>
      <c r="J52" s="214"/>
      <c r="K52" s="214"/>
      <c r="L52" s="214"/>
      <c r="M52" s="214"/>
      <c r="N52" s="214"/>
      <c r="O52" s="214"/>
      <c r="P52" s="214"/>
      <c r="Q52" s="214"/>
      <c r="R52" s="214"/>
      <c r="S52" s="214"/>
      <c r="T52" s="550"/>
      <c r="U52" s="214"/>
      <c r="V52" s="214"/>
      <c r="W52" s="215"/>
      <c r="X52" s="110"/>
    </row>
    <row r="53" spans="1:24" s="2" customFormat="1" ht="12" customHeight="1">
      <c r="A53" s="19" t="str">
        <f>'Components and Space Standards'!A55:E55</f>
        <v>Lobby/Reception</v>
      </c>
      <c r="B53" s="16">
        <f>'Components and Space Standards'!B55:F55</f>
        <v>27.869999999999997</v>
      </c>
      <c r="C53" s="11">
        <f>'Components and Space Standards'!C55:G55</f>
        <v>300</v>
      </c>
      <c r="D53" s="255" t="str">
        <f>'Components and Space Standards'!D55:G55</f>
        <v>Lobby/Reception Module(s)</v>
      </c>
      <c r="E53" s="17" t="str">
        <f>'Components and Space Standards'!E55:H55</f>
        <v>per area</v>
      </c>
      <c r="F53" s="188">
        <v>0</v>
      </c>
      <c r="G53" s="189">
        <f aca="true" t="shared" si="24" ref="G53:G61">$B53*F53</f>
        <v>0</v>
      </c>
      <c r="H53" s="190">
        <f aca="true" t="shared" si="25" ref="H53:H61">F53*$C53</f>
        <v>0</v>
      </c>
      <c r="I53" s="190">
        <v>0</v>
      </c>
      <c r="J53" s="190">
        <f aca="true" t="shared" si="26" ref="J53:J61">$B53*I53</f>
        <v>0</v>
      </c>
      <c r="K53" s="190">
        <f aca="true" t="shared" si="27" ref="K53:K61">I53*$C53</f>
        <v>0</v>
      </c>
      <c r="L53" s="190">
        <v>0</v>
      </c>
      <c r="M53" s="190">
        <f aca="true" t="shared" si="28" ref="M53:M61">$B53*L53</f>
        <v>0</v>
      </c>
      <c r="N53" s="190">
        <f aca="true" t="shared" si="29" ref="N53:N61">L53*$C53</f>
        <v>0</v>
      </c>
      <c r="O53" s="190">
        <v>0</v>
      </c>
      <c r="P53" s="190">
        <f aca="true" t="shared" si="30" ref="P53:P61">$B53*O53</f>
        <v>0</v>
      </c>
      <c r="Q53" s="190">
        <f aca="true" t="shared" si="31" ref="Q53:Q61">O53*$C53</f>
        <v>0</v>
      </c>
      <c r="R53" s="188">
        <v>0</v>
      </c>
      <c r="S53" s="189">
        <f aca="true" t="shared" si="32" ref="S53:S61">$B53*R53</f>
        <v>0</v>
      </c>
      <c r="T53" s="531">
        <f aca="true" t="shared" si="33" ref="T53:T61">R53*$C53</f>
        <v>0</v>
      </c>
      <c r="U53" s="541">
        <v>0</v>
      </c>
      <c r="V53" s="189">
        <f aca="true" t="shared" si="34" ref="V53:V61">$B53*U53</f>
        <v>0</v>
      </c>
      <c r="W53" s="192">
        <f aca="true" t="shared" si="35" ref="W53:W61">U53*$C53</f>
        <v>0</v>
      </c>
      <c r="X53" s="108" t="s">
        <v>56</v>
      </c>
    </row>
    <row r="54" spans="1:24" s="2" customFormat="1" ht="12" customHeight="1">
      <c r="A54" s="19" t="str">
        <f>'Components and Space Standards'!A56:E56</f>
        <v>Director's Office</v>
      </c>
      <c r="B54" s="16">
        <f>'Components and Space Standards'!B56:F56</f>
        <v>11.148</v>
      </c>
      <c r="C54" s="11">
        <f>'Components and Space Standards'!C56:G56</f>
        <v>120</v>
      </c>
      <c r="D54" s="255" t="str">
        <f>'Components and Space Standards'!D56:G56</f>
        <v>Office</v>
      </c>
      <c r="E54" s="17" t="str">
        <f>'Components and Space Standards'!E56:H56</f>
        <v>per office</v>
      </c>
      <c r="F54" s="188">
        <v>0</v>
      </c>
      <c r="G54" s="189">
        <f t="shared" si="24"/>
        <v>0</v>
      </c>
      <c r="H54" s="190">
        <f t="shared" si="25"/>
        <v>0</v>
      </c>
      <c r="I54" s="190">
        <v>0</v>
      </c>
      <c r="J54" s="190">
        <f t="shared" si="26"/>
        <v>0</v>
      </c>
      <c r="K54" s="190">
        <f t="shared" si="27"/>
        <v>0</v>
      </c>
      <c r="L54" s="190">
        <v>0</v>
      </c>
      <c r="M54" s="190">
        <f t="shared" si="28"/>
        <v>0</v>
      </c>
      <c r="N54" s="190">
        <f t="shared" si="29"/>
        <v>0</v>
      </c>
      <c r="O54" s="190">
        <v>0</v>
      </c>
      <c r="P54" s="190">
        <f t="shared" si="30"/>
        <v>0</v>
      </c>
      <c r="Q54" s="190">
        <f t="shared" si="31"/>
        <v>0</v>
      </c>
      <c r="R54" s="188">
        <v>0</v>
      </c>
      <c r="S54" s="189">
        <f t="shared" si="32"/>
        <v>0</v>
      </c>
      <c r="T54" s="531">
        <f t="shared" si="33"/>
        <v>0</v>
      </c>
      <c r="U54" s="541">
        <v>0</v>
      </c>
      <c r="V54" s="189">
        <f t="shared" si="34"/>
        <v>0</v>
      </c>
      <c r="W54" s="192">
        <f t="shared" si="35"/>
        <v>0</v>
      </c>
      <c r="X54" s="108" t="s">
        <v>62</v>
      </c>
    </row>
    <row r="55" spans="1:24" s="2" customFormat="1" ht="12" customHeight="1">
      <c r="A55" s="19" t="str">
        <f>'Components and Space Standards'!A57:E57</f>
        <v>Program Managers' Offices</v>
      </c>
      <c r="B55" s="16">
        <f>'Components and Space Standards'!B57:F57</f>
        <v>9.29</v>
      </c>
      <c r="C55" s="11">
        <f>'Components and Space Standards'!C57:G57</f>
        <v>100</v>
      </c>
      <c r="D55" s="255" t="str">
        <f>'Components and Space Standards'!D57:G57</f>
        <v>Office(s)</v>
      </c>
      <c r="E55" s="17" t="str">
        <f>'Components and Space Standards'!E57:H57</f>
        <v>per office</v>
      </c>
      <c r="F55" s="188">
        <v>0</v>
      </c>
      <c r="G55" s="189">
        <f t="shared" si="24"/>
        <v>0</v>
      </c>
      <c r="H55" s="190">
        <f t="shared" si="25"/>
        <v>0</v>
      </c>
      <c r="I55" s="190">
        <v>0</v>
      </c>
      <c r="J55" s="190">
        <f t="shared" si="26"/>
        <v>0</v>
      </c>
      <c r="K55" s="190">
        <f t="shared" si="27"/>
        <v>0</v>
      </c>
      <c r="L55" s="190">
        <v>0</v>
      </c>
      <c r="M55" s="190">
        <f t="shared" si="28"/>
        <v>0</v>
      </c>
      <c r="N55" s="190">
        <f t="shared" si="29"/>
        <v>0</v>
      </c>
      <c r="O55" s="190">
        <v>0</v>
      </c>
      <c r="P55" s="190">
        <f t="shared" si="30"/>
        <v>0</v>
      </c>
      <c r="Q55" s="190">
        <f t="shared" si="31"/>
        <v>0</v>
      </c>
      <c r="R55" s="188">
        <v>0</v>
      </c>
      <c r="S55" s="189">
        <f t="shared" si="32"/>
        <v>0</v>
      </c>
      <c r="T55" s="531">
        <f t="shared" si="33"/>
        <v>0</v>
      </c>
      <c r="U55" s="541">
        <v>0</v>
      </c>
      <c r="V55" s="189">
        <f t="shared" si="34"/>
        <v>0</v>
      </c>
      <c r="W55" s="192">
        <f t="shared" si="35"/>
        <v>0</v>
      </c>
      <c r="X55" s="108"/>
    </row>
    <row r="56" spans="1:24" s="2" customFormat="1" ht="12" customHeight="1">
      <c r="A56" s="19" t="str">
        <f>'Components and Space Standards'!A58:E58</f>
        <v>Support Staff Workstations</v>
      </c>
      <c r="B56" s="16">
        <f>'Components and Space Standards'!B58:F58</f>
        <v>5.9456</v>
      </c>
      <c r="C56" s="11">
        <f>'Components and Space Standards'!C58:G58</f>
        <v>64</v>
      </c>
      <c r="D56" s="255" t="str">
        <f>'Components and Space Standards'!D58:G58</f>
        <v>Workstation(s)</v>
      </c>
      <c r="E56" s="17" t="str">
        <f>'Components and Space Standards'!E58:H58</f>
        <v>per workstation</v>
      </c>
      <c r="F56" s="188">
        <v>0</v>
      </c>
      <c r="G56" s="189">
        <f t="shared" si="24"/>
        <v>0</v>
      </c>
      <c r="H56" s="190">
        <f t="shared" si="25"/>
        <v>0</v>
      </c>
      <c r="I56" s="190">
        <v>0</v>
      </c>
      <c r="J56" s="190">
        <f t="shared" si="26"/>
        <v>0</v>
      </c>
      <c r="K56" s="190">
        <f t="shared" si="27"/>
        <v>0</v>
      </c>
      <c r="L56" s="190">
        <v>0</v>
      </c>
      <c r="M56" s="190">
        <f t="shared" si="28"/>
        <v>0</v>
      </c>
      <c r="N56" s="190">
        <f t="shared" si="29"/>
        <v>0</v>
      </c>
      <c r="O56" s="190">
        <v>0</v>
      </c>
      <c r="P56" s="190">
        <f t="shared" si="30"/>
        <v>0</v>
      </c>
      <c r="Q56" s="190">
        <f t="shared" si="31"/>
        <v>0</v>
      </c>
      <c r="R56" s="188">
        <v>0</v>
      </c>
      <c r="S56" s="189">
        <f t="shared" si="32"/>
        <v>0</v>
      </c>
      <c r="T56" s="531">
        <f t="shared" si="33"/>
        <v>0</v>
      </c>
      <c r="U56" s="541">
        <v>0</v>
      </c>
      <c r="V56" s="189">
        <f t="shared" si="34"/>
        <v>0</v>
      </c>
      <c r="W56" s="192">
        <f t="shared" si="35"/>
        <v>0</v>
      </c>
      <c r="X56" s="108"/>
    </row>
    <row r="57" spans="1:24" s="3" customFormat="1" ht="12" customHeight="1">
      <c r="A57" s="19" t="str">
        <f>'Components and Space Standards'!A59:E59</f>
        <v>Classrooms/Training rooms</v>
      </c>
      <c r="B57" s="16">
        <f>'Components and Space Standards'!B59:F59</f>
        <v>58.527</v>
      </c>
      <c r="C57" s="11">
        <f>'Components and Space Standards'!C59:G59</f>
        <v>630</v>
      </c>
      <c r="D57" s="255" t="str">
        <f>'Components and Space Standards'!D59:G59</f>
        <v>Classroom/Training Module(s)</v>
      </c>
      <c r="E57" s="17" t="str">
        <f>'Components and Space Standards'!E59:H59</f>
        <v>per room</v>
      </c>
      <c r="F57" s="188">
        <v>0</v>
      </c>
      <c r="G57" s="189">
        <f t="shared" si="24"/>
        <v>0</v>
      </c>
      <c r="H57" s="190">
        <f t="shared" si="25"/>
        <v>0</v>
      </c>
      <c r="I57" s="190">
        <v>0</v>
      </c>
      <c r="J57" s="190">
        <f t="shared" si="26"/>
        <v>0</v>
      </c>
      <c r="K57" s="190">
        <f t="shared" si="27"/>
        <v>0</v>
      </c>
      <c r="L57" s="190">
        <v>0</v>
      </c>
      <c r="M57" s="190">
        <f t="shared" si="28"/>
        <v>0</v>
      </c>
      <c r="N57" s="190">
        <f t="shared" si="29"/>
        <v>0</v>
      </c>
      <c r="O57" s="190">
        <v>0</v>
      </c>
      <c r="P57" s="190">
        <f t="shared" si="30"/>
        <v>0</v>
      </c>
      <c r="Q57" s="190">
        <f t="shared" si="31"/>
        <v>0</v>
      </c>
      <c r="R57" s="188">
        <v>0</v>
      </c>
      <c r="S57" s="216">
        <f t="shared" si="32"/>
        <v>0</v>
      </c>
      <c r="T57" s="531">
        <f t="shared" si="33"/>
        <v>0</v>
      </c>
      <c r="U57" s="541">
        <v>0</v>
      </c>
      <c r="V57" s="216">
        <f t="shared" si="34"/>
        <v>0</v>
      </c>
      <c r="W57" s="192">
        <f t="shared" si="35"/>
        <v>0</v>
      </c>
      <c r="X57" s="108" t="s">
        <v>56</v>
      </c>
    </row>
    <row r="58" spans="1:24" s="3" customFormat="1" ht="12" customHeight="1">
      <c r="A58" s="19" t="str">
        <f>'Components and Space Standards'!A60:E60</f>
        <v>Resource Room/Computer Lab</v>
      </c>
      <c r="B58" s="16">
        <f>'Components and Space Standards'!B60:F60</f>
        <v>23.224999999999998</v>
      </c>
      <c r="C58" s="11">
        <f>'Components and Space Standards'!C60:G60</f>
        <v>250</v>
      </c>
      <c r="D58" s="255" t="str">
        <f>'Components and Space Standards'!D60:G60</f>
        <v>Resource/Computer Lab Module(s)</v>
      </c>
      <c r="E58" s="17" t="str">
        <f>'Components and Space Standards'!E60:H60</f>
        <v>per room</v>
      </c>
      <c r="F58" s="188">
        <v>0</v>
      </c>
      <c r="G58" s="189">
        <f t="shared" si="24"/>
        <v>0</v>
      </c>
      <c r="H58" s="190">
        <f t="shared" si="25"/>
        <v>0</v>
      </c>
      <c r="I58" s="190">
        <v>0</v>
      </c>
      <c r="J58" s="190">
        <f t="shared" si="26"/>
        <v>0</v>
      </c>
      <c r="K58" s="190">
        <f t="shared" si="27"/>
        <v>0</v>
      </c>
      <c r="L58" s="190">
        <v>0</v>
      </c>
      <c r="M58" s="190">
        <f t="shared" si="28"/>
        <v>0</v>
      </c>
      <c r="N58" s="190">
        <f t="shared" si="29"/>
        <v>0</v>
      </c>
      <c r="O58" s="190">
        <v>0</v>
      </c>
      <c r="P58" s="190">
        <f t="shared" si="30"/>
        <v>0</v>
      </c>
      <c r="Q58" s="190">
        <f t="shared" si="31"/>
        <v>0</v>
      </c>
      <c r="R58" s="188">
        <v>0</v>
      </c>
      <c r="S58" s="216">
        <f t="shared" si="32"/>
        <v>0</v>
      </c>
      <c r="T58" s="531">
        <f t="shared" si="33"/>
        <v>0</v>
      </c>
      <c r="U58" s="541">
        <v>0</v>
      </c>
      <c r="V58" s="216">
        <f t="shared" si="34"/>
        <v>0</v>
      </c>
      <c r="W58" s="192">
        <f t="shared" si="35"/>
        <v>0</v>
      </c>
      <c r="X58" s="108" t="s">
        <v>59</v>
      </c>
    </row>
    <row r="59" spans="1:24" s="2" customFormat="1" ht="12" customHeight="1">
      <c r="A59" s="19" t="str">
        <f>'Components and Space Standards'!A61:E61</f>
        <v>Storage/support</v>
      </c>
      <c r="B59" s="16">
        <f>'Components and Space Standards'!B61:F61</f>
        <v>7.4319999999999995</v>
      </c>
      <c r="C59" s="11">
        <f>'Components and Space Standards'!C61:G61</f>
        <v>80</v>
      </c>
      <c r="D59" s="255" t="str">
        <f>'Components and Space Standards'!D61:G61</f>
        <v>Storage/support Module(s)</v>
      </c>
      <c r="E59" s="17" t="str">
        <f>'Components and Space Standards'!E61:H61</f>
        <v>per area</v>
      </c>
      <c r="F59" s="188">
        <v>0</v>
      </c>
      <c r="G59" s="189">
        <f t="shared" si="24"/>
        <v>0</v>
      </c>
      <c r="H59" s="190">
        <f t="shared" si="25"/>
        <v>0</v>
      </c>
      <c r="I59" s="190">
        <v>0</v>
      </c>
      <c r="J59" s="190">
        <f t="shared" si="26"/>
        <v>0</v>
      </c>
      <c r="K59" s="190">
        <f t="shared" si="27"/>
        <v>0</v>
      </c>
      <c r="L59" s="190">
        <v>0</v>
      </c>
      <c r="M59" s="190">
        <f t="shared" si="28"/>
        <v>0</v>
      </c>
      <c r="N59" s="190">
        <f t="shared" si="29"/>
        <v>0</v>
      </c>
      <c r="O59" s="190">
        <v>0</v>
      </c>
      <c r="P59" s="190">
        <f t="shared" si="30"/>
        <v>0</v>
      </c>
      <c r="Q59" s="190">
        <f t="shared" si="31"/>
        <v>0</v>
      </c>
      <c r="R59" s="188">
        <v>0</v>
      </c>
      <c r="S59" s="189">
        <f t="shared" si="32"/>
        <v>0</v>
      </c>
      <c r="T59" s="531">
        <f t="shared" si="33"/>
        <v>0</v>
      </c>
      <c r="U59" s="541">
        <v>0</v>
      </c>
      <c r="V59" s="189">
        <f t="shared" si="34"/>
        <v>0</v>
      </c>
      <c r="W59" s="192">
        <f t="shared" si="35"/>
        <v>0</v>
      </c>
      <c r="X59" s="108"/>
    </row>
    <row r="60" spans="1:24" s="2" customFormat="1" ht="12" customHeight="1">
      <c r="A60" s="19" t="str">
        <f>'Components and Space Standards'!A63:E63</f>
        <v>Ergometry and Fitness Testing *</v>
      </c>
      <c r="B60" s="16">
        <f>'Components and Space Standards'!B63:F63</f>
        <v>7.4319999999999995</v>
      </c>
      <c r="C60" s="11">
        <f>'Components and Space Standards'!C63:G63</f>
        <v>80</v>
      </c>
      <c r="D60" s="255" t="str">
        <f>'Components and Space Standards'!D63:G63</f>
        <v>Testing Cubicle(s)</v>
      </c>
      <c r="E60" s="17" t="str">
        <f>'Components and Space Standards'!E63:H63</f>
        <v>per testing cubicles</v>
      </c>
      <c r="F60" s="188">
        <v>0</v>
      </c>
      <c r="G60" s="189">
        <f t="shared" si="24"/>
        <v>0</v>
      </c>
      <c r="H60" s="190">
        <f t="shared" si="25"/>
        <v>0</v>
      </c>
      <c r="I60" s="190">
        <v>0</v>
      </c>
      <c r="J60" s="190">
        <f t="shared" si="26"/>
        <v>0</v>
      </c>
      <c r="K60" s="190">
        <f t="shared" si="27"/>
        <v>0</v>
      </c>
      <c r="L60" s="190">
        <v>0</v>
      </c>
      <c r="M60" s="190">
        <f t="shared" si="28"/>
        <v>0</v>
      </c>
      <c r="N60" s="190">
        <f t="shared" si="29"/>
        <v>0</v>
      </c>
      <c r="O60" s="190">
        <v>0</v>
      </c>
      <c r="P60" s="190">
        <f t="shared" si="30"/>
        <v>0</v>
      </c>
      <c r="Q60" s="190">
        <f t="shared" si="31"/>
        <v>0</v>
      </c>
      <c r="R60" s="188">
        <v>0</v>
      </c>
      <c r="S60" s="189">
        <f t="shared" si="32"/>
        <v>0</v>
      </c>
      <c r="T60" s="531">
        <f t="shared" si="33"/>
        <v>0</v>
      </c>
      <c r="U60" s="541">
        <v>0</v>
      </c>
      <c r="V60" s="189">
        <f t="shared" si="34"/>
        <v>0</v>
      </c>
      <c r="W60" s="192">
        <f t="shared" si="35"/>
        <v>0</v>
      </c>
      <c r="X60" s="108" t="s">
        <v>72</v>
      </c>
    </row>
    <row r="61" spans="1:24" s="2" customFormat="1" ht="12" customHeight="1">
      <c r="A61" s="217" t="str">
        <f>'Components and Space Standards'!A64:E64</f>
        <v>Wellness Assessment *</v>
      </c>
      <c r="B61" s="218">
        <f>'Components and Space Standards'!B64:F64</f>
        <v>13.934999999999999</v>
      </c>
      <c r="C61" s="219">
        <f>'Components and Space Standards'!C64:G64</f>
        <v>150</v>
      </c>
      <c r="D61" s="328" t="str">
        <f>'Components and Space Standards'!D64:G64</f>
        <v>Assessment Room(s)</v>
      </c>
      <c r="E61" s="18" t="str">
        <f>'Components and Space Standards'!E64:H64</f>
        <v>per room</v>
      </c>
      <c r="F61" s="220">
        <v>0</v>
      </c>
      <c r="G61" s="221">
        <f t="shared" si="24"/>
        <v>0</v>
      </c>
      <c r="H61" s="222">
        <f t="shared" si="25"/>
        <v>0</v>
      </c>
      <c r="I61" s="222">
        <v>0</v>
      </c>
      <c r="J61" s="222">
        <f t="shared" si="26"/>
        <v>0</v>
      </c>
      <c r="K61" s="222">
        <f t="shared" si="27"/>
        <v>0</v>
      </c>
      <c r="L61" s="222">
        <v>0</v>
      </c>
      <c r="M61" s="222">
        <f t="shared" si="28"/>
        <v>0</v>
      </c>
      <c r="N61" s="222">
        <f t="shared" si="29"/>
        <v>0</v>
      </c>
      <c r="O61" s="222">
        <v>0</v>
      </c>
      <c r="P61" s="222">
        <f t="shared" si="30"/>
        <v>0</v>
      </c>
      <c r="Q61" s="222">
        <f t="shared" si="31"/>
        <v>0</v>
      </c>
      <c r="R61" s="220">
        <v>0</v>
      </c>
      <c r="S61" s="221">
        <f t="shared" si="32"/>
        <v>0</v>
      </c>
      <c r="T61" s="532">
        <f t="shared" si="33"/>
        <v>0</v>
      </c>
      <c r="U61" s="543">
        <v>0</v>
      </c>
      <c r="V61" s="221">
        <f t="shared" si="34"/>
        <v>0</v>
      </c>
      <c r="W61" s="223">
        <f t="shared" si="35"/>
        <v>0</v>
      </c>
      <c r="X61" s="108" t="s">
        <v>56</v>
      </c>
    </row>
    <row r="62" spans="1:24" s="3" customFormat="1" ht="15.75" customHeight="1">
      <c r="A62" s="617" t="str">
        <f>'Components and Space Standards'!A65:E65</f>
        <v>Administrative Spaces (required or optional)</v>
      </c>
      <c r="B62" s="618">
        <f>'Components and Space Standards'!B65:F65</f>
        <v>0</v>
      </c>
      <c r="C62" s="618">
        <f>'Components and Space Standards'!C65:G65</f>
        <v>0</v>
      </c>
      <c r="D62" s="618"/>
      <c r="E62" s="618">
        <f>'Components and Space Standards'!E65:H65</f>
        <v>0</v>
      </c>
      <c r="F62" s="182"/>
      <c r="G62" s="182"/>
      <c r="H62" s="182"/>
      <c r="I62" s="182"/>
      <c r="J62" s="182"/>
      <c r="K62" s="182"/>
      <c r="L62" s="182"/>
      <c r="M62" s="182"/>
      <c r="N62" s="182"/>
      <c r="O62" s="182"/>
      <c r="P62" s="182"/>
      <c r="Q62" s="182"/>
      <c r="R62" s="182"/>
      <c r="S62" s="182"/>
      <c r="T62" s="549"/>
      <c r="U62" s="182"/>
      <c r="V62" s="182"/>
      <c r="W62" s="183"/>
      <c r="X62" s="111"/>
    </row>
    <row r="63" spans="1:24" s="2" customFormat="1" ht="12" customHeight="1">
      <c r="A63" s="19" t="str">
        <f>'Components and Space Standards'!A66:E66</f>
        <v>Director's Office</v>
      </c>
      <c r="B63" s="16">
        <f>'Components and Space Standards'!B66:F66</f>
        <v>11.148</v>
      </c>
      <c r="C63" s="11">
        <f>'Components and Space Standards'!C66:G66</f>
        <v>120</v>
      </c>
      <c r="D63" s="255" t="str">
        <f>'Components and Space Standards'!D66:G66</f>
        <v>Office</v>
      </c>
      <c r="E63" s="17" t="str">
        <f>'Components and Space Standards'!E66:H66</f>
        <v>per office</v>
      </c>
      <c r="F63" s="188">
        <v>1</v>
      </c>
      <c r="G63" s="189">
        <f aca="true" t="shared" si="36" ref="G63:G68">$B63*F63</f>
        <v>11.148</v>
      </c>
      <c r="H63" s="190">
        <f aca="true" t="shared" si="37" ref="H63:H68">F63*$C63</f>
        <v>120</v>
      </c>
      <c r="I63" s="190">
        <v>1</v>
      </c>
      <c r="J63" s="190">
        <f aca="true" t="shared" si="38" ref="J63:J68">$B63*I63</f>
        <v>11.148</v>
      </c>
      <c r="K63" s="190">
        <f aca="true" t="shared" si="39" ref="K63:K68">I63*$C63</f>
        <v>120</v>
      </c>
      <c r="L63" s="190">
        <v>1</v>
      </c>
      <c r="M63" s="190">
        <f aca="true" t="shared" si="40" ref="M63:M68">$B63*L63</f>
        <v>11.148</v>
      </c>
      <c r="N63" s="190">
        <f aca="true" t="shared" si="41" ref="N63:N68">L63*$C63</f>
        <v>120</v>
      </c>
      <c r="O63" s="190">
        <v>1</v>
      </c>
      <c r="P63" s="190">
        <f aca="true" t="shared" si="42" ref="P63:P68">$B63*O63</f>
        <v>11.148</v>
      </c>
      <c r="Q63" s="190">
        <f aca="true" t="shared" si="43" ref="Q63:Q68">O63*$C63</f>
        <v>120</v>
      </c>
      <c r="R63" s="188">
        <v>1</v>
      </c>
      <c r="S63" s="216">
        <f aca="true" t="shared" si="44" ref="S63:S68">$B63*R63</f>
        <v>11.148</v>
      </c>
      <c r="T63" s="531">
        <f aca="true" t="shared" si="45" ref="T63:T68">R63*$C63</f>
        <v>120</v>
      </c>
      <c r="U63" s="541">
        <v>1</v>
      </c>
      <c r="V63" s="216">
        <f aca="true" t="shared" si="46" ref="V63:V68">$B63*U63</f>
        <v>11.148</v>
      </c>
      <c r="W63" s="224">
        <f aca="true" t="shared" si="47" ref="W63:W68">U63*$C63</f>
        <v>120</v>
      </c>
      <c r="X63" s="118" t="s">
        <v>112</v>
      </c>
    </row>
    <row r="64" spans="1:24" s="3" customFormat="1" ht="12" customHeight="1">
      <c r="A64" s="19" t="str">
        <f>'Components and Space Standards'!A67:E67</f>
        <v>Program Managers' Offices</v>
      </c>
      <c r="B64" s="16">
        <f>'Components and Space Standards'!B67:F67</f>
        <v>9.29</v>
      </c>
      <c r="C64" s="11">
        <f>'Components and Space Standards'!C67:G67</f>
        <v>100</v>
      </c>
      <c r="D64" s="255" t="str">
        <f>'Components and Space Standards'!D67:G67</f>
        <v>Office(s)</v>
      </c>
      <c r="E64" s="17" t="str">
        <f>'Components and Space Standards'!E67:H67</f>
        <v>per office</v>
      </c>
      <c r="F64" s="188">
        <v>1</v>
      </c>
      <c r="G64" s="216">
        <f t="shared" si="36"/>
        <v>9.29</v>
      </c>
      <c r="H64" s="190">
        <f t="shared" si="37"/>
        <v>100</v>
      </c>
      <c r="I64" s="190">
        <v>1</v>
      </c>
      <c r="J64" s="190">
        <f t="shared" si="38"/>
        <v>9.29</v>
      </c>
      <c r="K64" s="190">
        <f t="shared" si="39"/>
        <v>100</v>
      </c>
      <c r="L64" s="190">
        <v>1</v>
      </c>
      <c r="M64" s="190">
        <f t="shared" si="40"/>
        <v>9.29</v>
      </c>
      <c r="N64" s="190">
        <f t="shared" si="41"/>
        <v>100</v>
      </c>
      <c r="O64" s="190">
        <v>1</v>
      </c>
      <c r="P64" s="190">
        <f t="shared" si="42"/>
        <v>9.29</v>
      </c>
      <c r="Q64" s="190">
        <f t="shared" si="43"/>
        <v>100</v>
      </c>
      <c r="R64" s="188">
        <v>1</v>
      </c>
      <c r="S64" s="216">
        <f t="shared" si="44"/>
        <v>9.29</v>
      </c>
      <c r="T64" s="531">
        <f t="shared" si="45"/>
        <v>100</v>
      </c>
      <c r="U64" s="541">
        <v>1</v>
      </c>
      <c r="V64" s="216">
        <f t="shared" si="46"/>
        <v>9.29</v>
      </c>
      <c r="W64" s="224">
        <f t="shared" si="47"/>
        <v>100</v>
      </c>
      <c r="X64" s="118" t="s">
        <v>114</v>
      </c>
    </row>
    <row r="65" spans="1:24" s="2" customFormat="1" ht="12" customHeight="1">
      <c r="A65" s="19" t="str">
        <f>'Components and Space Standards'!A68:E68</f>
        <v>Support Staff Workstations</v>
      </c>
      <c r="B65" s="16">
        <f>'Components and Space Standards'!B68:F68</f>
        <v>5.9456</v>
      </c>
      <c r="C65" s="11">
        <f>'Components and Space Standards'!C68:G68</f>
        <v>64</v>
      </c>
      <c r="D65" s="255" t="str">
        <f>'Components and Space Standards'!D68:G68</f>
        <v>Workstation(s)</v>
      </c>
      <c r="E65" s="17" t="str">
        <f>'Components and Space Standards'!E68:H68</f>
        <v>per office</v>
      </c>
      <c r="F65" s="188">
        <v>0</v>
      </c>
      <c r="G65" s="189">
        <f t="shared" si="36"/>
        <v>0</v>
      </c>
      <c r="H65" s="190">
        <f t="shared" si="37"/>
        <v>0</v>
      </c>
      <c r="I65" s="190">
        <v>1</v>
      </c>
      <c r="J65" s="190">
        <f t="shared" si="38"/>
        <v>5.9456</v>
      </c>
      <c r="K65" s="190">
        <f t="shared" si="39"/>
        <v>64</v>
      </c>
      <c r="L65" s="190">
        <v>2</v>
      </c>
      <c r="M65" s="190">
        <f t="shared" si="40"/>
        <v>11.8912</v>
      </c>
      <c r="N65" s="190">
        <f t="shared" si="41"/>
        <v>128</v>
      </c>
      <c r="O65" s="190">
        <v>3</v>
      </c>
      <c r="P65" s="190">
        <f t="shared" si="42"/>
        <v>17.8368</v>
      </c>
      <c r="Q65" s="190">
        <f t="shared" si="43"/>
        <v>192</v>
      </c>
      <c r="R65" s="188">
        <v>4</v>
      </c>
      <c r="S65" s="216">
        <f t="shared" si="44"/>
        <v>23.7824</v>
      </c>
      <c r="T65" s="531">
        <f t="shared" si="45"/>
        <v>256</v>
      </c>
      <c r="U65" s="541">
        <v>5</v>
      </c>
      <c r="V65" s="216">
        <f t="shared" si="46"/>
        <v>29.727999999999998</v>
      </c>
      <c r="W65" s="224">
        <f t="shared" si="47"/>
        <v>320</v>
      </c>
      <c r="X65" s="118" t="s">
        <v>114</v>
      </c>
    </row>
    <row r="66" spans="1:24" s="2" customFormat="1" ht="12" customHeight="1">
      <c r="A66" s="19" t="str">
        <f>'Components and Space Standards'!A69:E69</f>
        <v>Copy/file/work/break Room</v>
      </c>
      <c r="B66" s="16">
        <f>'Components and Space Standards'!B69:F69</f>
        <v>7.4319999999999995</v>
      </c>
      <c r="C66" s="11">
        <f>'Components and Space Standards'!C69:G69</f>
        <v>80</v>
      </c>
      <c r="D66" s="255" t="str">
        <f>'Components and Space Standards'!D69:G69</f>
        <v>Workroom Module(s)</v>
      </c>
      <c r="E66" s="17" t="str">
        <f>'Components and Space Standards'!E69:H69</f>
        <v>per room</v>
      </c>
      <c r="F66" s="188">
        <v>1</v>
      </c>
      <c r="G66" s="216">
        <f t="shared" si="36"/>
        <v>7.4319999999999995</v>
      </c>
      <c r="H66" s="190">
        <f t="shared" si="37"/>
        <v>80</v>
      </c>
      <c r="I66" s="190">
        <v>1</v>
      </c>
      <c r="J66" s="190">
        <f t="shared" si="38"/>
        <v>7.4319999999999995</v>
      </c>
      <c r="K66" s="190">
        <f t="shared" si="39"/>
        <v>80</v>
      </c>
      <c r="L66" s="190">
        <v>2</v>
      </c>
      <c r="M66" s="190">
        <f t="shared" si="40"/>
        <v>14.863999999999999</v>
      </c>
      <c r="N66" s="190">
        <f t="shared" si="41"/>
        <v>160</v>
      </c>
      <c r="O66" s="190">
        <v>2</v>
      </c>
      <c r="P66" s="190">
        <f t="shared" si="42"/>
        <v>14.863999999999999</v>
      </c>
      <c r="Q66" s="190">
        <f t="shared" si="43"/>
        <v>160</v>
      </c>
      <c r="R66" s="188">
        <v>2</v>
      </c>
      <c r="S66" s="216">
        <f t="shared" si="44"/>
        <v>14.863999999999999</v>
      </c>
      <c r="T66" s="531">
        <f t="shared" si="45"/>
        <v>160</v>
      </c>
      <c r="U66" s="541">
        <v>3</v>
      </c>
      <c r="V66" s="216">
        <f t="shared" si="46"/>
        <v>22.296</v>
      </c>
      <c r="W66" s="224">
        <f t="shared" si="47"/>
        <v>240</v>
      </c>
      <c r="X66" s="118" t="s">
        <v>112</v>
      </c>
    </row>
    <row r="67" spans="1:24" s="2" customFormat="1" ht="12" customHeight="1">
      <c r="A67" s="19" t="str">
        <f>'Components and Space Standards'!A70:E70</f>
        <v>Classroom/Training Room</v>
      </c>
      <c r="B67" s="16">
        <f>'Components and Space Standards'!B70:F70</f>
        <v>69.675</v>
      </c>
      <c r="C67" s="11">
        <f>'Components and Space Standards'!C70:G70</f>
        <v>750</v>
      </c>
      <c r="D67" s="255" t="str">
        <f>'Components and Space Standards'!D70:G70</f>
        <v>25-person Module at 750 SF</v>
      </c>
      <c r="E67" s="17" t="str">
        <f>'Components and Space Standards'!E70:H70</f>
        <v>1,500 SF Med/Lge &amp; 2,250 SF for Xtra Lge/Jumbo</v>
      </c>
      <c r="F67" s="188">
        <v>1</v>
      </c>
      <c r="G67" s="189">
        <f t="shared" si="36"/>
        <v>69.675</v>
      </c>
      <c r="H67" s="190">
        <f t="shared" si="37"/>
        <v>750</v>
      </c>
      <c r="I67" s="190">
        <v>1</v>
      </c>
      <c r="J67" s="190">
        <f t="shared" si="38"/>
        <v>69.675</v>
      </c>
      <c r="K67" s="190">
        <f t="shared" si="39"/>
        <v>750</v>
      </c>
      <c r="L67" s="190">
        <v>2</v>
      </c>
      <c r="M67" s="190">
        <f t="shared" si="40"/>
        <v>139.35</v>
      </c>
      <c r="N67" s="190">
        <f t="shared" si="41"/>
        <v>1500</v>
      </c>
      <c r="O67" s="190">
        <v>2</v>
      </c>
      <c r="P67" s="190">
        <f t="shared" si="42"/>
        <v>139.35</v>
      </c>
      <c r="Q67" s="190">
        <f t="shared" si="43"/>
        <v>1500</v>
      </c>
      <c r="R67" s="188">
        <v>3</v>
      </c>
      <c r="S67" s="189">
        <f t="shared" si="44"/>
        <v>209.02499999999998</v>
      </c>
      <c r="T67" s="531">
        <f t="shared" si="45"/>
        <v>2250</v>
      </c>
      <c r="U67" s="541">
        <v>3</v>
      </c>
      <c r="V67" s="189">
        <f t="shared" si="46"/>
        <v>209.02499999999998</v>
      </c>
      <c r="W67" s="224">
        <f t="shared" si="47"/>
        <v>2250</v>
      </c>
      <c r="X67" s="610" t="s">
        <v>113</v>
      </c>
    </row>
    <row r="68" spans="1:24" s="2" customFormat="1" ht="12" customHeight="1">
      <c r="A68" s="19" t="str">
        <f>'Components and Space Standards'!A71:E71</f>
        <v>Classroom/Training Storage</v>
      </c>
      <c r="B68" s="16">
        <f>'Components and Space Standards'!B71:F71</f>
        <v>5.574</v>
      </c>
      <c r="C68" s="11">
        <f>'Components and Space Standards'!C71:G71</f>
        <v>60</v>
      </c>
      <c r="D68" s="255" t="str">
        <f>'Components and Space Standards'!D71:G71</f>
        <v>Storage Module(s)</v>
      </c>
      <c r="E68" s="17" t="str">
        <f>'Components and Space Standards'!E71:H71</f>
        <v>per 25-person Training Room</v>
      </c>
      <c r="F68" s="188">
        <v>1</v>
      </c>
      <c r="G68" s="189">
        <f t="shared" si="36"/>
        <v>5.574</v>
      </c>
      <c r="H68" s="190">
        <f t="shared" si="37"/>
        <v>60</v>
      </c>
      <c r="I68" s="190">
        <v>1</v>
      </c>
      <c r="J68" s="190">
        <f t="shared" si="38"/>
        <v>5.574</v>
      </c>
      <c r="K68" s="190">
        <f t="shared" si="39"/>
        <v>60</v>
      </c>
      <c r="L68" s="190">
        <v>2</v>
      </c>
      <c r="M68" s="190">
        <f t="shared" si="40"/>
        <v>11.148</v>
      </c>
      <c r="N68" s="190">
        <f t="shared" si="41"/>
        <v>120</v>
      </c>
      <c r="O68" s="190">
        <v>2</v>
      </c>
      <c r="P68" s="190">
        <f t="shared" si="42"/>
        <v>11.148</v>
      </c>
      <c r="Q68" s="190">
        <f t="shared" si="43"/>
        <v>120</v>
      </c>
      <c r="R68" s="188">
        <v>3</v>
      </c>
      <c r="S68" s="189">
        <f t="shared" si="44"/>
        <v>16.722</v>
      </c>
      <c r="T68" s="531">
        <f t="shared" si="45"/>
        <v>180</v>
      </c>
      <c r="U68" s="541">
        <v>3</v>
      </c>
      <c r="V68" s="189">
        <f t="shared" si="46"/>
        <v>16.722</v>
      </c>
      <c r="W68" s="224">
        <f t="shared" si="47"/>
        <v>180</v>
      </c>
      <c r="X68" s="611"/>
    </row>
    <row r="69" spans="1:24" s="2" customFormat="1" ht="15.75" customHeight="1">
      <c r="A69" s="617" t="str">
        <f>'Components and Space Standards'!A72:E72</f>
        <v>Optional or Service-specific Program Spaces</v>
      </c>
      <c r="B69" s="618">
        <f>'Components and Space Standards'!B72:F72</f>
        <v>0</v>
      </c>
      <c r="C69" s="618">
        <f>'Components and Space Standards'!C72:G72</f>
        <v>0</v>
      </c>
      <c r="D69" s="618"/>
      <c r="E69" s="618">
        <f>'Components and Space Standards'!E72:H72</f>
        <v>0</v>
      </c>
      <c r="F69" s="214"/>
      <c r="G69" s="214"/>
      <c r="H69" s="214"/>
      <c r="I69" s="214"/>
      <c r="J69" s="214"/>
      <c r="K69" s="214"/>
      <c r="L69" s="214"/>
      <c r="M69" s="214"/>
      <c r="N69" s="214"/>
      <c r="O69" s="214"/>
      <c r="P69" s="214"/>
      <c r="Q69" s="214"/>
      <c r="R69" s="214"/>
      <c r="S69" s="214"/>
      <c r="T69" s="550"/>
      <c r="U69" s="214"/>
      <c r="V69" s="214"/>
      <c r="W69" s="215"/>
      <c r="X69" s="108"/>
    </row>
    <row r="70" spans="1:24" s="331" customFormat="1" ht="12" customHeight="1">
      <c r="A70" s="184" t="str">
        <f>'Components and Space Standards'!A75:E75</f>
        <v>Indoor Track</v>
      </c>
      <c r="B70" s="185"/>
      <c r="C70" s="197"/>
      <c r="D70" s="197"/>
      <c r="E70" s="199"/>
      <c r="F70" s="200"/>
      <c r="G70" s="204"/>
      <c r="H70" s="205"/>
      <c r="I70" s="205"/>
      <c r="J70" s="205"/>
      <c r="K70" s="205"/>
      <c r="L70" s="205"/>
      <c r="M70" s="205"/>
      <c r="N70" s="205"/>
      <c r="O70" s="205"/>
      <c r="P70" s="205"/>
      <c r="Q70" s="205"/>
      <c r="R70" s="200"/>
      <c r="S70" s="204"/>
      <c r="T70" s="528"/>
      <c r="U70" s="524"/>
      <c r="V70" s="204"/>
      <c r="W70" s="329"/>
      <c r="X70" s="330"/>
    </row>
    <row r="71" spans="1:24" s="456" customFormat="1" ht="12" customHeight="1">
      <c r="A71" s="454" t="str">
        <f>'Components and Space Standards'!A76:E76</f>
        <v>Indoor Track</v>
      </c>
      <c r="B71" s="457"/>
      <c r="C71" s="104"/>
      <c r="D71" s="104"/>
      <c r="E71" s="458"/>
      <c r="F71" s="194"/>
      <c r="G71" s="206"/>
      <c r="H71" s="207"/>
      <c r="I71" s="207"/>
      <c r="J71" s="207"/>
      <c r="K71" s="207"/>
      <c r="L71" s="207"/>
      <c r="M71" s="207"/>
      <c r="N71" s="207"/>
      <c r="O71" s="207"/>
      <c r="P71" s="207"/>
      <c r="Q71" s="207"/>
      <c r="R71" s="194"/>
      <c r="S71" s="206"/>
      <c r="T71" s="529"/>
      <c r="U71" s="525"/>
      <c r="V71" s="206"/>
      <c r="W71" s="459"/>
      <c r="X71" s="455"/>
    </row>
    <row r="72" spans="1:25" s="2" customFormat="1" ht="12" customHeight="1">
      <c r="A72" s="293" t="str">
        <f>'Components and Space Standards'!A77:E77</f>
        <v>1/14th-mile Indoor Track</v>
      </c>
      <c r="B72" s="16">
        <f>'Components and Space Standards'!B77:F77</f>
        <v>310.0073</v>
      </c>
      <c r="C72" s="11">
        <f>'Components and Space Standards'!C77:G77</f>
        <v>3337</v>
      </c>
      <c r="D72" s="255" t="str">
        <f>'Components and Space Standards'!D77:G77</f>
        <v>1/14th-mile, 2-lane Indoor Track </v>
      </c>
      <c r="E72" s="17" t="str">
        <f>'Components and Space Standards'!E77:H77</f>
        <v>1/14th-mile, 2-lane Indoor Track (754 linear ft.)</v>
      </c>
      <c r="F72" s="188">
        <v>0</v>
      </c>
      <c r="G72" s="216">
        <f aca="true" t="shared" si="48" ref="G72:G88">$B72*F72</f>
        <v>0</v>
      </c>
      <c r="H72" s="190">
        <f aca="true" t="shared" si="49" ref="H72:H88">F72*$C72</f>
        <v>0</v>
      </c>
      <c r="I72" s="190">
        <v>0</v>
      </c>
      <c r="J72" s="190">
        <f aca="true" t="shared" si="50" ref="J72:J88">$B72*I72</f>
        <v>0</v>
      </c>
      <c r="K72" s="190">
        <f aca="true" t="shared" si="51" ref="K72:K88">I72*$C72</f>
        <v>0</v>
      </c>
      <c r="L72" s="190">
        <v>0</v>
      </c>
      <c r="M72" s="190">
        <f aca="true" t="shared" si="52" ref="M72:M88">$B72*L72</f>
        <v>0</v>
      </c>
      <c r="N72" s="190">
        <f aca="true" t="shared" si="53" ref="N72:N88">L72*$C72</f>
        <v>0</v>
      </c>
      <c r="O72" s="190"/>
      <c r="P72" s="190">
        <f aca="true" t="shared" si="54" ref="P72:P88">$B72*O72</f>
        <v>0</v>
      </c>
      <c r="Q72" s="190">
        <f aca="true" t="shared" si="55" ref="Q72:Q88">O72*$C72</f>
        <v>0</v>
      </c>
      <c r="R72" s="188">
        <v>0</v>
      </c>
      <c r="S72" s="216">
        <f aca="true" t="shared" si="56" ref="S72:S88">$B72*R72</f>
        <v>0</v>
      </c>
      <c r="T72" s="531">
        <f aca="true" t="shared" si="57" ref="T72:T88">R72*$C72</f>
        <v>0</v>
      </c>
      <c r="U72" s="541"/>
      <c r="V72" s="216">
        <f aca="true" t="shared" si="58" ref="V72:V88">$B72*U72</f>
        <v>0</v>
      </c>
      <c r="W72" s="224">
        <f aca="true" t="shared" si="59" ref="W72:W88">U72*$C72</f>
        <v>0</v>
      </c>
      <c r="X72" s="108" t="s">
        <v>194</v>
      </c>
      <c r="Y72" s="4"/>
    </row>
    <row r="73" spans="1:25" s="2" customFormat="1" ht="12" customHeight="1">
      <c r="A73" s="293" t="str">
        <f>'Components and Space Standards'!A78:E78</f>
        <v>1/12th-mile Indoor Track</v>
      </c>
      <c r="B73" s="16">
        <f>'Components and Space Standards'!B78:F78</f>
        <v>523.0269999999999</v>
      </c>
      <c r="C73" s="11">
        <f>'Components and Space Standards'!C78:G78</f>
        <v>5630</v>
      </c>
      <c r="D73" s="255" t="str">
        <f>'Components and Space Standards'!D78:G78</f>
        <v>1/12th-mile, 3-lane Indoor Track</v>
      </c>
      <c r="E73" s="17" t="str">
        <f>'Components and Space Standards'!E78:H78</f>
        <v>1/12th-mile, 3-lane Indoor Track (1284 linear ft.)</v>
      </c>
      <c r="F73" s="188"/>
      <c r="G73" s="216"/>
      <c r="H73" s="190"/>
      <c r="I73" s="190"/>
      <c r="J73" s="190"/>
      <c r="K73" s="190"/>
      <c r="L73" s="190"/>
      <c r="M73" s="190"/>
      <c r="N73" s="190"/>
      <c r="O73" s="190"/>
      <c r="P73" s="190"/>
      <c r="Q73" s="190"/>
      <c r="R73" s="188"/>
      <c r="S73" s="216"/>
      <c r="T73" s="531"/>
      <c r="U73" s="541"/>
      <c r="V73" s="216"/>
      <c r="W73" s="224"/>
      <c r="X73" s="108"/>
      <c r="Y73" s="4"/>
    </row>
    <row r="74" spans="1:25" s="2" customFormat="1" ht="12" customHeight="1">
      <c r="A74" s="293" t="str">
        <f>'Components and Space Standards'!A79:E79</f>
        <v>1/11th-mile Indoor Track</v>
      </c>
      <c r="B74" s="16">
        <f>'Components and Space Standards'!B79:F79</f>
        <v>556.7497</v>
      </c>
      <c r="C74" s="11">
        <f>'Components and Space Standards'!C79:G79</f>
        <v>5993</v>
      </c>
      <c r="D74" s="255" t="str">
        <f>'Components and Space Standards'!D79:G79</f>
        <v>1/11th-mile, 3-lane Indoor Track </v>
      </c>
      <c r="E74" s="17" t="str">
        <f>'Components and Space Standards'!E79:H79</f>
        <v>1/11th-mile, 3-lane Indoor Track (1440 linear ft.)</v>
      </c>
      <c r="F74" s="188">
        <v>0</v>
      </c>
      <c r="G74" s="216">
        <f t="shared" si="48"/>
        <v>0</v>
      </c>
      <c r="H74" s="190">
        <f t="shared" si="49"/>
        <v>0</v>
      </c>
      <c r="I74" s="190">
        <v>0</v>
      </c>
      <c r="J74" s="190">
        <f t="shared" si="50"/>
        <v>0</v>
      </c>
      <c r="K74" s="190">
        <f t="shared" si="51"/>
        <v>0</v>
      </c>
      <c r="L74" s="190">
        <v>0</v>
      </c>
      <c r="M74" s="190">
        <f t="shared" si="52"/>
        <v>0</v>
      </c>
      <c r="N74" s="190">
        <f t="shared" si="53"/>
        <v>0</v>
      </c>
      <c r="O74" s="190">
        <v>0</v>
      </c>
      <c r="P74" s="190">
        <f t="shared" si="54"/>
        <v>0</v>
      </c>
      <c r="Q74" s="190">
        <f t="shared" si="55"/>
        <v>0</v>
      </c>
      <c r="R74" s="188">
        <v>0</v>
      </c>
      <c r="S74" s="216">
        <f t="shared" si="56"/>
        <v>0</v>
      </c>
      <c r="T74" s="531">
        <f t="shared" si="57"/>
        <v>0</v>
      </c>
      <c r="U74" s="541"/>
      <c r="V74" s="216">
        <f t="shared" si="58"/>
        <v>0</v>
      </c>
      <c r="W74" s="224">
        <f t="shared" si="59"/>
        <v>0</v>
      </c>
      <c r="X74" s="108"/>
      <c r="Y74" s="4"/>
    </row>
    <row r="75" spans="1:25" s="2" customFormat="1" ht="12" customHeight="1">
      <c r="A75" s="293" t="str">
        <f>'Components and Space Standards'!A80:E80</f>
        <v>1/8th-mile Indoor Track</v>
      </c>
      <c r="B75" s="16">
        <f>'Components and Space Standards'!B80:F80</f>
        <v>989.1062999999999</v>
      </c>
      <c r="C75" s="11">
        <f>'Components and Space Standards'!C80:G80</f>
        <v>10647</v>
      </c>
      <c r="D75" s="255" t="str">
        <f>'Components and Space Standards'!D80:G80</f>
        <v>1/8th-mile, 4-lane Indoor Track </v>
      </c>
      <c r="E75" s="17" t="str">
        <f>'Components and Space Standards'!E80:H80</f>
        <v>1/8th-mile, 4-lane Indoor Track (2640 linear ft.)</v>
      </c>
      <c r="F75" s="188">
        <v>0</v>
      </c>
      <c r="G75" s="216">
        <f t="shared" si="48"/>
        <v>0</v>
      </c>
      <c r="H75" s="190">
        <f t="shared" si="49"/>
        <v>0</v>
      </c>
      <c r="I75" s="190">
        <v>0</v>
      </c>
      <c r="J75" s="190">
        <f t="shared" si="50"/>
        <v>0</v>
      </c>
      <c r="K75" s="190">
        <f t="shared" si="51"/>
        <v>0</v>
      </c>
      <c r="L75" s="190">
        <v>0</v>
      </c>
      <c r="M75" s="190">
        <f t="shared" si="52"/>
        <v>0</v>
      </c>
      <c r="N75" s="190">
        <f t="shared" si="53"/>
        <v>0</v>
      </c>
      <c r="O75" s="190">
        <v>0</v>
      </c>
      <c r="P75" s="190">
        <f t="shared" si="54"/>
        <v>0</v>
      </c>
      <c r="Q75" s="190">
        <f t="shared" si="55"/>
        <v>0</v>
      </c>
      <c r="R75" s="188">
        <v>0</v>
      </c>
      <c r="S75" s="216">
        <f t="shared" si="56"/>
        <v>0</v>
      </c>
      <c r="T75" s="531">
        <f t="shared" si="57"/>
        <v>0</v>
      </c>
      <c r="U75" s="541">
        <v>0</v>
      </c>
      <c r="V75" s="216">
        <f t="shared" si="58"/>
        <v>0</v>
      </c>
      <c r="W75" s="224">
        <f t="shared" si="59"/>
        <v>0</v>
      </c>
      <c r="X75" s="108"/>
      <c r="Y75" s="4"/>
    </row>
    <row r="76" spans="1:25" s="2" customFormat="1" ht="12" customHeight="1">
      <c r="A76" s="23" t="str">
        <f>'Components and Space Standards'!A81:E81</f>
        <v>Indoor track lobby</v>
      </c>
      <c r="B76" s="16">
        <f>'Components and Space Standards'!B81:F81</f>
        <v>13.3776</v>
      </c>
      <c r="C76" s="11">
        <f>'Components and Space Standards'!C81:G81</f>
        <v>144</v>
      </c>
      <c r="D76" s="255" t="str">
        <f>'Components and Space Standards'!D81:G81</f>
        <v>Indoor track lobby(ies)</v>
      </c>
      <c r="E76" s="17" t="str">
        <f>'Components and Space Standards'!E81:H81</f>
        <v>Access point to lobby from stair/elevator</v>
      </c>
      <c r="F76" s="188">
        <v>1</v>
      </c>
      <c r="G76" s="216">
        <f t="shared" si="48"/>
        <v>13.3776</v>
      </c>
      <c r="H76" s="190">
        <f t="shared" si="49"/>
        <v>144</v>
      </c>
      <c r="I76" s="190">
        <v>2</v>
      </c>
      <c r="J76" s="190">
        <f t="shared" si="50"/>
        <v>26.7552</v>
      </c>
      <c r="K76" s="190">
        <f t="shared" si="51"/>
        <v>288</v>
      </c>
      <c r="L76" s="190">
        <v>2</v>
      </c>
      <c r="M76" s="190">
        <f t="shared" si="52"/>
        <v>26.7552</v>
      </c>
      <c r="N76" s="190">
        <f t="shared" si="53"/>
        <v>288</v>
      </c>
      <c r="O76" s="190">
        <v>2</v>
      </c>
      <c r="P76" s="190">
        <f t="shared" si="54"/>
        <v>26.7552</v>
      </c>
      <c r="Q76" s="190">
        <f t="shared" si="55"/>
        <v>288</v>
      </c>
      <c r="R76" s="188">
        <v>2</v>
      </c>
      <c r="S76" s="216">
        <f t="shared" si="56"/>
        <v>26.7552</v>
      </c>
      <c r="T76" s="531">
        <f t="shared" si="57"/>
        <v>288</v>
      </c>
      <c r="U76" s="541">
        <v>2</v>
      </c>
      <c r="V76" s="216">
        <f t="shared" si="58"/>
        <v>26.7552</v>
      </c>
      <c r="W76" s="224">
        <f t="shared" si="59"/>
        <v>288</v>
      </c>
      <c r="X76" s="108"/>
      <c r="Y76" s="4"/>
    </row>
    <row r="77" spans="1:25" s="2" customFormat="1" ht="12" customHeight="1">
      <c r="A77" s="103" t="str">
        <f>'Components and Space Standards'!A82:E82</f>
        <v>Additional Group Exercise Room</v>
      </c>
      <c r="B77" s="16">
        <f>'Components and Space Standards'!B82:F82</f>
        <v>116.125</v>
      </c>
      <c r="C77" s="11">
        <f>'Components and Space Standards'!C82:G82</f>
        <v>1250</v>
      </c>
      <c r="D77" s="255" t="str">
        <f>'Components and Space Standards'!D82:G82</f>
        <v>Additional Group Exercise Room</v>
      </c>
      <c r="E77" s="17" t="str">
        <f>'Components and Space Standards'!E82:H82</f>
        <v>per room</v>
      </c>
      <c r="F77" s="188">
        <v>0</v>
      </c>
      <c r="G77" s="189">
        <f t="shared" si="48"/>
        <v>0</v>
      </c>
      <c r="H77" s="190">
        <f t="shared" si="49"/>
        <v>0</v>
      </c>
      <c r="I77" s="190">
        <v>0</v>
      </c>
      <c r="J77" s="190">
        <f t="shared" si="50"/>
        <v>0</v>
      </c>
      <c r="K77" s="190">
        <f t="shared" si="51"/>
        <v>0</v>
      </c>
      <c r="L77" s="190">
        <v>0</v>
      </c>
      <c r="M77" s="190">
        <f t="shared" si="52"/>
        <v>0</v>
      </c>
      <c r="N77" s="190">
        <f t="shared" si="53"/>
        <v>0</v>
      </c>
      <c r="O77" s="190">
        <v>0</v>
      </c>
      <c r="P77" s="190">
        <f t="shared" si="54"/>
        <v>0</v>
      </c>
      <c r="Q77" s="190">
        <f t="shared" si="55"/>
        <v>0</v>
      </c>
      <c r="R77" s="188">
        <v>0</v>
      </c>
      <c r="S77" s="216">
        <f t="shared" si="56"/>
        <v>0</v>
      </c>
      <c r="T77" s="531">
        <f t="shared" si="57"/>
        <v>0</v>
      </c>
      <c r="U77" s="541"/>
      <c r="V77" s="216">
        <f t="shared" si="58"/>
        <v>0</v>
      </c>
      <c r="W77" s="224">
        <f t="shared" si="59"/>
        <v>0</v>
      </c>
      <c r="X77" s="108" t="s">
        <v>76</v>
      </c>
      <c r="Y77" s="4"/>
    </row>
    <row r="78" spans="1:25" s="2" customFormat="1" ht="12" customHeight="1">
      <c r="A78" s="19" t="str">
        <f>'Components and Space Standards'!A83:E83</f>
        <v>Massage Room</v>
      </c>
      <c r="B78" s="16">
        <f>'Components and Space Standards'!B83:F83</f>
        <v>11.148</v>
      </c>
      <c r="C78" s="11">
        <f>'Components and Space Standards'!C83:G83</f>
        <v>120</v>
      </c>
      <c r="D78" s="255" t="str">
        <f>'Components and Space Standards'!D83:G83</f>
        <v>Massage Room(s)</v>
      </c>
      <c r="E78" s="17" t="str">
        <f>'Components and Space Standards'!E83:H83</f>
        <v>per room</v>
      </c>
      <c r="F78" s="188">
        <v>0</v>
      </c>
      <c r="G78" s="189">
        <f t="shared" si="48"/>
        <v>0</v>
      </c>
      <c r="H78" s="190">
        <f t="shared" si="49"/>
        <v>0</v>
      </c>
      <c r="I78" s="190">
        <v>0</v>
      </c>
      <c r="J78" s="190">
        <f t="shared" si="50"/>
        <v>0</v>
      </c>
      <c r="K78" s="190">
        <f t="shared" si="51"/>
        <v>0</v>
      </c>
      <c r="L78" s="190">
        <v>0</v>
      </c>
      <c r="M78" s="190">
        <f t="shared" si="52"/>
        <v>0</v>
      </c>
      <c r="N78" s="190">
        <f t="shared" si="53"/>
        <v>0</v>
      </c>
      <c r="O78" s="190">
        <v>0</v>
      </c>
      <c r="P78" s="190">
        <f t="shared" si="54"/>
        <v>0</v>
      </c>
      <c r="Q78" s="190">
        <f t="shared" si="55"/>
        <v>0</v>
      </c>
      <c r="R78" s="188">
        <v>0</v>
      </c>
      <c r="S78" s="189">
        <f t="shared" si="56"/>
        <v>0</v>
      </c>
      <c r="T78" s="531">
        <f t="shared" si="57"/>
        <v>0</v>
      </c>
      <c r="U78" s="541"/>
      <c r="V78" s="189">
        <f t="shared" si="58"/>
        <v>0</v>
      </c>
      <c r="W78" s="224">
        <f t="shared" si="59"/>
        <v>0</v>
      </c>
      <c r="X78" s="108"/>
      <c r="Y78" s="4"/>
    </row>
    <row r="79" spans="1:25" s="2" customFormat="1" ht="12" customHeight="1">
      <c r="A79" s="19" t="str">
        <f>'Components and Space Standards'!A84:E84</f>
        <v>Physical Therapy Training</v>
      </c>
      <c r="B79" s="16">
        <f>'Components and Space Standards'!B84:F84</f>
        <v>11.612499999999999</v>
      </c>
      <c r="C79" s="11">
        <f>'Components and Space Standards'!C84:G84</f>
        <v>125</v>
      </c>
      <c r="D79" s="255" t="str">
        <f>'Components and Space Standards'!D84:G84</f>
        <v>Physical Therapy Training Room(s)</v>
      </c>
      <c r="E79" s="17" t="str">
        <f>'Components and Space Standards'!E84:H84</f>
        <v>per room</v>
      </c>
      <c r="F79" s="188">
        <v>0</v>
      </c>
      <c r="G79" s="189">
        <f t="shared" si="48"/>
        <v>0</v>
      </c>
      <c r="H79" s="190">
        <f t="shared" si="49"/>
        <v>0</v>
      </c>
      <c r="I79" s="190">
        <v>0</v>
      </c>
      <c r="J79" s="190">
        <f t="shared" si="50"/>
        <v>0</v>
      </c>
      <c r="K79" s="190">
        <f t="shared" si="51"/>
        <v>0</v>
      </c>
      <c r="L79" s="190">
        <v>0</v>
      </c>
      <c r="M79" s="190">
        <f t="shared" si="52"/>
        <v>0</v>
      </c>
      <c r="N79" s="190">
        <f t="shared" si="53"/>
        <v>0</v>
      </c>
      <c r="O79" s="190">
        <v>0</v>
      </c>
      <c r="P79" s="190">
        <f t="shared" si="54"/>
        <v>0</v>
      </c>
      <c r="Q79" s="190">
        <f t="shared" si="55"/>
        <v>0</v>
      </c>
      <c r="R79" s="188">
        <v>0</v>
      </c>
      <c r="S79" s="189">
        <f t="shared" si="56"/>
        <v>0</v>
      </c>
      <c r="T79" s="531">
        <f t="shared" si="57"/>
        <v>0</v>
      </c>
      <c r="U79" s="541"/>
      <c r="V79" s="189">
        <f t="shared" si="58"/>
        <v>0</v>
      </c>
      <c r="W79" s="224">
        <f t="shared" si="59"/>
        <v>0</v>
      </c>
      <c r="X79" s="108" t="s">
        <v>78</v>
      </c>
      <c r="Y79" s="4"/>
    </row>
    <row r="80" spans="1:25" s="2" customFormat="1" ht="12" customHeight="1">
      <c r="A80" s="19" t="str">
        <f>'Components and Space Standards'!A85:E85</f>
        <v>Expanded Retail 1</v>
      </c>
      <c r="B80" s="16">
        <f>'Components and Space Standards'!B85:F85</f>
        <v>9.29</v>
      </c>
      <c r="C80" s="11">
        <f>'Components and Space Standards'!C85:G85</f>
        <v>100</v>
      </c>
      <c r="D80" s="255" t="str">
        <f>'Components and Space Standards'!D85:G85</f>
        <v>Expanded Retail Module(s)</v>
      </c>
      <c r="E80" s="17" t="str">
        <f>'Components and Space Standards'!E85:H85</f>
        <v>per area</v>
      </c>
      <c r="F80" s="188">
        <v>0</v>
      </c>
      <c r="G80" s="189">
        <f t="shared" si="48"/>
        <v>0</v>
      </c>
      <c r="H80" s="190">
        <f t="shared" si="49"/>
        <v>0</v>
      </c>
      <c r="I80" s="190">
        <v>0</v>
      </c>
      <c r="J80" s="190">
        <f t="shared" si="50"/>
        <v>0</v>
      </c>
      <c r="K80" s="190">
        <f t="shared" si="51"/>
        <v>0</v>
      </c>
      <c r="L80" s="190">
        <v>0</v>
      </c>
      <c r="M80" s="190">
        <f t="shared" si="52"/>
        <v>0</v>
      </c>
      <c r="N80" s="190">
        <f t="shared" si="53"/>
        <v>0</v>
      </c>
      <c r="O80" s="190">
        <v>0</v>
      </c>
      <c r="P80" s="190">
        <f t="shared" si="54"/>
        <v>0</v>
      </c>
      <c r="Q80" s="190">
        <f t="shared" si="55"/>
        <v>0</v>
      </c>
      <c r="R80" s="188">
        <v>0</v>
      </c>
      <c r="S80" s="189">
        <f t="shared" si="56"/>
        <v>0</v>
      </c>
      <c r="T80" s="531">
        <f t="shared" si="57"/>
        <v>0</v>
      </c>
      <c r="U80" s="541"/>
      <c r="V80" s="189">
        <f t="shared" si="58"/>
        <v>0</v>
      </c>
      <c r="W80" s="224">
        <f t="shared" si="59"/>
        <v>0</v>
      </c>
      <c r="X80" s="118" t="s">
        <v>123</v>
      </c>
      <c r="Y80" s="4"/>
    </row>
    <row r="81" spans="1:25" s="2" customFormat="1" ht="12" customHeight="1">
      <c r="A81" s="19" t="str">
        <f>'Components and Space Standards'!A86:E86</f>
        <v>Expanded Juice Bar 1</v>
      </c>
      <c r="B81" s="16">
        <f>'Components and Space Standards'!B86:F86</f>
        <v>13.934999999999999</v>
      </c>
      <c r="C81" s="11">
        <f>'Components and Space Standards'!C86:G86</f>
        <v>150</v>
      </c>
      <c r="D81" s="255" t="str">
        <f>'Components and Space Standards'!D86:G86</f>
        <v>Expanded Juice Bar Module(s)</v>
      </c>
      <c r="E81" s="17" t="str">
        <f>'Components and Space Standards'!E86:H86</f>
        <v>per area</v>
      </c>
      <c r="F81" s="188">
        <v>0</v>
      </c>
      <c r="G81" s="189">
        <f t="shared" si="48"/>
        <v>0</v>
      </c>
      <c r="H81" s="190">
        <f t="shared" si="49"/>
        <v>0</v>
      </c>
      <c r="I81" s="190">
        <v>0</v>
      </c>
      <c r="J81" s="190">
        <f t="shared" si="50"/>
        <v>0</v>
      </c>
      <c r="K81" s="190">
        <f t="shared" si="51"/>
        <v>0</v>
      </c>
      <c r="L81" s="190">
        <v>0</v>
      </c>
      <c r="M81" s="190">
        <f t="shared" si="52"/>
        <v>0</v>
      </c>
      <c r="N81" s="190">
        <f t="shared" si="53"/>
        <v>0</v>
      </c>
      <c r="O81" s="190">
        <v>0</v>
      </c>
      <c r="P81" s="190">
        <f t="shared" si="54"/>
        <v>0</v>
      </c>
      <c r="Q81" s="190">
        <f t="shared" si="55"/>
        <v>0</v>
      </c>
      <c r="R81" s="188">
        <v>0</v>
      </c>
      <c r="S81" s="189">
        <f t="shared" si="56"/>
        <v>0</v>
      </c>
      <c r="T81" s="531">
        <f t="shared" si="57"/>
        <v>0</v>
      </c>
      <c r="U81" s="541"/>
      <c r="V81" s="189">
        <f t="shared" si="58"/>
        <v>0</v>
      </c>
      <c r="W81" s="224">
        <f t="shared" si="59"/>
        <v>0</v>
      </c>
      <c r="X81" s="118" t="s">
        <v>124</v>
      </c>
      <c r="Y81" s="4"/>
    </row>
    <row r="82" spans="1:25" s="2" customFormat="1" ht="12" customHeight="1">
      <c r="A82" s="19" t="str">
        <f>'Components and Space Standards'!A87:E87</f>
        <v>Expanded Juice Bar Seating</v>
      </c>
      <c r="B82" s="16">
        <f>'Components and Space Standards'!B87:F87</f>
        <v>13.934999999999999</v>
      </c>
      <c r="C82" s="11">
        <f>'Components and Space Standards'!C87:G87</f>
        <v>150</v>
      </c>
      <c r="D82" s="255" t="str">
        <f>'Components and Space Standards'!D87:G87</f>
        <v>Two-table seating Module(s)</v>
      </c>
      <c r="E82" s="17" t="str">
        <f>'Components and Space Standards'!E87:H87</f>
        <v>Two 4-top tables and seating area</v>
      </c>
      <c r="F82" s="188">
        <v>0</v>
      </c>
      <c r="G82" s="189">
        <f t="shared" si="48"/>
        <v>0</v>
      </c>
      <c r="H82" s="190">
        <f t="shared" si="49"/>
        <v>0</v>
      </c>
      <c r="I82" s="190">
        <v>0</v>
      </c>
      <c r="J82" s="190">
        <f t="shared" si="50"/>
        <v>0</v>
      </c>
      <c r="K82" s="190">
        <f t="shared" si="51"/>
        <v>0</v>
      </c>
      <c r="L82" s="190">
        <v>0</v>
      </c>
      <c r="M82" s="190">
        <f t="shared" si="52"/>
        <v>0</v>
      </c>
      <c r="N82" s="190">
        <f t="shared" si="53"/>
        <v>0</v>
      </c>
      <c r="O82" s="190">
        <v>0</v>
      </c>
      <c r="P82" s="190">
        <f t="shared" si="54"/>
        <v>0</v>
      </c>
      <c r="Q82" s="190">
        <f t="shared" si="55"/>
        <v>0</v>
      </c>
      <c r="R82" s="188">
        <v>0</v>
      </c>
      <c r="S82" s="189">
        <f t="shared" si="56"/>
        <v>0</v>
      </c>
      <c r="T82" s="531">
        <f t="shared" si="57"/>
        <v>0</v>
      </c>
      <c r="U82" s="541"/>
      <c r="V82" s="189">
        <f t="shared" si="58"/>
        <v>0</v>
      </c>
      <c r="W82" s="224">
        <f t="shared" si="59"/>
        <v>0</v>
      </c>
      <c r="X82" s="118"/>
      <c r="Y82" s="4"/>
    </row>
    <row r="83" spans="1:25" s="2" customFormat="1" ht="12" customHeight="1">
      <c r="A83" s="19" t="str">
        <f>'Components and Space Standards'!A88:E88</f>
        <v>Family Changing Room</v>
      </c>
      <c r="B83" s="16">
        <f>'Components and Space Standards'!B88:F88</f>
        <v>10.219</v>
      </c>
      <c r="C83" s="11">
        <f>'Components and Space Standards'!C88:G88</f>
        <v>110</v>
      </c>
      <c r="D83" s="255" t="str">
        <f>'Components and Space Standards'!D88:G88</f>
        <v>Family Changing Room(s)</v>
      </c>
      <c r="E83" s="17" t="str">
        <f>'Components and Space Standards'!E88:H88</f>
        <v>per shower, wc, lav, changing, and locker</v>
      </c>
      <c r="F83" s="188">
        <v>1</v>
      </c>
      <c r="G83" s="189">
        <f t="shared" si="48"/>
        <v>10.219</v>
      </c>
      <c r="H83" s="190">
        <f t="shared" si="49"/>
        <v>110</v>
      </c>
      <c r="I83" s="190">
        <v>2</v>
      </c>
      <c r="J83" s="190">
        <f t="shared" si="50"/>
        <v>20.438</v>
      </c>
      <c r="K83" s="190">
        <f t="shared" si="51"/>
        <v>220</v>
      </c>
      <c r="L83" s="190">
        <v>3</v>
      </c>
      <c r="M83" s="190">
        <f t="shared" si="52"/>
        <v>30.656999999999996</v>
      </c>
      <c r="N83" s="190">
        <f t="shared" si="53"/>
        <v>330</v>
      </c>
      <c r="O83" s="190">
        <v>4</v>
      </c>
      <c r="P83" s="190">
        <f t="shared" si="54"/>
        <v>40.876</v>
      </c>
      <c r="Q83" s="190">
        <f t="shared" si="55"/>
        <v>440</v>
      </c>
      <c r="R83" s="188">
        <v>5</v>
      </c>
      <c r="S83" s="189">
        <f t="shared" si="56"/>
        <v>51.095</v>
      </c>
      <c r="T83" s="531">
        <f t="shared" si="57"/>
        <v>550</v>
      </c>
      <c r="U83" s="541">
        <v>5</v>
      </c>
      <c r="V83" s="189">
        <f t="shared" si="58"/>
        <v>51.095</v>
      </c>
      <c r="W83" s="224">
        <f t="shared" si="59"/>
        <v>550</v>
      </c>
      <c r="X83" s="108" t="s">
        <v>197</v>
      </c>
      <c r="Y83" s="4"/>
    </row>
    <row r="84" spans="1:25" s="2" customFormat="1" ht="12" customHeight="1">
      <c r="A84" s="19" t="str">
        <f>'Components and Space Standards'!A89:E89</f>
        <v>Convertible Locker Space</v>
      </c>
      <c r="B84" s="16">
        <f>'Components and Space Standards'!B89:F89</f>
        <v>69.675</v>
      </c>
      <c r="C84" s="11">
        <f>'Components and Space Standards'!C89:G89</f>
        <v>750</v>
      </c>
      <c r="D84" s="255" t="str">
        <f>'Components and Space Standards'!D89:G89</f>
        <v>Add'l male or female space</v>
      </c>
      <c r="E84" s="17" t="str">
        <f>'Components and Space Standards'!E89:H89</f>
        <v>750 sf</v>
      </c>
      <c r="F84" s="188">
        <v>0</v>
      </c>
      <c r="G84" s="189">
        <f t="shared" si="48"/>
        <v>0</v>
      </c>
      <c r="H84" s="190">
        <f t="shared" si="49"/>
        <v>0</v>
      </c>
      <c r="I84" s="190">
        <v>0</v>
      </c>
      <c r="J84" s="190">
        <f t="shared" si="50"/>
        <v>0</v>
      </c>
      <c r="K84" s="190">
        <f t="shared" si="51"/>
        <v>0</v>
      </c>
      <c r="L84" s="190">
        <v>0</v>
      </c>
      <c r="M84" s="190">
        <f t="shared" si="52"/>
        <v>0</v>
      </c>
      <c r="N84" s="190">
        <f t="shared" si="53"/>
        <v>0</v>
      </c>
      <c r="O84" s="190">
        <v>0</v>
      </c>
      <c r="P84" s="190">
        <f t="shared" si="54"/>
        <v>0</v>
      </c>
      <c r="Q84" s="190">
        <f t="shared" si="55"/>
        <v>0</v>
      </c>
      <c r="R84" s="188">
        <v>0</v>
      </c>
      <c r="S84" s="189">
        <f t="shared" si="56"/>
        <v>0</v>
      </c>
      <c r="T84" s="531">
        <f t="shared" si="57"/>
        <v>0</v>
      </c>
      <c r="U84" s="541"/>
      <c r="V84" s="189">
        <f t="shared" si="58"/>
        <v>0</v>
      </c>
      <c r="W84" s="224">
        <f t="shared" si="59"/>
        <v>0</v>
      </c>
      <c r="X84" s="633" t="s">
        <v>79</v>
      </c>
      <c r="Y84" s="4"/>
    </row>
    <row r="85" spans="1:25" s="2" customFormat="1" ht="12" customHeight="1">
      <c r="A85" s="19" t="str">
        <f>'Components and Space Standards'!A90:E90</f>
        <v>Female DV Locker Room *</v>
      </c>
      <c r="B85" s="16">
        <f>'Components and Space Standards'!B90:F90</f>
        <v>23.224999999999998</v>
      </c>
      <c r="C85" s="11">
        <f>'Components and Space Standards'!C90:G90</f>
        <v>250</v>
      </c>
      <c r="D85" s="255" t="str">
        <f>'Components and Space Standards'!D90:G90</f>
        <v>Female DV Locker Room</v>
      </c>
      <c r="E85" s="17" t="str">
        <f>'Components and Space Standards'!E90:H90</f>
        <v>250, 500, 750</v>
      </c>
      <c r="F85" s="188">
        <v>0</v>
      </c>
      <c r="G85" s="189">
        <f t="shared" si="48"/>
        <v>0</v>
      </c>
      <c r="H85" s="190">
        <f t="shared" si="49"/>
        <v>0</v>
      </c>
      <c r="I85" s="190">
        <v>0</v>
      </c>
      <c r="J85" s="190">
        <f t="shared" si="50"/>
        <v>0</v>
      </c>
      <c r="K85" s="190">
        <f t="shared" si="51"/>
        <v>0</v>
      </c>
      <c r="L85" s="190">
        <v>0</v>
      </c>
      <c r="M85" s="190">
        <f t="shared" si="52"/>
        <v>0</v>
      </c>
      <c r="N85" s="190">
        <f t="shared" si="53"/>
        <v>0</v>
      </c>
      <c r="O85" s="190">
        <v>0</v>
      </c>
      <c r="P85" s="190">
        <f t="shared" si="54"/>
        <v>0</v>
      </c>
      <c r="Q85" s="190">
        <f t="shared" si="55"/>
        <v>0</v>
      </c>
      <c r="R85" s="188">
        <v>0</v>
      </c>
      <c r="S85" s="189">
        <f t="shared" si="56"/>
        <v>0</v>
      </c>
      <c r="T85" s="531">
        <f t="shared" si="57"/>
        <v>0</v>
      </c>
      <c r="U85" s="541"/>
      <c r="V85" s="189">
        <f t="shared" si="58"/>
        <v>0</v>
      </c>
      <c r="W85" s="224">
        <f t="shared" si="59"/>
        <v>0</v>
      </c>
      <c r="X85" s="634"/>
      <c r="Y85" s="4"/>
    </row>
    <row r="86" spans="1:25" s="2" customFormat="1" ht="12" customHeight="1">
      <c r="A86" s="19" t="str">
        <f>'Components and Space Standards'!A91:E91</f>
        <v>Child Play Area/Parent Child Area *</v>
      </c>
      <c r="B86" s="16">
        <f>'Components and Space Standards'!B91:F91</f>
        <v>74.32</v>
      </c>
      <c r="C86" s="11">
        <f>'Components and Space Standards'!C91:G91</f>
        <v>800</v>
      </c>
      <c r="D86" s="255" t="str">
        <f>'Components and Space Standards'!D91:G91</f>
        <v>Parent/child Module(s)</v>
      </c>
      <c r="E86" s="17" t="str">
        <f>'Components and Space Standards'!E91:H91</f>
        <v>400 sf play area (at 35 sf/child), 400 sf equip (50 sf/equip)</v>
      </c>
      <c r="F86" s="188">
        <v>1</v>
      </c>
      <c r="G86" s="189">
        <f t="shared" si="48"/>
        <v>74.32</v>
      </c>
      <c r="H86" s="190">
        <f t="shared" si="49"/>
        <v>800</v>
      </c>
      <c r="I86" s="190">
        <v>1</v>
      </c>
      <c r="J86" s="190">
        <f t="shared" si="50"/>
        <v>74.32</v>
      </c>
      <c r="K86" s="190">
        <f t="shared" si="51"/>
        <v>800</v>
      </c>
      <c r="L86" s="190">
        <v>1</v>
      </c>
      <c r="M86" s="190">
        <f t="shared" si="52"/>
        <v>74.32</v>
      </c>
      <c r="N86" s="190">
        <f t="shared" si="53"/>
        <v>800</v>
      </c>
      <c r="O86" s="190">
        <v>1</v>
      </c>
      <c r="P86" s="190">
        <f t="shared" si="54"/>
        <v>74.32</v>
      </c>
      <c r="Q86" s="190">
        <f t="shared" si="55"/>
        <v>800</v>
      </c>
      <c r="R86" s="188">
        <v>1</v>
      </c>
      <c r="S86" s="189">
        <f t="shared" si="56"/>
        <v>74.32</v>
      </c>
      <c r="T86" s="531">
        <f t="shared" si="57"/>
        <v>800</v>
      </c>
      <c r="U86" s="541">
        <v>1</v>
      </c>
      <c r="V86" s="189">
        <f t="shared" si="58"/>
        <v>74.32</v>
      </c>
      <c r="W86" s="224">
        <f t="shared" si="59"/>
        <v>800</v>
      </c>
      <c r="X86" s="108"/>
      <c r="Y86" s="4"/>
    </row>
    <row r="87" spans="1:25" s="2" customFormat="1" ht="12" customHeight="1">
      <c r="A87" s="19" t="str">
        <f>'Components and Space Standards'!A92:E92</f>
        <v>HAWC Demonstration Kitchen</v>
      </c>
      <c r="B87" s="16">
        <f>'Components and Space Standards'!B92:F92</f>
        <v>46.449999999999996</v>
      </c>
      <c r="C87" s="11">
        <f>'Components and Space Standards'!C92:G92</f>
        <v>500</v>
      </c>
      <c r="D87" s="255" t="str">
        <f>'Components and Space Standards'!D92:G92</f>
        <v>Kitchen Module(s)</v>
      </c>
      <c r="E87" s="17" t="str">
        <f>'Components and Space Standards'!E92:H92</f>
        <v>per kitchen</v>
      </c>
      <c r="F87" s="188">
        <v>0</v>
      </c>
      <c r="G87" s="189">
        <f t="shared" si="48"/>
        <v>0</v>
      </c>
      <c r="H87" s="190">
        <f t="shared" si="49"/>
        <v>0</v>
      </c>
      <c r="I87" s="190">
        <v>0</v>
      </c>
      <c r="J87" s="190">
        <f t="shared" si="50"/>
        <v>0</v>
      </c>
      <c r="K87" s="190">
        <f t="shared" si="51"/>
        <v>0</v>
      </c>
      <c r="L87" s="190">
        <v>0</v>
      </c>
      <c r="M87" s="190">
        <f t="shared" si="52"/>
        <v>0</v>
      </c>
      <c r="N87" s="190">
        <f t="shared" si="53"/>
        <v>0</v>
      </c>
      <c r="O87" s="190">
        <v>0</v>
      </c>
      <c r="P87" s="190">
        <f t="shared" si="54"/>
        <v>0</v>
      </c>
      <c r="Q87" s="190">
        <f t="shared" si="55"/>
        <v>0</v>
      </c>
      <c r="R87" s="188">
        <v>0</v>
      </c>
      <c r="S87" s="189">
        <f t="shared" si="56"/>
        <v>0</v>
      </c>
      <c r="T87" s="531">
        <f t="shared" si="57"/>
        <v>0</v>
      </c>
      <c r="U87" s="541"/>
      <c r="V87" s="189">
        <f t="shared" si="58"/>
        <v>0</v>
      </c>
      <c r="W87" s="224">
        <f t="shared" si="59"/>
        <v>0</v>
      </c>
      <c r="X87" s="108" t="s">
        <v>56</v>
      </c>
      <c r="Y87" s="4"/>
    </row>
    <row r="88" spans="1:25" s="2" customFormat="1" ht="12" customHeight="1">
      <c r="A88" s="354" t="str">
        <f>'Components and Space Standards'!A93:E93</f>
        <v>HAWC Relaxation Room *</v>
      </c>
      <c r="B88" s="355">
        <f>'Components and Space Standards'!B93:F93</f>
        <v>9.29</v>
      </c>
      <c r="C88" s="356">
        <f>'Components and Space Standards'!C93:G93</f>
        <v>100</v>
      </c>
      <c r="D88" s="325" t="str">
        <f>'Components and Space Standards'!D93:G93</f>
        <v>Relaxation Room(s)</v>
      </c>
      <c r="E88" s="101" t="str">
        <f>'Components and Space Standards'!E93:H93</f>
        <v>per room</v>
      </c>
      <c r="F88" s="360">
        <v>0</v>
      </c>
      <c r="G88" s="361">
        <f t="shared" si="48"/>
        <v>0</v>
      </c>
      <c r="H88" s="362">
        <f t="shared" si="49"/>
        <v>0</v>
      </c>
      <c r="I88" s="362">
        <v>0</v>
      </c>
      <c r="J88" s="362">
        <f t="shared" si="50"/>
        <v>0</v>
      </c>
      <c r="K88" s="362">
        <f t="shared" si="51"/>
        <v>0</v>
      </c>
      <c r="L88" s="362">
        <v>0</v>
      </c>
      <c r="M88" s="362">
        <f t="shared" si="52"/>
        <v>0</v>
      </c>
      <c r="N88" s="362">
        <f t="shared" si="53"/>
        <v>0</v>
      </c>
      <c r="O88" s="362">
        <v>0</v>
      </c>
      <c r="P88" s="362">
        <f t="shared" si="54"/>
        <v>0</v>
      </c>
      <c r="Q88" s="362">
        <f t="shared" si="55"/>
        <v>0</v>
      </c>
      <c r="R88" s="360">
        <v>0</v>
      </c>
      <c r="S88" s="361">
        <f t="shared" si="56"/>
        <v>0</v>
      </c>
      <c r="T88" s="533">
        <f t="shared" si="57"/>
        <v>0</v>
      </c>
      <c r="U88" s="542"/>
      <c r="V88" s="361">
        <f t="shared" si="58"/>
        <v>0</v>
      </c>
      <c r="W88" s="363">
        <f t="shared" si="59"/>
        <v>0</v>
      </c>
      <c r="X88" s="357" t="s">
        <v>56</v>
      </c>
      <c r="Y88" s="4"/>
    </row>
    <row r="89" spans="1:24" s="380" customFormat="1" ht="15.75" customHeight="1">
      <c r="A89" s="132" t="str">
        <f>'Components and Space Standards'!A94:E94</f>
        <v>Site Spaces</v>
      </c>
      <c r="B89" s="368"/>
      <c r="C89" s="369"/>
      <c r="D89" s="370"/>
      <c r="E89" s="371"/>
      <c r="F89" s="375"/>
      <c r="G89" s="376"/>
      <c r="H89" s="377"/>
      <c r="I89" s="377"/>
      <c r="J89" s="377"/>
      <c r="K89" s="377"/>
      <c r="L89" s="377"/>
      <c r="M89" s="377"/>
      <c r="N89" s="377"/>
      <c r="O89" s="377"/>
      <c r="P89" s="377"/>
      <c r="Q89" s="377"/>
      <c r="R89" s="375"/>
      <c r="S89" s="376"/>
      <c r="T89" s="551"/>
      <c r="U89" s="375"/>
      <c r="V89" s="376"/>
      <c r="W89" s="378"/>
      <c r="X89" s="379"/>
    </row>
    <row r="90" spans="1:24" s="2" customFormat="1" ht="12" customHeight="1">
      <c r="A90" s="128" t="str">
        <f>'Components and Space Standards'!A95:E95</f>
        <v>Staff Parking</v>
      </c>
      <c r="B90" s="364">
        <f>'Components and Space Standards'!B95:F95</f>
        <v>41.805</v>
      </c>
      <c r="C90" s="21">
        <f>'Components and Space Standards'!C95:G95</f>
        <v>450</v>
      </c>
      <c r="D90" s="253" t="str">
        <f>'Components and Space Standards'!D95:G95</f>
        <v>Parking Spaces</v>
      </c>
      <c r="E90" s="22" t="str">
        <f>'Components and Space Standards'!E95:H95</f>
        <v>per space (including circulation)</v>
      </c>
      <c r="F90" s="225">
        <v>6</v>
      </c>
      <c r="G90" s="229">
        <f aca="true" t="shared" si="60" ref="G90:G95">F90*B90</f>
        <v>250.82999999999998</v>
      </c>
      <c r="H90" s="228">
        <f aca="true" t="shared" si="61" ref="H90:H95">F90*C90</f>
        <v>2700</v>
      </c>
      <c r="I90" s="228">
        <v>6</v>
      </c>
      <c r="J90" s="228">
        <f aca="true" t="shared" si="62" ref="J90:J95">$B90*I90</f>
        <v>250.82999999999998</v>
      </c>
      <c r="K90" s="228">
        <f aca="true" t="shared" si="63" ref="K90:K95">I90*$C90</f>
        <v>2700</v>
      </c>
      <c r="L90" s="228">
        <v>6</v>
      </c>
      <c r="M90" s="228">
        <f aca="true" t="shared" si="64" ref="M90:M95">$B90*L90</f>
        <v>250.82999999999998</v>
      </c>
      <c r="N90" s="228">
        <f aca="true" t="shared" si="65" ref="N90:N95">L90*$C90</f>
        <v>2700</v>
      </c>
      <c r="O90" s="228">
        <v>6</v>
      </c>
      <c r="P90" s="228">
        <f aca="true" t="shared" si="66" ref="P90:P95">$B90*O90</f>
        <v>250.82999999999998</v>
      </c>
      <c r="Q90" s="228">
        <f aca="true" t="shared" si="67" ref="Q90:Q95">O90*$C90</f>
        <v>2700</v>
      </c>
      <c r="R90" s="225">
        <v>10</v>
      </c>
      <c r="S90" s="229">
        <f aca="true" t="shared" si="68" ref="S90:S95">$B90*R90</f>
        <v>418.05</v>
      </c>
      <c r="T90" s="228">
        <f aca="true" t="shared" si="69" ref="T90:T95">R90*$C90</f>
        <v>4500</v>
      </c>
      <c r="U90" s="540">
        <v>15</v>
      </c>
      <c r="V90" s="229">
        <f aca="true" t="shared" si="70" ref="V90:V95">$B90*U90</f>
        <v>627.075</v>
      </c>
      <c r="W90" s="230">
        <f aca="true" t="shared" si="71" ref="W90:W95">U90*$C90</f>
        <v>6750</v>
      </c>
      <c r="X90" s="129"/>
    </row>
    <row r="91" spans="1:24" s="2" customFormat="1" ht="12" customHeight="1">
      <c r="A91" s="128" t="str">
        <f>'Components and Space Standards'!A96:E96</f>
        <v>Loading dock</v>
      </c>
      <c r="B91" s="16">
        <f>'Components and Space Standards'!B96:F96</f>
        <v>8.360999999999999</v>
      </c>
      <c r="C91" s="21">
        <f>'Components and Space Standards'!C96:G96</f>
        <v>90</v>
      </c>
      <c r="D91" s="253" t="str">
        <f>'Components and Space Standards'!D96:G96</f>
        <v>Loading Dock</v>
      </c>
      <c r="E91" s="22" t="str">
        <f>'Components and Space Standards'!E96:H96</f>
        <v>Per single-truck dock</v>
      </c>
      <c r="F91" s="225">
        <v>1</v>
      </c>
      <c r="G91" s="226">
        <f t="shared" si="60"/>
        <v>8.360999999999999</v>
      </c>
      <c r="H91" s="227">
        <f t="shared" si="61"/>
        <v>90</v>
      </c>
      <c r="I91" s="228">
        <v>1</v>
      </c>
      <c r="J91" s="228">
        <f t="shared" si="62"/>
        <v>8.360999999999999</v>
      </c>
      <c r="K91" s="228">
        <f t="shared" si="63"/>
        <v>90</v>
      </c>
      <c r="L91" s="228">
        <v>1</v>
      </c>
      <c r="M91" s="228">
        <f t="shared" si="64"/>
        <v>8.360999999999999</v>
      </c>
      <c r="N91" s="228">
        <f t="shared" si="65"/>
        <v>90</v>
      </c>
      <c r="O91" s="228">
        <v>1</v>
      </c>
      <c r="P91" s="228">
        <f t="shared" si="66"/>
        <v>8.360999999999999</v>
      </c>
      <c r="Q91" s="228">
        <f t="shared" si="67"/>
        <v>90</v>
      </c>
      <c r="R91" s="225">
        <v>1</v>
      </c>
      <c r="S91" s="229">
        <f t="shared" si="68"/>
        <v>8.360999999999999</v>
      </c>
      <c r="T91" s="228">
        <f t="shared" si="69"/>
        <v>90</v>
      </c>
      <c r="U91" s="540">
        <v>1</v>
      </c>
      <c r="V91" s="229">
        <f t="shared" si="70"/>
        <v>8.360999999999999</v>
      </c>
      <c r="W91" s="230">
        <f t="shared" si="71"/>
        <v>90</v>
      </c>
      <c r="X91" s="129"/>
    </row>
    <row r="92" spans="1:24" s="2" customFormat="1" ht="12" customHeight="1">
      <c r="A92" s="128" t="str">
        <f>'Components and Space Standards'!A97:E97</f>
        <v>Service Drive/trash</v>
      </c>
      <c r="B92" s="16">
        <f>'Components and Space Standards'!B97:F97</f>
        <v>69.675</v>
      </c>
      <c r="C92" s="21">
        <f>'Components and Space Standards'!C97:G97</f>
        <v>750</v>
      </c>
      <c r="D92" s="253" t="str">
        <f>'Components and Space Standards'!D97:G97</f>
        <v>Service Drive Module</v>
      </c>
      <c r="E92" s="22" t="str">
        <f>'Components and Space Standards'!E97:H97</f>
        <v>per area</v>
      </c>
      <c r="F92" s="225">
        <v>1</v>
      </c>
      <c r="G92" s="226">
        <f t="shared" si="60"/>
        <v>69.675</v>
      </c>
      <c r="H92" s="227">
        <f t="shared" si="61"/>
        <v>750</v>
      </c>
      <c r="I92" s="228">
        <v>1</v>
      </c>
      <c r="J92" s="228">
        <f t="shared" si="62"/>
        <v>69.675</v>
      </c>
      <c r="K92" s="228">
        <f t="shared" si="63"/>
        <v>750</v>
      </c>
      <c r="L92" s="228">
        <v>1</v>
      </c>
      <c r="M92" s="228">
        <f t="shared" si="64"/>
        <v>69.675</v>
      </c>
      <c r="N92" s="228">
        <f t="shared" si="65"/>
        <v>750</v>
      </c>
      <c r="O92" s="228">
        <v>1</v>
      </c>
      <c r="P92" s="228">
        <f t="shared" si="66"/>
        <v>69.675</v>
      </c>
      <c r="Q92" s="228">
        <f t="shared" si="67"/>
        <v>750</v>
      </c>
      <c r="R92" s="225">
        <v>1</v>
      </c>
      <c r="S92" s="229">
        <f t="shared" si="68"/>
        <v>69.675</v>
      </c>
      <c r="T92" s="228">
        <f t="shared" si="69"/>
        <v>750</v>
      </c>
      <c r="U92" s="540">
        <v>1</v>
      </c>
      <c r="V92" s="229">
        <f t="shared" si="70"/>
        <v>69.675</v>
      </c>
      <c r="W92" s="230">
        <f t="shared" si="71"/>
        <v>750</v>
      </c>
      <c r="X92" s="129"/>
    </row>
    <row r="93" spans="1:24" s="2" customFormat="1" ht="12" customHeight="1">
      <c r="A93" s="19" t="str">
        <f>'Components and Space Standards'!A98:E98</f>
        <v>Customer Parking</v>
      </c>
      <c r="B93" s="16">
        <f>'Components and Space Standards'!B98:F98</f>
        <v>41.805</v>
      </c>
      <c r="C93" s="11">
        <f>'Components and Space Standards'!C98:G98</f>
        <v>450</v>
      </c>
      <c r="D93" s="255" t="str">
        <f>'Components and Space Standards'!D98:G98</f>
        <v>Parking Spaces</v>
      </c>
      <c r="E93" s="17" t="str">
        <f>'Components and Space Standards'!E98:H98</f>
        <v>per space (including circulation)</v>
      </c>
      <c r="F93" s="188">
        <v>92</v>
      </c>
      <c r="G93" s="226">
        <f t="shared" si="60"/>
        <v>3846.06</v>
      </c>
      <c r="H93" s="227">
        <f t="shared" si="61"/>
        <v>41400</v>
      </c>
      <c r="I93" s="227">
        <v>147</v>
      </c>
      <c r="J93" s="227">
        <f t="shared" si="62"/>
        <v>6145.335</v>
      </c>
      <c r="K93" s="227">
        <f t="shared" si="63"/>
        <v>66150</v>
      </c>
      <c r="L93" s="227">
        <v>215</v>
      </c>
      <c r="M93" s="227">
        <f t="shared" si="64"/>
        <v>8988.075</v>
      </c>
      <c r="N93" s="227">
        <f t="shared" si="65"/>
        <v>96750</v>
      </c>
      <c r="O93" s="227">
        <v>298</v>
      </c>
      <c r="P93" s="227">
        <f t="shared" si="66"/>
        <v>12457.89</v>
      </c>
      <c r="Q93" s="227">
        <f t="shared" si="67"/>
        <v>134100</v>
      </c>
      <c r="R93" s="188">
        <v>400</v>
      </c>
      <c r="S93" s="226">
        <f t="shared" si="68"/>
        <v>16722</v>
      </c>
      <c r="T93" s="227">
        <f t="shared" si="69"/>
        <v>180000</v>
      </c>
      <c r="U93" s="541">
        <v>500</v>
      </c>
      <c r="V93" s="226">
        <f t="shared" si="70"/>
        <v>20902.5</v>
      </c>
      <c r="W93" s="231">
        <f t="shared" si="71"/>
        <v>225000</v>
      </c>
      <c r="X93" s="108"/>
    </row>
    <row r="94" spans="1:24" s="2" customFormat="1" ht="12" customHeight="1">
      <c r="A94" s="19" t="str">
        <f>'Components and Space Standards'!A99:E99</f>
        <v>Bicycle Rack Area</v>
      </c>
      <c r="B94" s="16">
        <f>'Components and Space Standards'!B99:F99</f>
        <v>14.863999999999999</v>
      </c>
      <c r="C94" s="11">
        <f>'Components and Space Standards'!C99:G99</f>
        <v>160</v>
      </c>
      <c r="D94" s="255" t="str">
        <f>'Components and Space Standards'!D99:G99</f>
        <v>10-bike Rack(s)</v>
      </c>
      <c r="E94" s="17" t="str">
        <f>'Components and Space Standards'!E99:H99</f>
        <v>per 10-bike Rack</v>
      </c>
      <c r="F94" s="188">
        <v>1</v>
      </c>
      <c r="G94" s="226">
        <f t="shared" si="60"/>
        <v>14.863999999999999</v>
      </c>
      <c r="H94" s="227">
        <f t="shared" si="61"/>
        <v>160</v>
      </c>
      <c r="I94" s="227">
        <v>1</v>
      </c>
      <c r="J94" s="227">
        <f t="shared" si="62"/>
        <v>14.863999999999999</v>
      </c>
      <c r="K94" s="227">
        <f t="shared" si="63"/>
        <v>160</v>
      </c>
      <c r="L94" s="227">
        <v>1</v>
      </c>
      <c r="M94" s="227">
        <f t="shared" si="64"/>
        <v>14.863999999999999</v>
      </c>
      <c r="N94" s="227">
        <f t="shared" si="65"/>
        <v>160</v>
      </c>
      <c r="O94" s="227">
        <v>1</v>
      </c>
      <c r="P94" s="227">
        <f t="shared" si="66"/>
        <v>14.863999999999999</v>
      </c>
      <c r="Q94" s="227">
        <f t="shared" si="67"/>
        <v>160</v>
      </c>
      <c r="R94" s="188">
        <v>2</v>
      </c>
      <c r="S94" s="226">
        <f t="shared" si="68"/>
        <v>29.727999999999998</v>
      </c>
      <c r="T94" s="227">
        <f t="shared" si="69"/>
        <v>320</v>
      </c>
      <c r="U94" s="541">
        <v>2</v>
      </c>
      <c r="V94" s="226">
        <f t="shared" si="70"/>
        <v>29.727999999999998</v>
      </c>
      <c r="W94" s="231">
        <f t="shared" si="71"/>
        <v>320</v>
      </c>
      <c r="X94" s="108"/>
    </row>
    <row r="95" spans="1:24" s="2" customFormat="1" ht="12" customHeight="1" thickBot="1">
      <c r="A95" s="217" t="str">
        <f>'Components and Space Standards'!A100:E100</f>
        <v>Patio</v>
      </c>
      <c r="B95" s="218">
        <f>'Components and Space Standards'!B100:F100</f>
        <v>2.3225</v>
      </c>
      <c r="C95" s="219">
        <f>'Components and Space Standards'!C100:G100</f>
        <v>25</v>
      </c>
      <c r="D95" s="328" t="str">
        <f>'Components and Space Standards'!D100:G100</f>
        <v>Patio Module(s)</v>
      </c>
      <c r="E95" s="18" t="str">
        <f>'Components and Space Standards'!E100:H100</f>
        <v>per patio</v>
      </c>
      <c r="F95" s="220">
        <v>0</v>
      </c>
      <c r="G95" s="315">
        <f t="shared" si="60"/>
        <v>0</v>
      </c>
      <c r="H95" s="316">
        <f t="shared" si="61"/>
        <v>0</v>
      </c>
      <c r="I95" s="316">
        <v>0</v>
      </c>
      <c r="J95" s="316">
        <f t="shared" si="62"/>
        <v>0</v>
      </c>
      <c r="K95" s="316">
        <f t="shared" si="63"/>
        <v>0</v>
      </c>
      <c r="L95" s="316">
        <v>0</v>
      </c>
      <c r="M95" s="316">
        <f t="shared" si="64"/>
        <v>0</v>
      </c>
      <c r="N95" s="316">
        <f t="shared" si="65"/>
        <v>0</v>
      </c>
      <c r="O95" s="316">
        <v>0</v>
      </c>
      <c r="P95" s="316">
        <f t="shared" si="66"/>
        <v>0</v>
      </c>
      <c r="Q95" s="316">
        <f t="shared" si="67"/>
        <v>0</v>
      </c>
      <c r="R95" s="220">
        <v>0</v>
      </c>
      <c r="S95" s="315">
        <f t="shared" si="68"/>
        <v>0</v>
      </c>
      <c r="T95" s="316">
        <f t="shared" si="69"/>
        <v>0</v>
      </c>
      <c r="U95" s="543">
        <v>0</v>
      </c>
      <c r="V95" s="315">
        <f t="shared" si="70"/>
        <v>0</v>
      </c>
      <c r="W95" s="317">
        <f t="shared" si="71"/>
        <v>0</v>
      </c>
      <c r="X95" s="112"/>
    </row>
    <row r="96" spans="1:24" s="2" customFormat="1" ht="12" customHeight="1" thickBot="1">
      <c r="A96" s="12" t="str">
        <f>'Components and Space Standards'!A101:E101</f>
        <v>* Service-specific space.</v>
      </c>
      <c r="B96" s="13"/>
      <c r="C96" s="14"/>
      <c r="D96" s="14"/>
      <c r="E96" s="15"/>
      <c r="F96" s="232"/>
      <c r="G96" s="232"/>
      <c r="H96" s="232"/>
      <c r="I96" s="232"/>
      <c r="J96" s="232"/>
      <c r="K96" s="232"/>
      <c r="L96" s="232"/>
      <c r="M96" s="232"/>
      <c r="N96" s="232"/>
      <c r="O96" s="232"/>
      <c r="P96" s="232"/>
      <c r="Q96" s="232"/>
      <c r="R96" s="233"/>
      <c r="S96" s="234"/>
      <c r="T96" s="552"/>
      <c r="U96" s="553"/>
      <c r="V96" s="234"/>
      <c r="W96" s="235"/>
      <c r="X96" s="113"/>
    </row>
    <row r="97" spans="1:24" s="2" customFormat="1" ht="12" customHeight="1">
      <c r="A97" s="4" t="str">
        <f>'Components and Space Standards'!A102:E102</f>
        <v>1 If contract service, verify area with contractor. </v>
      </c>
      <c r="B97" s="5"/>
      <c r="C97" s="8"/>
      <c r="D97" s="8"/>
      <c r="E97" s="6"/>
      <c r="F97" s="236"/>
      <c r="G97" s="236"/>
      <c r="H97" s="236"/>
      <c r="I97" s="236"/>
      <c r="J97" s="236"/>
      <c r="K97" s="236"/>
      <c r="L97" s="236"/>
      <c r="M97" s="236"/>
      <c r="N97" s="236"/>
      <c r="O97" s="236"/>
      <c r="P97" s="236"/>
      <c r="Q97" s="236"/>
      <c r="R97" s="237"/>
      <c r="S97" s="238"/>
      <c r="T97" s="239"/>
      <c r="U97" s="237"/>
      <c r="V97" s="238"/>
      <c r="W97" s="239"/>
      <c r="X97" s="113"/>
    </row>
    <row r="98" spans="1:24" s="2" customFormat="1" ht="12" customHeight="1">
      <c r="A98" s="4"/>
      <c r="B98" s="4"/>
      <c r="C98" s="4"/>
      <c r="D98" s="4"/>
      <c r="E98" s="4"/>
      <c r="F98" s="240"/>
      <c r="G98" s="240"/>
      <c r="H98" s="240"/>
      <c r="I98" s="240"/>
      <c r="J98" s="240"/>
      <c r="K98" s="240"/>
      <c r="L98" s="240"/>
      <c r="M98" s="240"/>
      <c r="N98" s="240"/>
      <c r="O98" s="240"/>
      <c r="P98" s="240"/>
      <c r="Q98" s="240"/>
      <c r="R98" s="240"/>
      <c r="S98" s="240"/>
      <c r="T98" s="240"/>
      <c r="U98" s="240"/>
      <c r="V98" s="240"/>
      <c r="W98" s="240"/>
      <c r="X98" s="113"/>
    </row>
    <row r="99" spans="1:24" s="2" customFormat="1" ht="12" customHeight="1">
      <c r="A99" s="4"/>
      <c r="B99" s="4"/>
      <c r="C99" s="4"/>
      <c r="D99" s="4"/>
      <c r="E99" s="4"/>
      <c r="F99" s="240"/>
      <c r="G99" s="240"/>
      <c r="H99" s="240"/>
      <c r="I99" s="240"/>
      <c r="J99" s="240"/>
      <c r="K99" s="240"/>
      <c r="L99" s="240"/>
      <c r="M99" s="240"/>
      <c r="N99" s="240"/>
      <c r="O99" s="240"/>
      <c r="P99" s="240"/>
      <c r="Q99" s="240"/>
      <c r="R99" s="240"/>
      <c r="S99" s="240"/>
      <c r="T99" s="240"/>
      <c r="U99" s="240"/>
      <c r="V99" s="240"/>
      <c r="W99" s="240"/>
      <c r="X99" s="113"/>
    </row>
    <row r="100" spans="1:23" ht="12" customHeight="1">
      <c r="A100" s="4"/>
      <c r="B100" s="4"/>
      <c r="C100" s="4"/>
      <c r="D100" s="4"/>
      <c r="E100" s="4"/>
      <c r="F100" s="240"/>
      <c r="G100" s="240"/>
      <c r="H100" s="240"/>
      <c r="I100" s="240"/>
      <c r="J100" s="240"/>
      <c r="K100" s="240"/>
      <c r="L100" s="240"/>
      <c r="M100" s="240"/>
      <c r="N100" s="240"/>
      <c r="O100" s="240"/>
      <c r="P100" s="240"/>
      <c r="Q100" s="240"/>
      <c r="R100" s="240"/>
      <c r="S100" s="240"/>
      <c r="T100" s="240"/>
      <c r="U100" s="240"/>
      <c r="V100" s="240"/>
      <c r="W100" s="240"/>
    </row>
    <row r="101" spans="2:21" ht="12" customHeight="1">
      <c r="B101" s="20"/>
      <c r="C101" s="20"/>
      <c r="D101" s="20"/>
      <c r="R101" s="241"/>
      <c r="U101" s="241"/>
    </row>
    <row r="102" spans="2:21" ht="12" customHeight="1">
      <c r="B102" s="20"/>
      <c r="C102" s="20"/>
      <c r="D102" s="20"/>
      <c r="R102" s="241"/>
      <c r="U102" s="241"/>
    </row>
    <row r="103" spans="2:21" ht="12" customHeight="1">
      <c r="B103" s="20"/>
      <c r="C103" s="20"/>
      <c r="D103" s="20"/>
      <c r="R103" s="241"/>
      <c r="U103" s="241"/>
    </row>
    <row r="104" spans="2:21" ht="12" customHeight="1">
      <c r="B104" s="20"/>
      <c r="C104" s="20"/>
      <c r="D104" s="20"/>
      <c r="R104" s="241"/>
      <c r="U104" s="241"/>
    </row>
    <row r="105" spans="2:21" ht="12" customHeight="1">
      <c r="B105" s="20"/>
      <c r="C105" s="20"/>
      <c r="D105" s="20"/>
      <c r="R105" s="241"/>
      <c r="U105" s="241"/>
    </row>
    <row r="106" spans="2:21" ht="12" customHeight="1">
      <c r="B106" s="20"/>
      <c r="C106" s="20"/>
      <c r="D106" s="20"/>
      <c r="R106" s="241"/>
      <c r="U106" s="241"/>
    </row>
    <row r="107" spans="2:21" ht="12" customHeight="1">
      <c r="B107" s="20"/>
      <c r="C107" s="20"/>
      <c r="D107" s="20"/>
      <c r="R107" s="241"/>
      <c r="U107" s="241"/>
    </row>
    <row r="108" spans="1:23" ht="12" customHeight="1">
      <c r="A108" s="9"/>
      <c r="B108" s="10"/>
      <c r="C108" s="8"/>
      <c r="D108" s="8"/>
      <c r="E108" s="4"/>
      <c r="F108" s="237"/>
      <c r="G108" s="242"/>
      <c r="H108" s="240"/>
      <c r="I108" s="240"/>
      <c r="J108" s="240"/>
      <c r="K108" s="240"/>
      <c r="L108" s="240"/>
      <c r="M108" s="240"/>
      <c r="N108" s="240"/>
      <c r="O108" s="240"/>
      <c r="P108" s="240"/>
      <c r="Q108" s="240"/>
      <c r="R108" s="237"/>
      <c r="S108" s="242"/>
      <c r="T108" s="243"/>
      <c r="U108" s="237"/>
      <c r="V108" s="242"/>
      <c r="W108" s="243"/>
    </row>
    <row r="109" spans="1:23" ht="12" customHeight="1">
      <c r="A109" s="9"/>
      <c r="B109" s="10"/>
      <c r="C109" s="8"/>
      <c r="D109" s="8"/>
      <c r="E109" s="4"/>
      <c r="F109" s="237"/>
      <c r="G109" s="242"/>
      <c r="H109" s="240"/>
      <c r="I109" s="240"/>
      <c r="J109" s="240"/>
      <c r="K109" s="240"/>
      <c r="L109" s="240"/>
      <c r="M109" s="240"/>
      <c r="N109" s="240"/>
      <c r="O109" s="240"/>
      <c r="P109" s="240"/>
      <c r="Q109" s="240"/>
      <c r="R109" s="237"/>
      <c r="S109" s="242"/>
      <c r="T109" s="243"/>
      <c r="U109" s="237"/>
      <c r="V109" s="242"/>
      <c r="W109" s="243"/>
    </row>
    <row r="110" spans="1:23" ht="12" customHeight="1">
      <c r="A110" s="9"/>
      <c r="B110" s="10"/>
      <c r="C110" s="8"/>
      <c r="D110" s="8"/>
      <c r="E110" s="4"/>
      <c r="F110" s="237"/>
      <c r="G110" s="242"/>
      <c r="H110" s="240"/>
      <c r="I110" s="240"/>
      <c r="J110" s="240"/>
      <c r="K110" s="240"/>
      <c r="L110" s="240"/>
      <c r="M110" s="240"/>
      <c r="N110" s="240"/>
      <c r="O110" s="240"/>
      <c r="P110" s="240"/>
      <c r="Q110" s="240"/>
      <c r="R110" s="237"/>
      <c r="S110" s="242"/>
      <c r="T110" s="243"/>
      <c r="U110" s="237"/>
      <c r="V110" s="242"/>
      <c r="W110" s="243"/>
    </row>
    <row r="111" spans="1:23" ht="12" customHeight="1">
      <c r="A111" s="9"/>
      <c r="B111" s="10"/>
      <c r="C111" s="8"/>
      <c r="D111" s="8"/>
      <c r="E111" s="4"/>
      <c r="F111" s="237"/>
      <c r="G111" s="242"/>
      <c r="H111" s="240"/>
      <c r="I111" s="240"/>
      <c r="J111" s="240"/>
      <c r="K111" s="240"/>
      <c r="L111" s="240"/>
      <c r="M111" s="240"/>
      <c r="N111" s="240"/>
      <c r="O111" s="240"/>
      <c r="P111" s="240"/>
      <c r="Q111" s="240"/>
      <c r="R111" s="237"/>
      <c r="S111" s="242"/>
      <c r="T111" s="243"/>
      <c r="U111" s="237"/>
      <c r="V111" s="242"/>
      <c r="W111" s="243"/>
    </row>
  </sheetData>
  <sheetProtection deleteColumns="0"/>
  <mergeCells count="18">
    <mergeCell ref="X1:X2"/>
    <mergeCell ref="R1:T1"/>
    <mergeCell ref="F1:H1"/>
    <mergeCell ref="B1:E1"/>
    <mergeCell ref="I1:K1"/>
    <mergeCell ref="L1:N1"/>
    <mergeCell ref="O1:Q1"/>
    <mergeCell ref="U1:W1"/>
    <mergeCell ref="A69:E69"/>
    <mergeCell ref="A52:E52"/>
    <mergeCell ref="A3:E3"/>
    <mergeCell ref="A62:E62"/>
    <mergeCell ref="X84:X85"/>
    <mergeCell ref="X23:X28"/>
    <mergeCell ref="X13:X16"/>
    <mergeCell ref="X34:X35"/>
    <mergeCell ref="X48:X49"/>
    <mergeCell ref="X67:X68"/>
  </mergeCells>
  <dataValidations count="1">
    <dataValidation allowBlank="1" showErrorMessage="1" promptTitle="Note:" prompt="Testing" sqref="A1"/>
  </dataValidations>
  <printOptions horizontalCentered="1"/>
  <pageMargins left="0.4" right="0.4" top="0.5" bottom="0.5" header="0.5" footer="0.25"/>
  <pageSetup horizontalDpi="600" verticalDpi="600" orientation="landscape" paperSize="17" r:id="rId3"/>
  <legacyDrawing r:id="rId2"/>
</worksheet>
</file>

<file path=xl/worksheets/sheet6.xml><?xml version="1.0" encoding="utf-8"?>
<worksheet xmlns="http://schemas.openxmlformats.org/spreadsheetml/2006/main" xmlns:r="http://schemas.openxmlformats.org/officeDocument/2006/relationships">
  <sheetPr codeName="Sheet5"/>
  <dimension ref="A1:T109"/>
  <sheetViews>
    <sheetView showGridLines="0" zoomScale="110" zoomScaleNormal="110" zoomScalePageLayoutView="0" workbookViewId="0" topLeftCell="A1">
      <pane xSplit="1" ySplit="2" topLeftCell="G27" activePane="bottomRight" state="frozen"/>
      <selection pane="topLeft" activeCell="A5" sqref="A5"/>
      <selection pane="topRight" activeCell="A5" sqref="A5"/>
      <selection pane="bottomLeft" activeCell="A5" sqref="A5"/>
      <selection pane="bottomRight" activeCell="A5" sqref="A5"/>
    </sheetView>
  </sheetViews>
  <sheetFormatPr defaultColWidth="9.140625" defaultRowHeight="12" customHeight="1"/>
  <cols>
    <col min="1" max="1" width="30.7109375" style="20" customWidth="1"/>
    <col min="2" max="2" width="6.7109375" style="94" customWidth="1"/>
    <col min="3" max="3" width="6.7109375" style="95" customWidth="1"/>
    <col min="4" max="4" width="30.7109375" style="95" customWidth="1"/>
    <col min="5" max="5" width="40.7109375" style="20" customWidth="1"/>
    <col min="6" max="6" width="6.7109375" style="241" customWidth="1"/>
    <col min="7" max="8" width="8.7109375" style="241" customWidth="1"/>
    <col min="9" max="9" width="6.7109375" style="241" customWidth="1"/>
    <col min="10" max="11" width="8.7109375" style="241" customWidth="1"/>
    <col min="12" max="12" width="6.7109375" style="241" customWidth="1"/>
    <col min="13" max="14" width="8.7109375" style="241" customWidth="1"/>
    <col min="15" max="15" width="6.7109375" style="244" customWidth="1"/>
    <col min="16" max="17" width="8.7109375" style="241" customWidth="1"/>
    <col min="18" max="18" width="75.7109375" style="114" customWidth="1"/>
    <col min="19" max="19" width="1.7109375" style="1" customWidth="1"/>
    <col min="20" max="20" width="12.00390625" style="1" customWidth="1"/>
    <col min="21" max="16384" width="9.140625" style="1" customWidth="1"/>
  </cols>
  <sheetData>
    <row r="1" spans="1:20" ht="30" customHeight="1">
      <c r="A1" s="245" t="s">
        <v>199</v>
      </c>
      <c r="B1" s="614" t="s">
        <v>0</v>
      </c>
      <c r="C1" s="615"/>
      <c r="D1" s="615"/>
      <c r="E1" s="630"/>
      <c r="F1" s="627" t="s">
        <v>170</v>
      </c>
      <c r="G1" s="628"/>
      <c r="H1" s="629"/>
      <c r="I1" s="626" t="s">
        <v>171</v>
      </c>
      <c r="J1" s="626"/>
      <c r="K1" s="626"/>
      <c r="L1" s="626" t="s">
        <v>172</v>
      </c>
      <c r="M1" s="626"/>
      <c r="N1" s="626"/>
      <c r="O1" s="635" t="s">
        <v>216</v>
      </c>
      <c r="P1" s="636"/>
      <c r="Q1" s="637"/>
      <c r="R1" s="612" t="s">
        <v>21</v>
      </c>
      <c r="T1" s="115"/>
    </row>
    <row r="2" spans="1:20" s="7" customFormat="1" ht="15" customHeight="1" thickBot="1">
      <c r="A2" s="89" t="s">
        <v>1</v>
      </c>
      <c r="B2" s="90" t="s">
        <v>4</v>
      </c>
      <c r="C2" s="91" t="s">
        <v>5</v>
      </c>
      <c r="D2" s="92" t="s">
        <v>2</v>
      </c>
      <c r="E2" s="92" t="s">
        <v>200</v>
      </c>
      <c r="F2" s="179" t="s">
        <v>3</v>
      </c>
      <c r="G2" s="179" t="s">
        <v>4</v>
      </c>
      <c r="H2" s="179" t="s">
        <v>5</v>
      </c>
      <c r="I2" s="179" t="s">
        <v>3</v>
      </c>
      <c r="J2" s="179" t="s">
        <v>4</v>
      </c>
      <c r="K2" s="179" t="s">
        <v>5</v>
      </c>
      <c r="L2" s="179" t="s">
        <v>3</v>
      </c>
      <c r="M2" s="179" t="s">
        <v>4</v>
      </c>
      <c r="N2" s="179" t="s">
        <v>5</v>
      </c>
      <c r="O2" s="179" t="s">
        <v>3</v>
      </c>
      <c r="P2" s="180" t="s">
        <v>4</v>
      </c>
      <c r="Q2" s="181" t="s">
        <v>5</v>
      </c>
      <c r="R2" s="613"/>
      <c r="S2" s="76"/>
      <c r="T2" s="115"/>
    </row>
    <row r="3" spans="1:19" s="2" customFormat="1" ht="15.75" customHeight="1">
      <c r="A3" s="631" t="str">
        <f>'Components and Space Standards'!A3:E3</f>
        <v>Fitness Spaces</v>
      </c>
      <c r="B3" s="632"/>
      <c r="C3" s="632"/>
      <c r="D3" s="632"/>
      <c r="E3" s="632"/>
      <c r="F3" s="182"/>
      <c r="G3" s="182"/>
      <c r="H3" s="182"/>
      <c r="I3" s="182"/>
      <c r="J3" s="182"/>
      <c r="K3" s="182"/>
      <c r="L3" s="182"/>
      <c r="M3" s="182"/>
      <c r="N3" s="182"/>
      <c r="O3" s="182"/>
      <c r="P3" s="182"/>
      <c r="Q3" s="183"/>
      <c r="R3" s="107"/>
      <c r="S3" s="4"/>
    </row>
    <row r="4" spans="1:18" s="331" customFormat="1" ht="12" customHeight="1">
      <c r="A4" s="184" t="str">
        <f>'Components and Space Standards'!A4</f>
        <v>Lobby/Reception</v>
      </c>
      <c r="B4" s="185"/>
      <c r="C4" s="186"/>
      <c r="D4" s="186"/>
      <c r="E4" s="187"/>
      <c r="F4" s="200"/>
      <c r="G4" s="204"/>
      <c r="H4" s="205"/>
      <c r="I4" s="202"/>
      <c r="J4" s="202"/>
      <c r="K4" s="202"/>
      <c r="L4" s="202"/>
      <c r="M4" s="202"/>
      <c r="N4" s="202"/>
      <c r="O4" s="200"/>
      <c r="P4" s="204"/>
      <c r="Q4" s="329"/>
      <c r="R4" s="330"/>
    </row>
    <row r="5" spans="1:19" s="2" customFormat="1" ht="12" customHeight="1">
      <c r="A5" s="23" t="str">
        <f>'Components and Space Standards'!A5</f>
        <v>Entry Lobby</v>
      </c>
      <c r="B5" s="16">
        <f>'Components and Space Standards'!B5</f>
        <v>9.29</v>
      </c>
      <c r="C5" s="21">
        <f>'Components and Space Standards'!C5</f>
        <v>100</v>
      </c>
      <c r="D5" s="253" t="str">
        <f>'Components and Space Standards'!D5</f>
        <v>Vestibule/Lobby Module(s) (for 2-3 ppl)</v>
      </c>
      <c r="E5" s="22" t="str">
        <f>'Components and Space Standards'!E5</f>
        <v>Vesibule and/or space for 2 to 3 ppl to queue</v>
      </c>
      <c r="F5" s="188">
        <v>1</v>
      </c>
      <c r="G5" s="193">
        <f aca="true" t="shared" si="0" ref="G5:G11">$B5*F5</f>
        <v>9.29</v>
      </c>
      <c r="H5" s="191">
        <f>F5*$C5</f>
        <v>100</v>
      </c>
      <c r="I5" s="191">
        <v>2</v>
      </c>
      <c r="J5" s="193">
        <f>$B5*I5</f>
        <v>18.58</v>
      </c>
      <c r="K5" s="191">
        <f>I5*$C5</f>
        <v>200</v>
      </c>
      <c r="L5" s="191">
        <v>3</v>
      </c>
      <c r="M5" s="193">
        <f>$B5*L5</f>
        <v>27.869999999999997</v>
      </c>
      <c r="N5" s="191">
        <f>L5*$C5</f>
        <v>300</v>
      </c>
      <c r="O5" s="188"/>
      <c r="P5" s="193">
        <f>$B5*O5</f>
        <v>0</v>
      </c>
      <c r="Q5" s="191">
        <f>O5*$C5</f>
        <v>0</v>
      </c>
      <c r="R5" s="118" t="s">
        <v>175</v>
      </c>
      <c r="S5" s="4"/>
    </row>
    <row r="6" spans="1:19" s="2" customFormat="1" ht="12" customHeight="1">
      <c r="A6" s="23" t="str">
        <f>'Components and Space Standards'!A6</f>
        <v>Control Counter</v>
      </c>
      <c r="B6" s="16">
        <f>'Components and Space Standards'!B6</f>
        <v>11.612499999999999</v>
      </c>
      <c r="C6" s="21">
        <f>'Components and Space Standards'!C6</f>
        <v>125</v>
      </c>
      <c r="D6" s="253" t="str">
        <f>'Components and Space Standards'!D6</f>
        <v>Counter Module(s)</v>
      </c>
      <c r="E6" s="22" t="str">
        <f>'Components and Space Standards'!E6</f>
        <v>Space for counter, space behind, space in front</v>
      </c>
      <c r="F6" s="188">
        <v>2</v>
      </c>
      <c r="G6" s="193">
        <f t="shared" si="0"/>
        <v>23.224999999999998</v>
      </c>
      <c r="H6" s="191">
        <f>F6*$C6</f>
        <v>250</v>
      </c>
      <c r="I6" s="191"/>
      <c r="J6" s="193">
        <f>$B6*I6</f>
        <v>0</v>
      </c>
      <c r="K6" s="191">
        <f>I6*$C6</f>
        <v>0</v>
      </c>
      <c r="L6" s="191">
        <v>2</v>
      </c>
      <c r="M6" s="193">
        <f>$B6*L6</f>
        <v>23.224999999999998</v>
      </c>
      <c r="N6" s="191">
        <f>L6*$C6</f>
        <v>250</v>
      </c>
      <c r="O6" s="188"/>
      <c r="P6" s="193">
        <f>$B6*O6</f>
        <v>0</v>
      </c>
      <c r="Q6" s="191">
        <f>O6*$C6</f>
        <v>0</v>
      </c>
      <c r="R6" s="118" t="s">
        <v>122</v>
      </c>
      <c r="S6" s="4"/>
    </row>
    <row r="7" spans="1:19" s="2" customFormat="1" ht="12" customHeight="1">
      <c r="A7" s="23" t="str">
        <f>'Components and Space Standards'!A7</f>
        <v>Equipment issue storage</v>
      </c>
      <c r="B7" s="16">
        <f>'Components and Space Standards'!B7</f>
        <v>16.2575</v>
      </c>
      <c r="C7" s="21">
        <f>'Components and Space Standards'!C7</f>
        <v>175</v>
      </c>
      <c r="D7" s="253" t="str">
        <f>'Components and Space Standards'!D7</f>
        <v>Storage Module(s)</v>
      </c>
      <c r="E7" s="22" t="str">
        <f>'Components and Space Standards'!E7</f>
        <v>Equipment storage at/behind gear issue </v>
      </c>
      <c r="F7" s="188">
        <v>1</v>
      </c>
      <c r="G7" s="193">
        <f t="shared" si="0"/>
        <v>16.2575</v>
      </c>
      <c r="H7" s="191">
        <f>F7*$C7</f>
        <v>175</v>
      </c>
      <c r="I7" s="191"/>
      <c r="J7" s="193">
        <f>$B7*I7</f>
        <v>0</v>
      </c>
      <c r="K7" s="191">
        <f>I7*$C7</f>
        <v>0</v>
      </c>
      <c r="L7" s="191">
        <v>1</v>
      </c>
      <c r="M7" s="193">
        <f>$B7*L7</f>
        <v>16.2575</v>
      </c>
      <c r="N7" s="191">
        <f>L7*$C7</f>
        <v>175</v>
      </c>
      <c r="O7" s="188"/>
      <c r="P7" s="193">
        <f>$B7*O7</f>
        <v>0</v>
      </c>
      <c r="Q7" s="191">
        <f>O7*$C7</f>
        <v>0</v>
      </c>
      <c r="R7" s="118" t="s">
        <v>118</v>
      </c>
      <c r="S7" s="4"/>
    </row>
    <row r="8" spans="1:19" s="2" customFormat="1" ht="12" customHeight="1">
      <c r="A8" s="23" t="str">
        <f>'Components and Space Standards'!A8</f>
        <v>Vending</v>
      </c>
      <c r="B8" s="16">
        <f>'Components and Space Standards'!B8</f>
        <v>1.8579999999999999</v>
      </c>
      <c r="C8" s="21">
        <f>'Components and Space Standards'!C8</f>
        <v>20</v>
      </c>
      <c r="D8" s="253" t="str">
        <f>'Components and Space Standards'!D8</f>
        <v>Vending Machine(s)</v>
      </c>
      <c r="E8" s="22" t="str">
        <f>'Components and Space Standards'!E8</f>
        <v>per vending machine</v>
      </c>
      <c r="F8" s="188">
        <v>2</v>
      </c>
      <c r="G8" s="193">
        <f t="shared" si="0"/>
        <v>3.7159999999999997</v>
      </c>
      <c r="H8" s="191">
        <f>F8*$C8</f>
        <v>40</v>
      </c>
      <c r="I8" s="191"/>
      <c r="J8" s="193">
        <f>$B8*I8</f>
        <v>0</v>
      </c>
      <c r="K8" s="191">
        <f>I8*$C8</f>
        <v>0</v>
      </c>
      <c r="L8" s="191">
        <v>4</v>
      </c>
      <c r="M8" s="193">
        <f>$B8*L8</f>
        <v>7.4319999999999995</v>
      </c>
      <c r="N8" s="191">
        <f>L8*$C8</f>
        <v>80</v>
      </c>
      <c r="O8" s="188"/>
      <c r="P8" s="193">
        <f>$B8*O8</f>
        <v>0</v>
      </c>
      <c r="Q8" s="191">
        <f>O8*$C8</f>
        <v>0</v>
      </c>
      <c r="R8" s="118" t="s">
        <v>121</v>
      </c>
      <c r="S8" s="4"/>
    </row>
    <row r="9" spans="1:19" s="2" customFormat="1" ht="12" customHeight="1">
      <c r="A9" s="23" t="str">
        <f>'Components and Space Standards'!A9</f>
        <v>Waiting/Display</v>
      </c>
      <c r="B9" s="16">
        <f>'Components and Space Standards'!B9</f>
        <v>8.360999999999999</v>
      </c>
      <c r="C9" s="21">
        <f>'Components and Space Standards'!C9</f>
        <v>90</v>
      </c>
      <c r="D9" s="253" t="str">
        <f>'Components and Space Standards'!D9</f>
        <v>Seating/Display Module(s) (for 4 ppl)</v>
      </c>
      <c r="E9" s="22" t="str">
        <f>'Components and Space Standards'!E9</f>
        <v>Space for seating for 4 ppl and display area</v>
      </c>
      <c r="F9" s="188">
        <v>6</v>
      </c>
      <c r="G9" s="193">
        <f t="shared" si="0"/>
        <v>50.166</v>
      </c>
      <c r="H9" s="191">
        <f>F9*$C9</f>
        <v>540</v>
      </c>
      <c r="I9" s="191"/>
      <c r="J9" s="193">
        <f>$B9*I9</f>
        <v>0</v>
      </c>
      <c r="K9" s="191">
        <f>I9*$C9</f>
        <v>0</v>
      </c>
      <c r="L9" s="191">
        <v>12</v>
      </c>
      <c r="M9" s="193">
        <f>$B9*L9</f>
        <v>100.332</v>
      </c>
      <c r="N9" s="191">
        <f>L9*$C9</f>
        <v>1080</v>
      </c>
      <c r="O9" s="188"/>
      <c r="P9" s="193">
        <f>$B9*O9</f>
        <v>0</v>
      </c>
      <c r="Q9" s="191">
        <f>O9*$C9</f>
        <v>0</v>
      </c>
      <c r="R9" s="108" t="s">
        <v>178</v>
      </c>
      <c r="S9" s="4"/>
    </row>
    <row r="10" spans="1:19" s="2" customFormat="1" ht="12" customHeight="1">
      <c r="A10" s="23" t="str">
        <f>'Components and Space Standards'!A10</f>
        <v>Spectator peak-time circulation</v>
      </c>
      <c r="B10" s="16">
        <f>'Components and Space Standards'!B10</f>
        <v>27.869999999999997</v>
      </c>
      <c r="C10" s="21">
        <f>'Components and Space Standards'!C10</f>
        <v>300</v>
      </c>
      <c r="D10" s="253" t="str">
        <f>'Components and Space Standards'!D10</f>
        <v>Circulation Module(s)</v>
      </c>
      <c r="E10" s="22" t="str">
        <f>'Components and Space Standards'!E10</f>
        <v>Per one-side bleachers - driven by gym size</v>
      </c>
      <c r="F10" s="194">
        <v>0</v>
      </c>
      <c r="G10" s="195">
        <f t="shared" si="0"/>
        <v>0</v>
      </c>
      <c r="H10" s="196"/>
      <c r="I10" s="196"/>
      <c r="J10" s="195"/>
      <c r="K10" s="196"/>
      <c r="L10" s="196"/>
      <c r="M10" s="195"/>
      <c r="N10" s="196"/>
      <c r="O10" s="194"/>
      <c r="P10" s="195"/>
      <c r="Q10" s="196"/>
      <c r="R10" s="108" t="s">
        <v>180</v>
      </c>
      <c r="S10" s="4"/>
    </row>
    <row r="11" spans="1:19" s="2" customFormat="1" ht="12" customHeight="1">
      <c r="A11" s="23" t="str">
        <f>'Components and Space Standards'!A11</f>
        <v>Public restrooms/phones</v>
      </c>
      <c r="B11" s="457">
        <f>'Components and Space Standards'!B11</f>
        <v>0</v>
      </c>
      <c r="C11" s="494">
        <f>'Components and Space Standards'!C11</f>
        <v>0</v>
      </c>
      <c r="D11" s="498" t="str">
        <f>'Components and Space Standards'!D11</f>
        <v>Public Restroom(s)</v>
      </c>
      <c r="E11" s="22" t="str">
        <f>'Components and Space Standards'!E11</f>
        <v>Option - Driven by gym size</v>
      </c>
      <c r="F11" s="277"/>
      <c r="G11" s="195">
        <f t="shared" si="0"/>
        <v>0</v>
      </c>
      <c r="H11" s="196"/>
      <c r="I11" s="196"/>
      <c r="J11" s="195"/>
      <c r="K11" s="196"/>
      <c r="L11" s="196"/>
      <c r="M11" s="195"/>
      <c r="N11" s="196"/>
      <c r="O11" s="194"/>
      <c r="P11" s="195"/>
      <c r="Q11" s="196"/>
      <c r="R11" s="108" t="s">
        <v>130</v>
      </c>
      <c r="S11" s="4"/>
    </row>
    <row r="12" spans="1:18" s="331" customFormat="1" ht="12" customHeight="1">
      <c r="A12" s="184" t="str">
        <f>'Components and Space Standards'!A12</f>
        <v>Gymnasium</v>
      </c>
      <c r="B12" s="185"/>
      <c r="C12" s="186"/>
      <c r="D12" s="254"/>
      <c r="E12" s="187"/>
      <c r="F12" s="200"/>
      <c r="G12" s="201"/>
      <c r="H12" s="202"/>
      <c r="I12" s="202"/>
      <c r="J12" s="201"/>
      <c r="K12" s="202"/>
      <c r="L12" s="202"/>
      <c r="M12" s="201"/>
      <c r="N12" s="202"/>
      <c r="O12" s="200"/>
      <c r="P12" s="201"/>
      <c r="Q12" s="202"/>
      <c r="R12" s="330"/>
    </row>
    <row r="13" spans="1:19" s="2" customFormat="1" ht="12" customHeight="1">
      <c r="A13" s="23" t="str">
        <f>'Components and Space Standards'!A13</f>
        <v>Basketball/volleyball Court</v>
      </c>
      <c r="B13" s="16">
        <f>'Components and Space Standards'!B13</f>
        <v>826.0668</v>
      </c>
      <c r="C13" s="21">
        <f>'Components and Space Standards'!C13</f>
        <v>8892</v>
      </c>
      <c r="D13" s="253" t="str">
        <f>'Components and Space Standards'!D13</f>
        <v>One-court/200-seat Module(s)</v>
      </c>
      <c r="E13" s="17" t="str">
        <f>'Components and Space Standards'!E13</f>
        <v>NCAA Court + 10' safety + 200 seats (one side)</v>
      </c>
      <c r="F13" s="188">
        <v>1</v>
      </c>
      <c r="G13" s="193">
        <f aca="true" t="shared" si="1" ref="G13:G18">$B13*F13</f>
        <v>826.0668</v>
      </c>
      <c r="H13" s="191">
        <f aca="true" t="shared" si="2" ref="H13:H18">F13*$C13</f>
        <v>8892</v>
      </c>
      <c r="I13" s="191">
        <v>0</v>
      </c>
      <c r="J13" s="193">
        <f aca="true" t="shared" si="3" ref="J13:J18">$B13*I13</f>
        <v>0</v>
      </c>
      <c r="K13" s="191">
        <f aca="true" t="shared" si="4" ref="K13:K18">I13*$C13</f>
        <v>0</v>
      </c>
      <c r="L13" s="191">
        <v>0</v>
      </c>
      <c r="M13" s="193">
        <f aca="true" t="shared" si="5" ref="M13:M18">$B13*L13</f>
        <v>0</v>
      </c>
      <c r="N13" s="191">
        <f aca="true" t="shared" si="6" ref="N13:N18">L13*$C13</f>
        <v>0</v>
      </c>
      <c r="O13" s="188"/>
      <c r="P13" s="193">
        <f aca="true" t="shared" si="7" ref="P13:P18">$B13*O13</f>
        <v>0</v>
      </c>
      <c r="Q13" s="191">
        <f aca="true" t="shared" si="8" ref="Q13:Q18">O13*$C13</f>
        <v>0</v>
      </c>
      <c r="R13" s="610" t="s">
        <v>70</v>
      </c>
      <c r="S13" s="4"/>
    </row>
    <row r="14" spans="1:19" s="2" customFormat="1" ht="12" customHeight="1">
      <c r="A14" s="293" t="str">
        <f>'Components and Space Standards'!A14</f>
        <v>Two Court Module</v>
      </c>
      <c r="B14" s="16">
        <f>'Components and Space Standards'!B14</f>
        <v>1630.9524</v>
      </c>
      <c r="C14" s="21">
        <f>'Components and Space Standards'!C14</f>
        <v>17556</v>
      </c>
      <c r="D14" s="253" t="str">
        <f>'Components and Space Standards'!D14</f>
        <v>Two-court/200-seat Module(s)</v>
      </c>
      <c r="E14" s="17" t="str">
        <f>'Components and Space Standards'!E14</f>
        <v>Two courts + 10' safety, 16' between cts, + 200 seats</v>
      </c>
      <c r="F14" s="188"/>
      <c r="G14" s="193">
        <f t="shared" si="1"/>
        <v>0</v>
      </c>
      <c r="H14" s="191">
        <f>F14*$C14</f>
        <v>0</v>
      </c>
      <c r="I14" s="191">
        <v>1</v>
      </c>
      <c r="J14" s="193">
        <f t="shared" si="3"/>
        <v>1630.9524</v>
      </c>
      <c r="K14" s="191">
        <f>I14*$C14</f>
        <v>17556</v>
      </c>
      <c r="L14" s="191">
        <v>1</v>
      </c>
      <c r="M14" s="193">
        <f t="shared" si="5"/>
        <v>1630.9524</v>
      </c>
      <c r="N14" s="191">
        <f>L14*$C14</f>
        <v>17556</v>
      </c>
      <c r="O14" s="188"/>
      <c r="P14" s="193">
        <f t="shared" si="7"/>
        <v>0</v>
      </c>
      <c r="Q14" s="191">
        <f>O14*$C14</f>
        <v>0</v>
      </c>
      <c r="R14" s="623"/>
      <c r="S14" s="4"/>
    </row>
    <row r="15" spans="1:19" s="2" customFormat="1" ht="12" customHeight="1">
      <c r="A15" s="293" t="str">
        <f>'Components and Space Standards'!A15</f>
        <v>Arena-style Two-Court Module</v>
      </c>
      <c r="B15" s="16">
        <f>'Components and Space Standards'!B15</f>
        <v>1708.6168</v>
      </c>
      <c r="C15" s="21">
        <f>'Components and Space Standards'!C15</f>
        <v>18392</v>
      </c>
      <c r="D15" s="253" t="str">
        <f>'Components and Space Standards'!D15</f>
        <v>Arena-style Two-Court Module(s)</v>
      </c>
      <c r="E15" s="17" t="str">
        <f>'Components and Space Standards'!E15</f>
        <v>Provides space for arena-style seating for center, longitudinal ct.</v>
      </c>
      <c r="F15" s="188"/>
      <c r="G15" s="193">
        <f t="shared" si="1"/>
        <v>0</v>
      </c>
      <c r="H15" s="191">
        <f>F15*$C15</f>
        <v>0</v>
      </c>
      <c r="I15" s="191"/>
      <c r="J15" s="193">
        <f t="shared" si="3"/>
        <v>0</v>
      </c>
      <c r="K15" s="191">
        <f>I15*$C15</f>
        <v>0</v>
      </c>
      <c r="L15" s="191"/>
      <c r="M15" s="193">
        <f t="shared" si="5"/>
        <v>0</v>
      </c>
      <c r="N15" s="191">
        <f>L15*$C15</f>
        <v>0</v>
      </c>
      <c r="O15" s="188"/>
      <c r="P15" s="193">
        <f t="shared" si="7"/>
        <v>0</v>
      </c>
      <c r="Q15" s="191">
        <f>O15*$C15</f>
        <v>0</v>
      </c>
      <c r="R15" s="623"/>
      <c r="S15" s="4"/>
    </row>
    <row r="16" spans="1:19" s="2" customFormat="1" ht="12" customHeight="1">
      <c r="A16" s="23" t="str">
        <f>'Components and Space Standards'!A16</f>
        <v>Additional Spectator seating</v>
      </c>
      <c r="B16" s="16">
        <f>'Components and Space Standards'!B16</f>
        <v>84.70621999999999</v>
      </c>
      <c r="C16" s="21">
        <f>'Components and Space Standards'!C16</f>
        <v>911.8</v>
      </c>
      <c r="D16" s="253" t="str">
        <f>'Components and Space Standards'!D16</f>
        <v>Additional 200-seat Module(s)</v>
      </c>
      <c r="E16" s="17" t="str">
        <f>'Components and Space Standards'!E16</f>
        <v>Four rows of seats (one ea. side) = 200 ppl.</v>
      </c>
      <c r="F16" s="188">
        <v>1</v>
      </c>
      <c r="G16" s="193">
        <f t="shared" si="1"/>
        <v>84.70621999999999</v>
      </c>
      <c r="H16" s="191">
        <f t="shared" si="2"/>
        <v>911.8</v>
      </c>
      <c r="I16" s="191"/>
      <c r="J16" s="193">
        <f t="shared" si="3"/>
        <v>0</v>
      </c>
      <c r="K16" s="191">
        <f t="shared" si="4"/>
        <v>0</v>
      </c>
      <c r="L16" s="191">
        <v>1</v>
      </c>
      <c r="M16" s="193">
        <f t="shared" si="5"/>
        <v>84.70621999999999</v>
      </c>
      <c r="N16" s="191">
        <f t="shared" si="6"/>
        <v>911.8</v>
      </c>
      <c r="O16" s="188"/>
      <c r="P16" s="193">
        <f t="shared" si="7"/>
        <v>0</v>
      </c>
      <c r="Q16" s="191">
        <f t="shared" si="8"/>
        <v>0</v>
      </c>
      <c r="R16" s="611"/>
      <c r="S16" s="4"/>
    </row>
    <row r="17" spans="1:19" s="2" customFormat="1" ht="12" customHeight="1">
      <c r="A17" s="23" t="str">
        <f>'Components and Space Standards'!A17</f>
        <v>Basic storage/support</v>
      </c>
      <c r="B17" s="16">
        <f>'Components and Space Standards'!B17</f>
        <v>65.03</v>
      </c>
      <c r="C17" s="11">
        <f>'Components and Space Standards'!C17</f>
        <v>700</v>
      </c>
      <c r="D17" s="255" t="str">
        <f>'Components and Space Standards'!D17</f>
        <v>Storage Module(s)</v>
      </c>
      <c r="E17" s="17" t="str">
        <f>'Components and Space Standards'!E17</f>
        <v>Roughly 8% of base gym area</v>
      </c>
      <c r="F17" s="188">
        <v>1</v>
      </c>
      <c r="G17" s="193">
        <f t="shared" si="1"/>
        <v>65.03</v>
      </c>
      <c r="H17" s="191">
        <f t="shared" si="2"/>
        <v>700</v>
      </c>
      <c r="I17" s="191"/>
      <c r="J17" s="193">
        <f t="shared" si="3"/>
        <v>0</v>
      </c>
      <c r="K17" s="191">
        <f t="shared" si="4"/>
        <v>0</v>
      </c>
      <c r="L17" s="280">
        <f>2-1</f>
        <v>1</v>
      </c>
      <c r="M17" s="193">
        <f t="shared" si="5"/>
        <v>65.03</v>
      </c>
      <c r="N17" s="191">
        <f t="shared" si="6"/>
        <v>700</v>
      </c>
      <c r="O17" s="188"/>
      <c r="P17" s="193">
        <f t="shared" si="7"/>
        <v>0</v>
      </c>
      <c r="Q17" s="191">
        <f t="shared" si="8"/>
        <v>0</v>
      </c>
      <c r="R17" s="108"/>
      <c r="S17" s="4"/>
    </row>
    <row r="18" spans="1:19" s="2" customFormat="1" ht="12" customHeight="1">
      <c r="A18" s="23" t="str">
        <f>'Components and Space Standards'!A18</f>
        <v>Additional court storage</v>
      </c>
      <c r="B18" s="16">
        <f>'Components and Space Standards'!B18</f>
        <v>32.515</v>
      </c>
      <c r="C18" s="11">
        <f>'Components and Space Standards'!C18</f>
        <v>350</v>
      </c>
      <c r="D18" s="255" t="str">
        <f>'Components and Space Standards'!D18</f>
        <v>Additional storage module(s)</v>
      </c>
      <c r="E18" s="17" t="str">
        <f>'Components and Space Standards'!E18</f>
        <v>Storage space per additional court</v>
      </c>
      <c r="F18" s="188"/>
      <c r="G18" s="193">
        <f t="shared" si="1"/>
        <v>0</v>
      </c>
      <c r="H18" s="191">
        <f t="shared" si="2"/>
        <v>0</v>
      </c>
      <c r="I18" s="191"/>
      <c r="J18" s="193">
        <f t="shared" si="3"/>
        <v>0</v>
      </c>
      <c r="K18" s="191">
        <f t="shared" si="4"/>
        <v>0</v>
      </c>
      <c r="L18" s="280">
        <f>0+1</f>
        <v>1</v>
      </c>
      <c r="M18" s="193">
        <f t="shared" si="5"/>
        <v>32.515</v>
      </c>
      <c r="N18" s="191">
        <f t="shared" si="6"/>
        <v>350</v>
      </c>
      <c r="O18" s="188"/>
      <c r="P18" s="193">
        <f t="shared" si="7"/>
        <v>0</v>
      </c>
      <c r="Q18" s="191">
        <f t="shared" si="8"/>
        <v>0</v>
      </c>
      <c r="R18" s="108"/>
      <c r="S18" s="4"/>
    </row>
    <row r="19" spans="1:18" s="331" customFormat="1" ht="12" customHeight="1">
      <c r="A19" s="184" t="str">
        <f>'Components and Space Standards'!A19</f>
        <v>Unit PT/Group Exercise</v>
      </c>
      <c r="B19" s="185"/>
      <c r="C19" s="197"/>
      <c r="D19" s="256"/>
      <c r="E19" s="198"/>
      <c r="F19" s="200"/>
      <c r="G19" s="201"/>
      <c r="H19" s="202"/>
      <c r="I19" s="202"/>
      <c r="J19" s="201"/>
      <c r="K19" s="202"/>
      <c r="L19" s="202"/>
      <c r="M19" s="201"/>
      <c r="N19" s="202"/>
      <c r="O19" s="200"/>
      <c r="P19" s="201"/>
      <c r="Q19" s="202"/>
      <c r="R19" s="332"/>
    </row>
    <row r="20" spans="1:19" s="2" customFormat="1" ht="12" customHeight="1">
      <c r="A20" s="23" t="str">
        <f>'Components and Space Standards'!A20</f>
        <v>Partitionable Room(s)</v>
      </c>
      <c r="B20" s="16">
        <f>'Components and Space Standards'!B20</f>
        <v>4.645</v>
      </c>
      <c r="C20" s="11">
        <f>'Components and Space Standards'!C20</f>
        <v>50</v>
      </c>
      <c r="D20" s="255" t="str">
        <f>'Components and Space Standards'!D20</f>
        <v>people at 4.6 m2 (50 ft.2)/person</v>
      </c>
      <c r="E20" s="117" t="str">
        <f>'Components and Space Standards'!E20</f>
        <v>116.1 m2 (1,250 ft.2) (25 ppl) minimum size</v>
      </c>
      <c r="F20" s="188">
        <v>205</v>
      </c>
      <c r="G20" s="193">
        <f>$B20*F20</f>
        <v>952.2249999999999</v>
      </c>
      <c r="H20" s="191">
        <f>F20*$C20</f>
        <v>10250</v>
      </c>
      <c r="I20" s="191">
        <v>300</v>
      </c>
      <c r="J20" s="193">
        <f>$B20*I20</f>
        <v>1393.4999999999998</v>
      </c>
      <c r="K20" s="191">
        <f>I20*$C20</f>
        <v>15000</v>
      </c>
      <c r="L20" s="191">
        <v>400</v>
      </c>
      <c r="M20" s="193">
        <f>$B20*L20</f>
        <v>1857.9999999999998</v>
      </c>
      <c r="N20" s="191">
        <f>L20*$C20</f>
        <v>20000</v>
      </c>
      <c r="O20" s="188"/>
      <c r="P20" s="193">
        <f>$B20*O20</f>
        <v>0</v>
      </c>
      <c r="Q20" s="191">
        <f>O20*$C20</f>
        <v>0</v>
      </c>
      <c r="R20" s="118" t="s">
        <v>75</v>
      </c>
      <c r="S20" s="106"/>
    </row>
    <row r="21" spans="1:19" s="2" customFormat="1" ht="12" customHeight="1">
      <c r="A21" s="23" t="str">
        <f>'Components and Space Standards'!A21</f>
        <v>Storage/support</v>
      </c>
      <c r="B21" s="16">
        <f>'Components and Space Standards'!B21</f>
        <v>0.46449999999999997</v>
      </c>
      <c r="C21" s="11">
        <f>'Components and Space Standards'!C21</f>
        <v>5</v>
      </c>
      <c r="D21" s="255" t="str">
        <f>'Components and Space Standards'!D21</f>
        <v>10% of partitionable room area</v>
      </c>
      <c r="E21" s="117" t="str">
        <f>'Components and Space Standards'!E21</f>
        <v>11.6 m2 (125 ft.2) minimum (10% of room area)</v>
      </c>
      <c r="F21" s="194">
        <f>F20</f>
        <v>205</v>
      </c>
      <c r="G21" s="193">
        <f>$B21*F21</f>
        <v>95.2225</v>
      </c>
      <c r="H21" s="191">
        <f>F21*$C21</f>
        <v>1025</v>
      </c>
      <c r="I21" s="194">
        <f>I20</f>
        <v>300</v>
      </c>
      <c r="J21" s="193">
        <f>$B21*I21</f>
        <v>139.35</v>
      </c>
      <c r="K21" s="191">
        <f>I21*$C21</f>
        <v>1500</v>
      </c>
      <c r="L21" s="194">
        <f>L20</f>
        <v>400</v>
      </c>
      <c r="M21" s="193">
        <f>$B21*L21</f>
        <v>185.79999999999998</v>
      </c>
      <c r="N21" s="191">
        <f>L21*$C21</f>
        <v>2000</v>
      </c>
      <c r="O21" s="194"/>
      <c r="P21" s="193">
        <f>$B21*O21</f>
        <v>0</v>
      </c>
      <c r="Q21" s="191">
        <f>O21*$C21</f>
        <v>0</v>
      </c>
      <c r="R21" s="108"/>
      <c r="S21" s="4"/>
    </row>
    <row r="22" spans="1:18" s="331" customFormat="1" ht="12" customHeight="1">
      <c r="A22" s="184" t="str">
        <f>'Components and Space Standards'!A22</f>
        <v>Fitness Spaces</v>
      </c>
      <c r="B22" s="185"/>
      <c r="C22" s="197"/>
      <c r="D22" s="256"/>
      <c r="E22" s="199"/>
      <c r="F22" s="200"/>
      <c r="G22" s="201"/>
      <c r="H22" s="202"/>
      <c r="I22" s="202"/>
      <c r="J22" s="201"/>
      <c r="K22" s="202"/>
      <c r="L22" s="202"/>
      <c r="M22" s="201"/>
      <c r="N22" s="202"/>
      <c r="O22" s="200"/>
      <c r="P22" s="201"/>
      <c r="Q22" s="202"/>
      <c r="R22" s="330"/>
    </row>
    <row r="23" spans="1:19" s="2" customFormat="1" ht="12" customHeight="1">
      <c r="A23" s="93" t="str">
        <f>'Components and Space Standards'!A23</f>
        <v>Stretching</v>
      </c>
      <c r="B23" s="16">
        <f>'Components and Space Standards'!B23</f>
        <v>4.645</v>
      </c>
      <c r="C23" s="11">
        <f>'Components and Space Standards'!C23</f>
        <v>50</v>
      </c>
      <c r="D23" s="255" t="str">
        <f>'Components and Space Standards'!D23</f>
        <v>people at 4.6 m2 (50 ft.2)/person</v>
      </c>
      <c r="E23" s="17" t="str">
        <f>'Components and Space Standards'!E23</f>
        <v>50 sf per person - min. 2 ppl</v>
      </c>
      <c r="F23" s="188">
        <v>2</v>
      </c>
      <c r="G23" s="193">
        <f>$B23*F23</f>
        <v>9.29</v>
      </c>
      <c r="H23" s="191">
        <f>F23*$C23</f>
        <v>100</v>
      </c>
      <c r="I23" s="191"/>
      <c r="J23" s="193">
        <f>$B23*I23</f>
        <v>0</v>
      </c>
      <c r="K23" s="191">
        <f>I23*$C23</f>
        <v>0</v>
      </c>
      <c r="L23" s="191">
        <v>7</v>
      </c>
      <c r="M23" s="193">
        <f>$B23*L23</f>
        <v>32.515</v>
      </c>
      <c r="N23" s="191">
        <f>L23*$C23</f>
        <v>350</v>
      </c>
      <c r="O23" s="188"/>
      <c r="P23" s="193">
        <f>$B23*O23</f>
        <v>0</v>
      </c>
      <c r="Q23" s="191">
        <f>O23*$C23</f>
        <v>0</v>
      </c>
      <c r="R23" s="610" t="s">
        <v>108</v>
      </c>
      <c r="S23" s="4"/>
    </row>
    <row r="24" spans="1:19" s="2" customFormat="1" ht="12" customHeight="1">
      <c r="A24" s="93" t="str">
        <f>'Components and Space Standards'!A24</f>
        <v>Cardiovascular Equipment</v>
      </c>
      <c r="B24" s="16">
        <f>'Components and Space Standards'!B24</f>
        <v>4.645</v>
      </c>
      <c r="C24" s="11">
        <f>'Components and Space Standards'!C24</f>
        <v>50</v>
      </c>
      <c r="D24" s="255" t="str">
        <f>'Components and Space Standards'!D24</f>
        <v>items at 4.6 m2 (50 ft.2)/item</v>
      </c>
      <c r="E24" s="17" t="str">
        <f>'Components and Space Standards'!E24</f>
        <v>50 sf per station</v>
      </c>
      <c r="F24" s="188">
        <v>10</v>
      </c>
      <c r="G24" s="193">
        <f>$B24*F24</f>
        <v>46.449999999999996</v>
      </c>
      <c r="H24" s="191">
        <f>F24*$C24</f>
        <v>500</v>
      </c>
      <c r="I24" s="191"/>
      <c r="J24" s="193">
        <f>$B24*I24</f>
        <v>0</v>
      </c>
      <c r="K24" s="191">
        <f>I24*$C24</f>
        <v>0</v>
      </c>
      <c r="L24" s="191">
        <v>50</v>
      </c>
      <c r="M24" s="193">
        <f>$B24*L24</f>
        <v>232.24999999999997</v>
      </c>
      <c r="N24" s="191">
        <f>L24*$C24</f>
        <v>2500</v>
      </c>
      <c r="O24" s="188"/>
      <c r="P24" s="193">
        <f>$B24*O24</f>
        <v>0</v>
      </c>
      <c r="Q24" s="191">
        <f>O24*$C24</f>
        <v>0</v>
      </c>
      <c r="R24" s="623"/>
      <c r="S24" s="4"/>
    </row>
    <row r="25" spans="1:19" s="2" customFormat="1" ht="12" customHeight="1">
      <c r="A25" s="23" t="str">
        <f>'Components and Space Standards'!A25</f>
        <v>Selectorized (machine) weights</v>
      </c>
      <c r="B25" s="16">
        <f>'Components and Space Standards'!B25</f>
        <v>4.645</v>
      </c>
      <c r="C25" s="11">
        <f>'Components and Space Standards'!C25</f>
        <v>50</v>
      </c>
      <c r="D25" s="255" t="str">
        <f>'Components and Space Standards'!D25</f>
        <v>items at 4.6 m2 (50 ft.2)/item</v>
      </c>
      <c r="E25" s="17" t="str">
        <f>'Components and Space Standards'!E25</f>
        <v>50 sf per station</v>
      </c>
      <c r="F25" s="188">
        <v>17</v>
      </c>
      <c r="G25" s="193">
        <f>$B25*F25</f>
        <v>78.96499999999999</v>
      </c>
      <c r="H25" s="191">
        <f>F25*$C25</f>
        <v>850</v>
      </c>
      <c r="I25" s="191"/>
      <c r="J25" s="193">
        <f>$B25*I25</f>
        <v>0</v>
      </c>
      <c r="K25" s="191">
        <f>I25*$C25</f>
        <v>0</v>
      </c>
      <c r="L25" s="191">
        <v>45</v>
      </c>
      <c r="M25" s="193">
        <f>$B25*L25</f>
        <v>209.02499999999998</v>
      </c>
      <c r="N25" s="191">
        <f>L25*$C25</f>
        <v>2250</v>
      </c>
      <c r="O25" s="188"/>
      <c r="P25" s="193">
        <f>$B25*O25</f>
        <v>0</v>
      </c>
      <c r="Q25" s="191">
        <f>O25*$C25</f>
        <v>0</v>
      </c>
      <c r="R25" s="623"/>
      <c r="S25" s="4"/>
    </row>
    <row r="26" spans="1:19" s="2" customFormat="1" ht="12" customHeight="1">
      <c r="A26" s="23" t="str">
        <f>'Components and Space Standards'!A26</f>
        <v>Free/Plate-loaded weights</v>
      </c>
      <c r="B26" s="16">
        <f>'Components and Space Standards'!B26</f>
        <v>6.0385</v>
      </c>
      <c r="C26" s="11">
        <f>'Components and Space Standards'!C26</f>
        <v>65</v>
      </c>
      <c r="D26" s="255" t="str">
        <f>'Components and Space Standards'!D26</f>
        <v>stations at 6.0 m2 (65 ft.2)/stations</v>
      </c>
      <c r="E26" s="17" t="str">
        <f>'Components and Space Standards'!E26</f>
        <v>65 sf per station</v>
      </c>
      <c r="F26" s="188">
        <v>17</v>
      </c>
      <c r="G26" s="193">
        <f>$B26*F26</f>
        <v>102.6545</v>
      </c>
      <c r="H26" s="191">
        <f>F26*$C26</f>
        <v>1105</v>
      </c>
      <c r="I26" s="191"/>
      <c r="J26" s="193">
        <f>$B26*I26</f>
        <v>0</v>
      </c>
      <c r="K26" s="191">
        <f>I26*$C26</f>
        <v>0</v>
      </c>
      <c r="L26" s="191">
        <v>34</v>
      </c>
      <c r="M26" s="193">
        <f>$B26*L26</f>
        <v>205.309</v>
      </c>
      <c r="N26" s="191">
        <f>L26*$C26</f>
        <v>2210</v>
      </c>
      <c r="O26" s="188"/>
      <c r="P26" s="193">
        <f>$B26*O26</f>
        <v>0</v>
      </c>
      <c r="Q26" s="191">
        <f>O26*$C26</f>
        <v>0</v>
      </c>
      <c r="R26" s="623"/>
      <c r="S26" s="4"/>
    </row>
    <row r="27" spans="1:19" s="2" customFormat="1" ht="12" customHeight="1">
      <c r="A27" s="23" t="str">
        <f>'Components and Space Standards'!A27</f>
        <v>Finess Program Manager's Office</v>
      </c>
      <c r="B27" s="16">
        <f>'Components and Space Standards'!B27</f>
        <v>11.612499999999999</v>
      </c>
      <c r="C27" s="11">
        <f>'Components and Space Standards'!C27</f>
        <v>125</v>
      </c>
      <c r="D27" s="255" t="str">
        <f>'Components and Space Standards'!D27</f>
        <v>Office</v>
      </c>
      <c r="E27" s="17" t="str">
        <f>'Components and Space Standards'!E27</f>
        <v>Private office that may include fitness testing equipment</v>
      </c>
      <c r="F27" s="188"/>
      <c r="G27" s="193"/>
      <c r="H27" s="191"/>
      <c r="I27" s="191"/>
      <c r="J27" s="193"/>
      <c r="K27" s="191"/>
      <c r="L27" s="191"/>
      <c r="M27" s="193"/>
      <c r="N27" s="191"/>
      <c r="O27" s="188"/>
      <c r="P27" s="193"/>
      <c r="Q27" s="191"/>
      <c r="R27" s="623"/>
      <c r="S27" s="4"/>
    </row>
    <row r="28" spans="1:19" s="2" customFormat="1" ht="12" customHeight="1">
      <c r="A28" s="23" t="str">
        <f>'Components and Space Standards'!A28</f>
        <v>Fitness Assessment Room</v>
      </c>
      <c r="B28" s="16">
        <f>'Components and Space Standards'!B28</f>
        <v>11.612499999999999</v>
      </c>
      <c r="C28" s="11">
        <f>'Components and Space Standards'!C28</f>
        <v>125</v>
      </c>
      <c r="D28" s="255" t="str">
        <f>'Components and Space Standards'!D28</f>
        <v>Office(s)</v>
      </c>
      <c r="E28" s="17" t="str">
        <f>'Components and Space Standards'!E28</f>
        <v>1 piece fitness equip for testing, computer desk, chairs, stretching</v>
      </c>
      <c r="F28" s="188">
        <v>1</v>
      </c>
      <c r="G28" s="193">
        <f>$B28*F28</f>
        <v>11.612499999999999</v>
      </c>
      <c r="H28" s="191">
        <f>F28*$C28</f>
        <v>125</v>
      </c>
      <c r="I28" s="191"/>
      <c r="J28" s="193">
        <f>$B28*I28</f>
        <v>0</v>
      </c>
      <c r="K28" s="191">
        <f>I28*$C28</f>
        <v>0</v>
      </c>
      <c r="L28" s="191">
        <v>1</v>
      </c>
      <c r="M28" s="193">
        <f>$B28*L28</f>
        <v>11.612499999999999</v>
      </c>
      <c r="N28" s="191">
        <f>L28*$C28</f>
        <v>125</v>
      </c>
      <c r="O28" s="188"/>
      <c r="P28" s="193">
        <f>$B28*O28</f>
        <v>0</v>
      </c>
      <c r="Q28" s="191">
        <f>O28*$C28</f>
        <v>0</v>
      </c>
      <c r="R28" s="623"/>
      <c r="S28" s="4"/>
    </row>
    <row r="29" spans="1:18" s="331" customFormat="1" ht="12" customHeight="1">
      <c r="A29" s="184" t="str">
        <f>'Components and Space Standards'!A29</f>
        <v>Structured Activities</v>
      </c>
      <c r="B29" s="185"/>
      <c r="C29" s="197"/>
      <c r="D29" s="256"/>
      <c r="E29" s="199"/>
      <c r="F29" s="200"/>
      <c r="G29" s="201"/>
      <c r="H29" s="202"/>
      <c r="I29" s="202"/>
      <c r="J29" s="201"/>
      <c r="K29" s="202"/>
      <c r="L29" s="202"/>
      <c r="M29" s="201"/>
      <c r="N29" s="202"/>
      <c r="O29" s="200"/>
      <c r="P29" s="201"/>
      <c r="Q29" s="202"/>
      <c r="R29" s="330"/>
    </row>
    <row r="30" spans="1:19" s="2" customFormat="1" ht="12" customHeight="1">
      <c r="A30" s="23" t="str">
        <f>'Components and Space Standards'!A30</f>
        <v>Structured Activity Space</v>
      </c>
      <c r="B30" s="16">
        <f>'Components and Space Standards'!B30</f>
        <v>74.32</v>
      </c>
      <c r="C30" s="11">
        <f>'Components and Space Standards'!C30</f>
        <v>800</v>
      </c>
      <c r="D30" s="255" t="str">
        <f>'Components and Space Standards'!D30</f>
        <v>Flexible space Module(s)</v>
      </c>
      <c r="E30" s="17" t="str">
        <f>'Components and Space Standards'!E30</f>
        <v>Based on size of a single racquetball court</v>
      </c>
      <c r="F30" s="188">
        <v>1</v>
      </c>
      <c r="G30" s="193">
        <f>$B30*F30</f>
        <v>74.32</v>
      </c>
      <c r="H30" s="191">
        <f>F30*$C30</f>
        <v>800</v>
      </c>
      <c r="I30" s="191"/>
      <c r="J30" s="193">
        <f>$B30*I30</f>
        <v>0</v>
      </c>
      <c r="K30" s="191">
        <f>I30*$C30</f>
        <v>0</v>
      </c>
      <c r="L30" s="191">
        <v>2</v>
      </c>
      <c r="M30" s="193">
        <f>$B30*L30</f>
        <v>148.64</v>
      </c>
      <c r="N30" s="191">
        <f>L30*$C30</f>
        <v>1600</v>
      </c>
      <c r="O30" s="188"/>
      <c r="P30" s="193">
        <f>$B30*O30</f>
        <v>0</v>
      </c>
      <c r="Q30" s="191">
        <f>O30*$C30</f>
        <v>0</v>
      </c>
      <c r="R30" s="108" t="s">
        <v>74</v>
      </c>
      <c r="S30" s="4"/>
    </row>
    <row r="31" spans="1:19" s="2" customFormat="1" ht="12" customHeight="1">
      <c r="A31" s="23" t="str">
        <f>'Components and Space Standards'!A31</f>
        <v>Racquetball Courts</v>
      </c>
      <c r="B31" s="16">
        <f>'Components and Space Standards'!B31</f>
        <v>74.32</v>
      </c>
      <c r="C31" s="11">
        <f>'Components and Space Standards'!C31</f>
        <v>800</v>
      </c>
      <c r="D31" s="255" t="str">
        <f>'Components and Space Standards'!D31</f>
        <v>Racquetball Court(s)</v>
      </c>
      <c r="E31" s="17" t="str">
        <f>'Components and Space Standards'!E31</f>
        <v>Single court size. Minimum of two courts</v>
      </c>
      <c r="F31" s="188">
        <v>2</v>
      </c>
      <c r="G31" s="193">
        <f>$B31*F31</f>
        <v>148.64</v>
      </c>
      <c r="H31" s="191">
        <f>F31*$C31</f>
        <v>1600</v>
      </c>
      <c r="I31" s="191"/>
      <c r="J31" s="193">
        <f>$B31*I31</f>
        <v>0</v>
      </c>
      <c r="K31" s="191">
        <f>I31*$C31</f>
        <v>0</v>
      </c>
      <c r="L31" s="191">
        <v>4</v>
      </c>
      <c r="M31" s="193">
        <f>$B31*L31</f>
        <v>297.28</v>
      </c>
      <c r="N31" s="191">
        <f>L31*$C31</f>
        <v>3200</v>
      </c>
      <c r="O31" s="188"/>
      <c r="P31" s="193">
        <f>$B31*O31</f>
        <v>0</v>
      </c>
      <c r="Q31" s="191">
        <f>O31*$C31</f>
        <v>0</v>
      </c>
      <c r="R31" s="108"/>
      <c r="S31" s="4"/>
    </row>
    <row r="32" spans="1:19" s="2" customFormat="1" ht="12" customHeight="1">
      <c r="A32" s="23" t="str">
        <f>'Components and Space Standards'!A34</f>
        <v>Spectator/officiating (MC Option)</v>
      </c>
      <c r="B32" s="16">
        <f>'Components and Space Standards'!B34</f>
        <v>18.58</v>
      </c>
      <c r="C32" s="11">
        <f>'Components and Space Standards'!C34</f>
        <v>200</v>
      </c>
      <c r="D32" s="255" t="str">
        <f>'Components and Space Standards'!D34</f>
        <v>Spectator/officiating Module(s)</v>
      </c>
      <c r="E32" s="17" t="str">
        <f>'Components and Space Standards'!E34</f>
        <v>Two rows of 10 seats for one ct. Max of two cts (400 sf)</v>
      </c>
      <c r="F32" s="188">
        <v>1</v>
      </c>
      <c r="G32" s="193">
        <f>$B32*F32</f>
        <v>18.58</v>
      </c>
      <c r="H32" s="191">
        <f>F32*$C32</f>
        <v>200</v>
      </c>
      <c r="I32" s="191"/>
      <c r="J32" s="193">
        <f>$B32*I32</f>
        <v>0</v>
      </c>
      <c r="K32" s="191">
        <f>I32*$C32</f>
        <v>0</v>
      </c>
      <c r="L32" s="191">
        <v>2</v>
      </c>
      <c r="M32" s="193">
        <f>$B32*L32</f>
        <v>37.16</v>
      </c>
      <c r="N32" s="191">
        <f>L32*$C32</f>
        <v>400</v>
      </c>
      <c r="O32" s="188"/>
      <c r="P32" s="193">
        <f>$B32*O32</f>
        <v>0</v>
      </c>
      <c r="Q32" s="191">
        <f>O32*$C32</f>
        <v>0</v>
      </c>
      <c r="R32" s="108"/>
      <c r="S32" s="4"/>
    </row>
    <row r="33" spans="1:19" s="2" customFormat="1" ht="12" customHeight="1">
      <c r="A33" s="23" t="str">
        <f>'Components and Space Standards'!A35</f>
        <v>Structured activity storage</v>
      </c>
      <c r="B33" s="16">
        <f>'Components and Space Standards'!B35</f>
        <v>7.4319999999999995</v>
      </c>
      <c r="C33" s="11">
        <f>'Components and Space Standards'!C35</f>
        <v>80</v>
      </c>
      <c r="D33" s="255" t="str">
        <f>'Components and Space Standards'!D35</f>
        <v>10% of Structured Activity Space</v>
      </c>
      <c r="E33" s="17" t="str">
        <f>'Components and Space Standards'!E35</f>
        <v>Based on Structured activity space (10% of room area)</v>
      </c>
      <c r="F33" s="188"/>
      <c r="G33" s="193"/>
      <c r="H33" s="191"/>
      <c r="I33" s="191"/>
      <c r="J33" s="193"/>
      <c r="K33" s="191"/>
      <c r="L33" s="191"/>
      <c r="M33" s="193"/>
      <c r="N33" s="191"/>
      <c r="O33" s="188"/>
      <c r="P33" s="193"/>
      <c r="Q33" s="191"/>
      <c r="R33" s="357"/>
      <c r="S33" s="4"/>
    </row>
    <row r="34" spans="1:18" s="331" customFormat="1" ht="12" customHeight="1">
      <c r="A34" s="184" t="str">
        <f>'Components and Space Standards'!A36</f>
        <v>Locker Rooms</v>
      </c>
      <c r="B34" s="203"/>
      <c r="C34" s="185"/>
      <c r="D34" s="257"/>
      <c r="E34" s="185"/>
      <c r="F34" s="200"/>
      <c r="G34" s="201"/>
      <c r="H34" s="202"/>
      <c r="I34" s="202"/>
      <c r="J34" s="201"/>
      <c r="K34" s="202"/>
      <c r="L34" s="202"/>
      <c r="M34" s="201"/>
      <c r="N34" s="202"/>
      <c r="O34" s="200"/>
      <c r="P34" s="201"/>
      <c r="Q34" s="202"/>
      <c r="R34" s="610" t="s">
        <v>184</v>
      </c>
    </row>
    <row r="35" spans="1:19" s="2" customFormat="1" ht="12" customHeight="1">
      <c r="A35" s="93" t="str">
        <f>'Components and Space Standards'!A37</f>
        <v>Men's Locker Room</v>
      </c>
      <c r="B35" s="16">
        <f>'Components and Space Standards'!B37</f>
        <v>0</v>
      </c>
      <c r="C35" s="11">
        <f>'Components and Space Standards'!C37</f>
        <v>0</v>
      </c>
      <c r="D35" s="255">
        <f>'Components and Space Standards'!D37</f>
        <v>0</v>
      </c>
      <c r="E35" s="17">
        <f>'Components and Space Standards'!E37</f>
        <v>0</v>
      </c>
      <c r="F35" s="188"/>
      <c r="G35" s="193">
        <f aca="true" t="shared" si="9" ref="G35:G42">$B35*F35</f>
        <v>0</v>
      </c>
      <c r="H35" s="191">
        <f aca="true" t="shared" si="10" ref="H35:H42">F35*$C35</f>
        <v>0</v>
      </c>
      <c r="I35" s="191"/>
      <c r="J35" s="193">
        <f aca="true" t="shared" si="11" ref="J35:J42">$B35*I35</f>
        <v>0</v>
      </c>
      <c r="K35" s="191">
        <f aca="true" t="shared" si="12" ref="K35:K42">I35*$C35</f>
        <v>0</v>
      </c>
      <c r="L35" s="191"/>
      <c r="M35" s="193">
        <f aca="true" t="shared" si="13" ref="M35:M42">$B35*L35</f>
        <v>0</v>
      </c>
      <c r="N35" s="191">
        <f aca="true" t="shared" si="14" ref="N35:N42">L35*$C35</f>
        <v>0</v>
      </c>
      <c r="O35" s="188"/>
      <c r="P35" s="193">
        <f aca="true" t="shared" si="15" ref="P35:P42">$B35*O35</f>
        <v>0</v>
      </c>
      <c r="Q35" s="191">
        <f aca="true" t="shared" si="16" ref="Q35:Q42">O35*$C35</f>
        <v>0</v>
      </c>
      <c r="R35" s="611"/>
      <c r="S35" s="4"/>
    </row>
    <row r="36" spans="1:19" s="2" customFormat="1" ht="12" customHeight="1">
      <c r="A36" s="102" t="str">
        <f>'Components and Space Standards'!A38</f>
        <v>Locker/changing area</v>
      </c>
      <c r="B36" s="16">
        <f>'Components and Space Standards'!B38</f>
        <v>0.7432</v>
      </c>
      <c r="C36" s="11">
        <f>'Components and Space Standards'!C38</f>
        <v>8</v>
      </c>
      <c r="D36" s="255" t="str">
        <f>'Components and Space Standards'!D38</f>
        <v>Lockers</v>
      </c>
      <c r="E36" s="17" t="str">
        <f>'Components and Space Standards'!E38</f>
        <v>Per slot (2 double lockers or 1 single locker)</v>
      </c>
      <c r="F36" s="194">
        <v>175</v>
      </c>
      <c r="G36" s="195">
        <f t="shared" si="9"/>
        <v>130.06</v>
      </c>
      <c r="H36" s="196">
        <f t="shared" si="10"/>
        <v>1400</v>
      </c>
      <c r="I36" s="196"/>
      <c r="J36" s="195">
        <f t="shared" si="11"/>
        <v>0</v>
      </c>
      <c r="K36" s="196">
        <f t="shared" si="12"/>
        <v>0</v>
      </c>
      <c r="L36" s="196">
        <v>382</v>
      </c>
      <c r="M36" s="195">
        <f t="shared" si="13"/>
        <v>283.9024</v>
      </c>
      <c r="N36" s="196">
        <f t="shared" si="14"/>
        <v>3056</v>
      </c>
      <c r="O36" s="194"/>
      <c r="P36" s="195">
        <f t="shared" si="15"/>
        <v>0</v>
      </c>
      <c r="Q36" s="196">
        <f t="shared" si="16"/>
        <v>0</v>
      </c>
      <c r="R36" s="118" t="s">
        <v>186</v>
      </c>
      <c r="S36" s="4"/>
    </row>
    <row r="37" spans="1:19" s="2" customFormat="1" ht="12" customHeight="1">
      <c r="A37" s="102" t="str">
        <f>'Components and Space Standards'!A39</f>
        <v>Shower/drying area</v>
      </c>
      <c r="B37" s="16">
        <f>'Components and Space Standards'!B39</f>
        <v>2.787</v>
      </c>
      <c r="C37" s="11">
        <f>'Components and Space Standards'!C39</f>
        <v>30</v>
      </c>
      <c r="D37" s="255" t="str">
        <f>'Components and Space Standards'!D39</f>
        <v>Showers</v>
      </c>
      <c r="E37" s="17" t="str">
        <f>'Components and Space Standards'!E39</f>
        <v>Per shower &amp; integral drying area at 22 lockers/shower</v>
      </c>
      <c r="F37" s="194">
        <v>9</v>
      </c>
      <c r="G37" s="195">
        <f t="shared" si="9"/>
        <v>25.083</v>
      </c>
      <c r="H37" s="196">
        <f t="shared" si="10"/>
        <v>270</v>
      </c>
      <c r="I37" s="196"/>
      <c r="J37" s="195">
        <f t="shared" si="11"/>
        <v>0</v>
      </c>
      <c r="K37" s="196">
        <f t="shared" si="12"/>
        <v>0</v>
      </c>
      <c r="L37" s="196">
        <v>19</v>
      </c>
      <c r="M37" s="195">
        <f t="shared" si="13"/>
        <v>52.952999999999996</v>
      </c>
      <c r="N37" s="196">
        <f t="shared" si="14"/>
        <v>570</v>
      </c>
      <c r="O37" s="194"/>
      <c r="P37" s="195">
        <f t="shared" si="15"/>
        <v>0</v>
      </c>
      <c r="Q37" s="196">
        <f t="shared" si="16"/>
        <v>0</v>
      </c>
      <c r="R37" s="118"/>
      <c r="S37" s="4"/>
    </row>
    <row r="38" spans="1:19" s="2" customFormat="1" ht="12" customHeight="1">
      <c r="A38" s="102" t="str">
        <f>'Components and Space Standards'!A40</f>
        <v>Toilet area</v>
      </c>
      <c r="B38" s="16">
        <f>'Components and Space Standards'!B40</f>
        <v>4.180499999999999</v>
      </c>
      <c r="C38" s="11">
        <f>'Components and Space Standards'!C40</f>
        <v>45</v>
      </c>
      <c r="D38" s="255" t="str">
        <f>'Components and Space Standards'!D40</f>
        <v>Water closets/lavatory modules</v>
      </c>
      <c r="E38" s="17" t="str">
        <f>'Components and Space Standards'!E40</f>
        <v>Per wc and lav. at 30 lockers per wc/lav</v>
      </c>
      <c r="F38" s="194">
        <v>6</v>
      </c>
      <c r="G38" s="195">
        <f t="shared" si="9"/>
        <v>25.083</v>
      </c>
      <c r="H38" s="196">
        <f t="shared" si="10"/>
        <v>270</v>
      </c>
      <c r="I38" s="196"/>
      <c r="J38" s="195">
        <f t="shared" si="11"/>
        <v>0</v>
      </c>
      <c r="K38" s="196">
        <f t="shared" si="12"/>
        <v>0</v>
      </c>
      <c r="L38" s="196">
        <v>13</v>
      </c>
      <c r="M38" s="195">
        <f t="shared" si="13"/>
        <v>54.34649999999999</v>
      </c>
      <c r="N38" s="196">
        <f t="shared" si="14"/>
        <v>585</v>
      </c>
      <c r="O38" s="194"/>
      <c r="P38" s="195">
        <f t="shared" si="15"/>
        <v>0</v>
      </c>
      <c r="Q38" s="196">
        <f t="shared" si="16"/>
        <v>0</v>
      </c>
      <c r="R38" s="118" t="s">
        <v>189</v>
      </c>
      <c r="S38" s="4"/>
    </row>
    <row r="39" spans="1:19" s="2" customFormat="1" ht="12" customHeight="1">
      <c r="A39" s="93" t="str">
        <f>'Components and Space Standards'!A41</f>
        <v>Women's Locker Room</v>
      </c>
      <c r="B39" s="16">
        <f>'Components and Space Standards'!B41</f>
        <v>0</v>
      </c>
      <c r="C39" s="11">
        <f>'Components and Space Standards'!C41</f>
        <v>0</v>
      </c>
      <c r="D39" s="255">
        <f>'Components and Space Standards'!D41</f>
        <v>0</v>
      </c>
      <c r="E39" s="17">
        <f>'Components and Space Standards'!E41</f>
        <v>0</v>
      </c>
      <c r="F39" s="194"/>
      <c r="G39" s="195">
        <f t="shared" si="9"/>
        <v>0</v>
      </c>
      <c r="H39" s="196">
        <f t="shared" si="10"/>
        <v>0</v>
      </c>
      <c r="I39" s="196"/>
      <c r="J39" s="195">
        <f t="shared" si="11"/>
        <v>0</v>
      </c>
      <c r="K39" s="196">
        <f t="shared" si="12"/>
        <v>0</v>
      </c>
      <c r="L39" s="196"/>
      <c r="M39" s="195">
        <f t="shared" si="13"/>
        <v>0</v>
      </c>
      <c r="N39" s="196">
        <f t="shared" si="14"/>
        <v>0</v>
      </c>
      <c r="O39" s="194"/>
      <c r="P39" s="195">
        <f t="shared" si="15"/>
        <v>0</v>
      </c>
      <c r="Q39" s="196">
        <f t="shared" si="16"/>
        <v>0</v>
      </c>
      <c r="R39" s="118"/>
      <c r="S39" s="4"/>
    </row>
    <row r="40" spans="1:19" s="2" customFormat="1" ht="12" customHeight="1">
      <c r="A40" s="102" t="str">
        <f>'Components and Space Standards'!A42</f>
        <v>Locker/changing area</v>
      </c>
      <c r="B40" s="16">
        <f>'Components and Space Standards'!B42</f>
        <v>0.7432</v>
      </c>
      <c r="C40" s="11">
        <f>'Components and Space Standards'!C42</f>
        <v>8</v>
      </c>
      <c r="D40" s="255" t="str">
        <f>'Components and Space Standards'!D42</f>
        <v>Lockers</v>
      </c>
      <c r="E40" s="17" t="str">
        <f>'Components and Space Standards'!E42</f>
        <v>Per slot (2 double lockers or 1 single locker)</v>
      </c>
      <c r="F40" s="194">
        <v>143</v>
      </c>
      <c r="G40" s="195">
        <f t="shared" si="9"/>
        <v>106.27759999999999</v>
      </c>
      <c r="H40" s="196">
        <f t="shared" si="10"/>
        <v>1144</v>
      </c>
      <c r="I40" s="196"/>
      <c r="J40" s="195">
        <f t="shared" si="11"/>
        <v>0</v>
      </c>
      <c r="K40" s="196">
        <f t="shared" si="12"/>
        <v>0</v>
      </c>
      <c r="L40" s="196">
        <v>313</v>
      </c>
      <c r="M40" s="195">
        <f t="shared" si="13"/>
        <v>232.6216</v>
      </c>
      <c r="N40" s="196">
        <f t="shared" si="14"/>
        <v>2504</v>
      </c>
      <c r="O40" s="194"/>
      <c r="P40" s="195">
        <f t="shared" si="15"/>
        <v>0</v>
      </c>
      <c r="Q40" s="196">
        <f t="shared" si="16"/>
        <v>0</v>
      </c>
      <c r="R40" s="118"/>
      <c r="S40" s="4"/>
    </row>
    <row r="41" spans="1:19" s="2" customFormat="1" ht="12" customHeight="1">
      <c r="A41" s="102" t="str">
        <f>'Components and Space Standards'!A43</f>
        <v>Shower/drying area</v>
      </c>
      <c r="B41" s="16">
        <f>'Components and Space Standards'!B43</f>
        <v>2.787</v>
      </c>
      <c r="C41" s="11">
        <f>'Components and Space Standards'!C43</f>
        <v>30</v>
      </c>
      <c r="D41" s="255" t="str">
        <f>'Components and Space Standards'!D43</f>
        <v>Showers</v>
      </c>
      <c r="E41" s="17" t="str">
        <f>'Components and Space Standards'!E43</f>
        <v>Per shower &amp; integral drying area at 22 lockers/shower</v>
      </c>
      <c r="F41" s="194">
        <v>7</v>
      </c>
      <c r="G41" s="195">
        <f t="shared" si="9"/>
        <v>19.509</v>
      </c>
      <c r="H41" s="196">
        <f t="shared" si="10"/>
        <v>210</v>
      </c>
      <c r="I41" s="196"/>
      <c r="J41" s="195">
        <f t="shared" si="11"/>
        <v>0</v>
      </c>
      <c r="K41" s="196">
        <f t="shared" si="12"/>
        <v>0</v>
      </c>
      <c r="L41" s="196">
        <v>16</v>
      </c>
      <c r="M41" s="195">
        <f t="shared" si="13"/>
        <v>44.592</v>
      </c>
      <c r="N41" s="196">
        <f t="shared" si="14"/>
        <v>480</v>
      </c>
      <c r="O41" s="194"/>
      <c r="P41" s="195">
        <f t="shared" si="15"/>
        <v>0</v>
      </c>
      <c r="Q41" s="196">
        <f t="shared" si="16"/>
        <v>0</v>
      </c>
      <c r="R41" s="118"/>
      <c r="S41" s="4"/>
    </row>
    <row r="42" spans="1:19" s="2" customFormat="1" ht="12" customHeight="1">
      <c r="A42" s="102" t="str">
        <f>'Components and Space Standards'!A44</f>
        <v>Toilet area</v>
      </c>
      <c r="B42" s="16">
        <f>'Components and Space Standards'!B44</f>
        <v>4.180499999999999</v>
      </c>
      <c r="C42" s="11">
        <f>'Components and Space Standards'!C44</f>
        <v>45</v>
      </c>
      <c r="D42" s="255" t="str">
        <f>'Components and Space Standards'!D44</f>
        <v>Water closets/lavatory modules</v>
      </c>
      <c r="E42" s="17" t="str">
        <f>'Components and Space Standards'!E44</f>
        <v>per wc and lav. at 20 lockers per wc/lav</v>
      </c>
      <c r="F42" s="194">
        <v>5</v>
      </c>
      <c r="G42" s="195">
        <f t="shared" si="9"/>
        <v>20.902499999999996</v>
      </c>
      <c r="H42" s="196">
        <f t="shared" si="10"/>
        <v>225</v>
      </c>
      <c r="I42" s="196"/>
      <c r="J42" s="195">
        <f t="shared" si="11"/>
        <v>0</v>
      </c>
      <c r="K42" s="196">
        <f t="shared" si="12"/>
        <v>0</v>
      </c>
      <c r="L42" s="196">
        <v>10</v>
      </c>
      <c r="M42" s="195">
        <f t="shared" si="13"/>
        <v>41.80499999999999</v>
      </c>
      <c r="N42" s="196">
        <f t="shared" si="14"/>
        <v>450</v>
      </c>
      <c r="O42" s="194"/>
      <c r="P42" s="195">
        <f t="shared" si="15"/>
        <v>0</v>
      </c>
      <c r="Q42" s="196">
        <f t="shared" si="16"/>
        <v>0</v>
      </c>
      <c r="R42" s="118" t="s">
        <v>191</v>
      </c>
      <c r="S42" s="4"/>
    </row>
    <row r="43" spans="1:19" s="2" customFormat="1" ht="12" customHeight="1">
      <c r="A43" s="93" t="str">
        <f>'Components and Space Standards'!A45</f>
        <v>Sauna, cool-down area</v>
      </c>
      <c r="B43" s="16">
        <f>'Components and Space Standards'!B45</f>
        <v>0</v>
      </c>
      <c r="C43" s="104">
        <f>'Components and Space Standards'!C45</f>
        <v>0</v>
      </c>
      <c r="D43" s="258" t="str">
        <f>'Components and Space Standards'!D45</f>
        <v>M/F (2) Saunas/cool-down area</v>
      </c>
      <c r="E43" s="17" t="str">
        <f>'Components and Space Standards'!E45</f>
        <v>small = 6 ppl, med = 8-9, lg = 12 ppl (+ cool down space)</v>
      </c>
      <c r="F43" s="188"/>
      <c r="G43" s="195"/>
      <c r="H43" s="196"/>
      <c r="I43" s="188"/>
      <c r="J43" s="195"/>
      <c r="K43" s="196"/>
      <c r="L43" s="188"/>
      <c r="M43" s="195"/>
      <c r="N43" s="196"/>
      <c r="O43" s="188"/>
      <c r="P43" s="195"/>
      <c r="Q43" s="196"/>
      <c r="R43" s="118"/>
      <c r="S43" s="4"/>
    </row>
    <row r="44" spans="1:19" s="2" customFormat="1" ht="12" customHeight="1">
      <c r="A44" s="93" t="str">
        <f>'Components and Space Standards'!A46</f>
        <v>Steam Room, cool-down area</v>
      </c>
      <c r="B44" s="16">
        <f>'Components and Space Standards'!B46</f>
        <v>0</v>
      </c>
      <c r="C44" s="104">
        <f>'Components and Space Standards'!C46</f>
        <v>0</v>
      </c>
      <c r="D44" s="258" t="str">
        <f>'Components and Space Standards'!D46</f>
        <v>M/F (2) Steam Rooms/cool-down area</v>
      </c>
      <c r="E44" s="17" t="str">
        <f>'Components and Space Standards'!E46</f>
        <v>small = 6-7 ppl, med = 8-9, lg = 12-14 (+ cool down space)</v>
      </c>
      <c r="F44" s="188"/>
      <c r="G44" s="195"/>
      <c r="H44" s="196"/>
      <c r="I44" s="188"/>
      <c r="J44" s="195"/>
      <c r="K44" s="196"/>
      <c r="L44" s="188"/>
      <c r="M44" s="195"/>
      <c r="N44" s="196"/>
      <c r="O44" s="188"/>
      <c r="P44" s="195"/>
      <c r="Q44" s="196"/>
      <c r="R44" s="118"/>
      <c r="S44" s="4"/>
    </row>
    <row r="45" spans="1:19" s="2" customFormat="1" ht="12" customHeight="1">
      <c r="A45" s="93" t="str">
        <f>'Components and Space Standards'!A47</f>
        <v>Hot Tub</v>
      </c>
      <c r="B45" s="16">
        <f>'Components and Space Standards'!B47</f>
        <v>0</v>
      </c>
      <c r="C45" s="104">
        <f>'Components and Space Standards'!C47</f>
        <v>0</v>
      </c>
      <c r="D45" s="258" t="str">
        <f>'Components and Space Standards'!D47</f>
        <v>Unisex Hot Tub</v>
      </c>
      <c r="E45" s="17" t="str">
        <f>'Components and Space Standards'!E47</f>
        <v>small = 5 ppl, med = 8, lg = 12-14 ppl</v>
      </c>
      <c r="F45" s="188"/>
      <c r="G45" s="195"/>
      <c r="H45" s="196"/>
      <c r="I45" s="188"/>
      <c r="J45" s="195"/>
      <c r="K45" s="196"/>
      <c r="L45" s="188"/>
      <c r="M45" s="195"/>
      <c r="N45" s="196"/>
      <c r="O45" s="188"/>
      <c r="P45" s="195"/>
      <c r="Q45" s="196"/>
      <c r="R45" s="118"/>
      <c r="S45" s="4"/>
    </row>
    <row r="46" spans="1:18" s="331" customFormat="1" ht="12" customHeight="1">
      <c r="A46" s="184" t="str">
        <f>'Components and Space Standards'!A48</f>
        <v>Support Areas</v>
      </c>
      <c r="B46" s="185"/>
      <c r="C46" s="197"/>
      <c r="D46" s="256"/>
      <c r="E46" s="199"/>
      <c r="F46" s="200"/>
      <c r="G46" s="204"/>
      <c r="H46" s="205"/>
      <c r="I46" s="205"/>
      <c r="J46" s="205"/>
      <c r="K46" s="205"/>
      <c r="L46" s="205"/>
      <c r="M46" s="205"/>
      <c r="N46" s="205"/>
      <c r="O46" s="200"/>
      <c r="P46" s="204"/>
      <c r="Q46" s="329"/>
      <c r="R46" s="330"/>
    </row>
    <row r="47" spans="1:19" s="2" customFormat="1" ht="12" customHeight="1">
      <c r="A47" s="23" t="str">
        <f>'Components and Space Standards'!A49</f>
        <v>Laundry</v>
      </c>
      <c r="B47" s="16">
        <f>'Components and Space Standards'!B49</f>
        <v>18.58</v>
      </c>
      <c r="C47" s="11">
        <f>'Components and Space Standards'!C49</f>
        <v>200</v>
      </c>
      <c r="D47" s="255" t="str">
        <f>'Components and Space Standards'!D49</f>
        <v>Laundry Room</v>
      </c>
      <c r="E47" s="17" t="str">
        <f>'Components and Space Standards'!E49</f>
        <v>Per one-washer/two-dryer room</v>
      </c>
      <c r="F47" s="188">
        <v>1</v>
      </c>
      <c r="G47" s="206"/>
      <c r="H47" s="207"/>
      <c r="I47" s="190">
        <v>2</v>
      </c>
      <c r="J47" s="207"/>
      <c r="K47" s="207"/>
      <c r="L47" s="190">
        <v>3</v>
      </c>
      <c r="M47" s="207"/>
      <c r="N47" s="207"/>
      <c r="O47" s="188"/>
      <c r="P47" s="206"/>
      <c r="Q47" s="208"/>
      <c r="R47" s="116" t="s">
        <v>192</v>
      </c>
      <c r="S47" s="4"/>
    </row>
    <row r="48" spans="1:19" s="2" customFormat="1" ht="12" customHeight="1">
      <c r="A48" s="105" t="str">
        <f>'Components and Space Standards'!A50</f>
        <v>Equipment repair and receiving</v>
      </c>
      <c r="B48" s="16">
        <f>'Components and Space Standards'!B50</f>
        <v>0</v>
      </c>
      <c r="C48" s="209">
        <f>'Components and Space Standards'!C50</f>
        <v>0</v>
      </c>
      <c r="D48" s="259" t="str">
        <f>'Components and Space Standards'!D50</f>
        <v>Repair/receiving Room</v>
      </c>
      <c r="E48" s="101" t="str">
        <f>'Components and Space Standards'!E50</f>
        <v>Fixed receiving area + variable repair (10% of Fitness)</v>
      </c>
      <c r="F48" s="194"/>
      <c r="G48" s="206"/>
      <c r="H48" s="207"/>
      <c r="I48" s="207"/>
      <c r="J48" s="207"/>
      <c r="K48" s="207"/>
      <c r="L48" s="207"/>
      <c r="M48" s="207"/>
      <c r="N48" s="207"/>
      <c r="O48" s="194"/>
      <c r="P48" s="206"/>
      <c r="Q48" s="208"/>
      <c r="R48" s="610" t="s">
        <v>131</v>
      </c>
      <c r="S48" s="4"/>
    </row>
    <row r="49" spans="1:19" s="2" customFormat="1" ht="12" customHeight="1">
      <c r="A49" s="105" t="str">
        <f>'Components and Space Standards'!A51</f>
        <v>Storage</v>
      </c>
      <c r="B49" s="16">
        <f>'Components and Space Standards'!B51</f>
        <v>0</v>
      </c>
      <c r="C49" s="209">
        <f>'Components and Space Standards'!C51</f>
        <v>0</v>
      </c>
      <c r="D49" s="259" t="str">
        <f>'Components and Space Standards'!D51</f>
        <v>Storage Room</v>
      </c>
      <c r="E49" s="101" t="str">
        <f>'Components and Space Standards'!E51</f>
        <v>Variable lockable storage room (5% of fitness)</v>
      </c>
      <c r="F49" s="194"/>
      <c r="G49" s="206"/>
      <c r="H49" s="207"/>
      <c r="I49" s="207"/>
      <c r="J49" s="207"/>
      <c r="K49" s="207"/>
      <c r="L49" s="207"/>
      <c r="M49" s="207"/>
      <c r="N49" s="207"/>
      <c r="O49" s="194"/>
      <c r="P49" s="206"/>
      <c r="Q49" s="208"/>
      <c r="R49" s="611"/>
      <c r="S49" s="4"/>
    </row>
    <row r="50" spans="1:19" s="2" customFormat="1" ht="12" customHeight="1">
      <c r="A50" s="105" t="str">
        <f>'Components and Space Standards'!A52</f>
        <v>Additional Programmatic Storage</v>
      </c>
      <c r="B50" s="16">
        <f>'Components and Space Standards'!B52</f>
        <v>0</v>
      </c>
      <c r="C50" s="209">
        <f>'Components and Space Standards'!C52</f>
        <v>0</v>
      </c>
      <c r="D50" s="259" t="str">
        <f>'Components and Space Standards'!D52</f>
        <v> sf  Additional Storage</v>
      </c>
      <c r="E50" s="101" t="str">
        <f>'Components and Space Standards'!E52</f>
        <v>To be filled-in by programmer and justified based on item stored.</v>
      </c>
      <c r="F50" s="210"/>
      <c r="G50" s="211"/>
      <c r="H50" s="212"/>
      <c r="I50" s="212"/>
      <c r="J50" s="212"/>
      <c r="K50" s="212"/>
      <c r="L50" s="212"/>
      <c r="M50" s="212"/>
      <c r="N50" s="212"/>
      <c r="O50" s="210"/>
      <c r="P50" s="211"/>
      <c r="Q50" s="213"/>
      <c r="R50" s="134"/>
      <c r="S50" s="4"/>
    </row>
    <row r="51" spans="1:18" s="2" customFormat="1" ht="15.75" customHeight="1">
      <c r="A51" s="617" t="str">
        <f>'Components and Space Standards'!A54:E54</f>
        <v>Health Promotion Spaces - Marine Corps Only (Required or Optional)</v>
      </c>
      <c r="B51" s="618"/>
      <c r="C51" s="618"/>
      <c r="D51" s="618"/>
      <c r="E51" s="618"/>
      <c r="F51" s="214"/>
      <c r="G51" s="214"/>
      <c r="H51" s="214"/>
      <c r="I51" s="214"/>
      <c r="J51" s="214"/>
      <c r="K51" s="214"/>
      <c r="L51" s="214"/>
      <c r="M51" s="214"/>
      <c r="N51" s="214"/>
      <c r="O51" s="214"/>
      <c r="P51" s="214"/>
      <c r="Q51" s="215"/>
      <c r="R51" s="110"/>
    </row>
    <row r="52" spans="1:18" s="2" customFormat="1" ht="12" customHeight="1">
      <c r="A52" s="19" t="str">
        <f>'Components and Space Standards'!A55</f>
        <v>Lobby/Reception</v>
      </c>
      <c r="B52" s="16">
        <f>'Components and Space Standards'!B55</f>
        <v>27.869999999999997</v>
      </c>
      <c r="C52" s="11">
        <f>'Components and Space Standards'!C55</f>
        <v>300</v>
      </c>
      <c r="D52" s="255" t="str">
        <f>'Components and Space Standards'!D55</f>
        <v>Lobby/Reception Module(s)</v>
      </c>
      <c r="E52" s="17" t="str">
        <f>'Components and Space Standards'!E55</f>
        <v>per area</v>
      </c>
      <c r="F52" s="188">
        <v>1</v>
      </c>
      <c r="G52" s="189">
        <f aca="true" t="shared" si="17" ref="G52:G60">$B52*F52</f>
        <v>27.869999999999997</v>
      </c>
      <c r="H52" s="190">
        <f aca="true" t="shared" si="18" ref="H52:H60">F52*$C52</f>
        <v>300</v>
      </c>
      <c r="I52" s="190">
        <v>1</v>
      </c>
      <c r="J52" s="190">
        <f aca="true" t="shared" si="19" ref="J52:J60">$B52*I52</f>
        <v>27.869999999999997</v>
      </c>
      <c r="K52" s="190">
        <f aca="true" t="shared" si="20" ref="K52:K60">I52*$C52</f>
        <v>300</v>
      </c>
      <c r="L52" s="190">
        <v>1</v>
      </c>
      <c r="M52" s="190">
        <f aca="true" t="shared" si="21" ref="M52:M60">$B52*L52</f>
        <v>27.869999999999997</v>
      </c>
      <c r="N52" s="190">
        <f aca="true" t="shared" si="22" ref="N52:N60">L52*$C52</f>
        <v>300</v>
      </c>
      <c r="O52" s="188"/>
      <c r="P52" s="189">
        <f aca="true" t="shared" si="23" ref="P52:P60">$B52*O52</f>
        <v>0</v>
      </c>
      <c r="Q52" s="192">
        <f aca="true" t="shared" si="24" ref="Q52:Q60">O52*$C52</f>
        <v>0</v>
      </c>
      <c r="R52" s="108" t="s">
        <v>56</v>
      </c>
    </row>
    <row r="53" spans="1:18" s="2" customFormat="1" ht="12" customHeight="1">
      <c r="A53" s="19" t="str">
        <f>'Components and Space Standards'!A56</f>
        <v>Director's Office</v>
      </c>
      <c r="B53" s="16">
        <f>'Components and Space Standards'!B56</f>
        <v>11.148</v>
      </c>
      <c r="C53" s="11">
        <f>'Components and Space Standards'!C56</f>
        <v>120</v>
      </c>
      <c r="D53" s="255" t="str">
        <f>'Components and Space Standards'!D56</f>
        <v>Office</v>
      </c>
      <c r="E53" s="17" t="str">
        <f>'Components and Space Standards'!E56</f>
        <v>per office</v>
      </c>
      <c r="F53" s="188">
        <v>1</v>
      </c>
      <c r="G53" s="189">
        <f t="shared" si="17"/>
        <v>11.148</v>
      </c>
      <c r="H53" s="190">
        <f t="shared" si="18"/>
        <v>120</v>
      </c>
      <c r="I53" s="190">
        <v>1</v>
      </c>
      <c r="J53" s="190">
        <f t="shared" si="19"/>
        <v>11.148</v>
      </c>
      <c r="K53" s="190">
        <f t="shared" si="20"/>
        <v>120</v>
      </c>
      <c r="L53" s="190">
        <v>1</v>
      </c>
      <c r="M53" s="190">
        <f t="shared" si="21"/>
        <v>11.148</v>
      </c>
      <c r="N53" s="190">
        <f t="shared" si="22"/>
        <v>120</v>
      </c>
      <c r="O53" s="188"/>
      <c r="P53" s="189">
        <f t="shared" si="23"/>
        <v>0</v>
      </c>
      <c r="Q53" s="192">
        <f t="shared" si="24"/>
        <v>0</v>
      </c>
      <c r="R53" s="108" t="s">
        <v>62</v>
      </c>
    </row>
    <row r="54" spans="1:18" s="2" customFormat="1" ht="12" customHeight="1">
      <c r="A54" s="19" t="str">
        <f>'Components and Space Standards'!A57</f>
        <v>Program Managers' Offices</v>
      </c>
      <c r="B54" s="16">
        <f>'Components and Space Standards'!B57</f>
        <v>9.29</v>
      </c>
      <c r="C54" s="11">
        <f>'Components and Space Standards'!C57</f>
        <v>100</v>
      </c>
      <c r="D54" s="255" t="str">
        <f>'Components and Space Standards'!D57</f>
        <v>Office(s)</v>
      </c>
      <c r="E54" s="17" t="str">
        <f>'Components and Space Standards'!E57</f>
        <v>per office</v>
      </c>
      <c r="F54" s="188">
        <v>3</v>
      </c>
      <c r="G54" s="189">
        <f t="shared" si="17"/>
        <v>27.869999999999997</v>
      </c>
      <c r="H54" s="190">
        <f t="shared" si="18"/>
        <v>300</v>
      </c>
      <c r="I54" s="190">
        <v>4</v>
      </c>
      <c r="J54" s="190">
        <f t="shared" si="19"/>
        <v>37.16</v>
      </c>
      <c r="K54" s="190">
        <f t="shared" si="20"/>
        <v>400</v>
      </c>
      <c r="L54" s="190">
        <v>6</v>
      </c>
      <c r="M54" s="190">
        <f t="shared" si="21"/>
        <v>55.739999999999995</v>
      </c>
      <c r="N54" s="190">
        <f t="shared" si="22"/>
        <v>600</v>
      </c>
      <c r="O54" s="188"/>
      <c r="P54" s="189">
        <f t="shared" si="23"/>
        <v>0</v>
      </c>
      <c r="Q54" s="192">
        <f t="shared" si="24"/>
        <v>0</v>
      </c>
      <c r="R54" s="108"/>
    </row>
    <row r="55" spans="1:18" s="2" customFormat="1" ht="12" customHeight="1">
      <c r="A55" s="19" t="str">
        <f>'Components and Space Standards'!A58</f>
        <v>Support Staff Workstations</v>
      </c>
      <c r="B55" s="16">
        <f>'Components and Space Standards'!B58</f>
        <v>5.9456</v>
      </c>
      <c r="C55" s="11">
        <f>'Components and Space Standards'!C58</f>
        <v>64</v>
      </c>
      <c r="D55" s="255" t="str">
        <f>'Components and Space Standards'!D58</f>
        <v>Workstation(s)</v>
      </c>
      <c r="E55" s="17" t="str">
        <f>'Components and Space Standards'!E58</f>
        <v>per workstation</v>
      </c>
      <c r="F55" s="188">
        <v>1</v>
      </c>
      <c r="G55" s="189">
        <f t="shared" si="17"/>
        <v>5.9456</v>
      </c>
      <c r="H55" s="190">
        <f t="shared" si="18"/>
        <v>64</v>
      </c>
      <c r="I55" s="190">
        <v>1</v>
      </c>
      <c r="J55" s="190">
        <f t="shared" si="19"/>
        <v>5.9456</v>
      </c>
      <c r="K55" s="190">
        <f t="shared" si="20"/>
        <v>64</v>
      </c>
      <c r="L55" s="190">
        <v>1</v>
      </c>
      <c r="M55" s="190">
        <f t="shared" si="21"/>
        <v>5.9456</v>
      </c>
      <c r="N55" s="190">
        <f t="shared" si="22"/>
        <v>64</v>
      </c>
      <c r="O55" s="188"/>
      <c r="P55" s="189">
        <f t="shared" si="23"/>
        <v>0</v>
      </c>
      <c r="Q55" s="192">
        <f t="shared" si="24"/>
        <v>0</v>
      </c>
      <c r="R55" s="108"/>
    </row>
    <row r="56" spans="1:18" s="3" customFormat="1" ht="12" customHeight="1">
      <c r="A56" s="19" t="str">
        <f>'Components and Space Standards'!A59</f>
        <v>Classrooms/Training rooms</v>
      </c>
      <c r="B56" s="16">
        <f>'Components and Space Standards'!B59</f>
        <v>58.527</v>
      </c>
      <c r="C56" s="11">
        <f>'Components and Space Standards'!C59</f>
        <v>630</v>
      </c>
      <c r="D56" s="255" t="str">
        <f>'Components and Space Standards'!D59</f>
        <v>Classroom/Training Module(s)</v>
      </c>
      <c r="E56" s="17" t="str">
        <f>'Components and Space Standards'!E59</f>
        <v>per room</v>
      </c>
      <c r="F56" s="188">
        <v>4</v>
      </c>
      <c r="G56" s="189">
        <f t="shared" si="17"/>
        <v>234.108</v>
      </c>
      <c r="H56" s="190">
        <f t="shared" si="18"/>
        <v>2520</v>
      </c>
      <c r="I56" s="190">
        <v>4</v>
      </c>
      <c r="J56" s="190">
        <f t="shared" si="19"/>
        <v>234.108</v>
      </c>
      <c r="K56" s="190">
        <f t="shared" si="20"/>
        <v>2520</v>
      </c>
      <c r="L56" s="190">
        <v>4</v>
      </c>
      <c r="M56" s="190">
        <f t="shared" si="21"/>
        <v>234.108</v>
      </c>
      <c r="N56" s="190">
        <f t="shared" si="22"/>
        <v>2520</v>
      </c>
      <c r="O56" s="188"/>
      <c r="P56" s="216">
        <f t="shared" si="23"/>
        <v>0</v>
      </c>
      <c r="Q56" s="192">
        <f t="shared" si="24"/>
        <v>0</v>
      </c>
      <c r="R56" s="108" t="s">
        <v>56</v>
      </c>
    </row>
    <row r="57" spans="1:18" s="3" customFormat="1" ht="12" customHeight="1">
      <c r="A57" s="19" t="str">
        <f>'Components and Space Standards'!A60</f>
        <v>Resource Room/Computer Lab</v>
      </c>
      <c r="B57" s="16">
        <f>'Components and Space Standards'!B60</f>
        <v>23.224999999999998</v>
      </c>
      <c r="C57" s="11">
        <f>'Components and Space Standards'!C60</f>
        <v>250</v>
      </c>
      <c r="D57" s="255" t="str">
        <f>'Components and Space Standards'!D60</f>
        <v>Resource/Computer Lab Module(s)</v>
      </c>
      <c r="E57" s="17" t="str">
        <f>'Components and Space Standards'!E60</f>
        <v>per room</v>
      </c>
      <c r="F57" s="188">
        <v>0</v>
      </c>
      <c r="G57" s="189">
        <f t="shared" si="17"/>
        <v>0</v>
      </c>
      <c r="H57" s="190">
        <f t="shared" si="18"/>
        <v>0</v>
      </c>
      <c r="I57" s="190">
        <v>0</v>
      </c>
      <c r="J57" s="190">
        <f t="shared" si="19"/>
        <v>0</v>
      </c>
      <c r="K57" s="190">
        <f t="shared" si="20"/>
        <v>0</v>
      </c>
      <c r="L57" s="190">
        <v>0</v>
      </c>
      <c r="M57" s="190">
        <f t="shared" si="21"/>
        <v>0</v>
      </c>
      <c r="N57" s="190">
        <f t="shared" si="22"/>
        <v>0</v>
      </c>
      <c r="O57" s="188"/>
      <c r="P57" s="216">
        <f t="shared" si="23"/>
        <v>0</v>
      </c>
      <c r="Q57" s="192">
        <f t="shared" si="24"/>
        <v>0</v>
      </c>
      <c r="R57" s="108" t="s">
        <v>59</v>
      </c>
    </row>
    <row r="58" spans="1:18" s="2" customFormat="1" ht="12" customHeight="1">
      <c r="A58" s="19" t="str">
        <f>'Components and Space Standards'!A61</f>
        <v>Storage/support</v>
      </c>
      <c r="B58" s="16">
        <f>'Components and Space Standards'!B61</f>
        <v>7.4319999999999995</v>
      </c>
      <c r="C58" s="11">
        <f>'Components and Space Standards'!C61</f>
        <v>80</v>
      </c>
      <c r="D58" s="255" t="str">
        <f>'Components and Space Standards'!D61</f>
        <v>Storage/support Module(s)</v>
      </c>
      <c r="E58" s="17" t="str">
        <f>'Components and Space Standards'!E61</f>
        <v>per area</v>
      </c>
      <c r="F58" s="188">
        <v>1</v>
      </c>
      <c r="G58" s="189">
        <f t="shared" si="17"/>
        <v>7.4319999999999995</v>
      </c>
      <c r="H58" s="190">
        <f t="shared" si="18"/>
        <v>80</v>
      </c>
      <c r="I58" s="190">
        <v>1</v>
      </c>
      <c r="J58" s="190">
        <f t="shared" si="19"/>
        <v>7.4319999999999995</v>
      </c>
      <c r="K58" s="190">
        <f t="shared" si="20"/>
        <v>80</v>
      </c>
      <c r="L58" s="190">
        <v>2</v>
      </c>
      <c r="M58" s="190">
        <f t="shared" si="21"/>
        <v>14.863999999999999</v>
      </c>
      <c r="N58" s="190">
        <f t="shared" si="22"/>
        <v>160</v>
      </c>
      <c r="O58" s="188"/>
      <c r="P58" s="189">
        <f t="shared" si="23"/>
        <v>0</v>
      </c>
      <c r="Q58" s="192">
        <f t="shared" si="24"/>
        <v>0</v>
      </c>
      <c r="R58" s="108"/>
    </row>
    <row r="59" spans="1:18" s="2" customFormat="1" ht="12" customHeight="1">
      <c r="A59" s="19" t="str">
        <f>'Components and Space Standards'!A63</f>
        <v>Ergometry and Fitness Testing *</v>
      </c>
      <c r="B59" s="16">
        <f>'Components and Space Standards'!B63</f>
        <v>7.4319999999999995</v>
      </c>
      <c r="C59" s="11">
        <f>'Components and Space Standards'!C63</f>
        <v>80</v>
      </c>
      <c r="D59" s="255" t="str">
        <f>'Components and Space Standards'!D63</f>
        <v>Testing Cubicle(s)</v>
      </c>
      <c r="E59" s="17" t="str">
        <f>'Components and Space Standards'!E63</f>
        <v>per testing cubicles</v>
      </c>
      <c r="F59" s="188">
        <v>1</v>
      </c>
      <c r="G59" s="189">
        <f t="shared" si="17"/>
        <v>7.4319999999999995</v>
      </c>
      <c r="H59" s="190">
        <f t="shared" si="18"/>
        <v>80</v>
      </c>
      <c r="I59" s="190">
        <v>2</v>
      </c>
      <c r="J59" s="190">
        <f t="shared" si="19"/>
        <v>14.863999999999999</v>
      </c>
      <c r="K59" s="190">
        <f t="shared" si="20"/>
        <v>160</v>
      </c>
      <c r="L59" s="190">
        <v>4</v>
      </c>
      <c r="M59" s="190">
        <f t="shared" si="21"/>
        <v>29.727999999999998</v>
      </c>
      <c r="N59" s="190">
        <f t="shared" si="22"/>
        <v>320</v>
      </c>
      <c r="O59" s="188"/>
      <c r="P59" s="189">
        <f t="shared" si="23"/>
        <v>0</v>
      </c>
      <c r="Q59" s="192">
        <f t="shared" si="24"/>
        <v>0</v>
      </c>
      <c r="R59" s="108" t="s">
        <v>72</v>
      </c>
    </row>
    <row r="60" spans="1:18" s="2" customFormat="1" ht="12" customHeight="1">
      <c r="A60" s="217" t="str">
        <f>'Components and Space Standards'!A64</f>
        <v>Wellness Assessment *</v>
      </c>
      <c r="B60" s="218">
        <f>'Components and Space Standards'!B64</f>
        <v>13.934999999999999</v>
      </c>
      <c r="C60" s="219">
        <f>'Components and Space Standards'!C64</f>
        <v>150</v>
      </c>
      <c r="D60" s="328" t="str">
        <f>'Components and Space Standards'!D64</f>
        <v>Assessment Room(s)</v>
      </c>
      <c r="E60" s="18" t="str">
        <f>'Components and Space Standards'!E64</f>
        <v>per room</v>
      </c>
      <c r="F60" s="220">
        <v>1</v>
      </c>
      <c r="G60" s="221">
        <f t="shared" si="17"/>
        <v>13.934999999999999</v>
      </c>
      <c r="H60" s="222">
        <f t="shared" si="18"/>
        <v>150</v>
      </c>
      <c r="I60" s="222">
        <v>1</v>
      </c>
      <c r="J60" s="222">
        <f t="shared" si="19"/>
        <v>13.934999999999999</v>
      </c>
      <c r="K60" s="222">
        <f t="shared" si="20"/>
        <v>150</v>
      </c>
      <c r="L60" s="222">
        <v>1</v>
      </c>
      <c r="M60" s="222">
        <f t="shared" si="21"/>
        <v>13.934999999999999</v>
      </c>
      <c r="N60" s="222">
        <f t="shared" si="22"/>
        <v>150</v>
      </c>
      <c r="O60" s="220"/>
      <c r="P60" s="221">
        <f t="shared" si="23"/>
        <v>0</v>
      </c>
      <c r="Q60" s="223">
        <f t="shared" si="24"/>
        <v>0</v>
      </c>
      <c r="R60" s="108" t="s">
        <v>56</v>
      </c>
    </row>
    <row r="61" spans="1:18" s="3" customFormat="1" ht="15.75" customHeight="1">
      <c r="A61" s="617" t="str">
        <f>'Components and Space Standards'!A65:E65</f>
        <v>Administrative Spaces (required or optional)</v>
      </c>
      <c r="B61" s="618"/>
      <c r="C61" s="618"/>
      <c r="D61" s="618"/>
      <c r="E61" s="618"/>
      <c r="F61" s="182"/>
      <c r="G61" s="182"/>
      <c r="H61" s="182"/>
      <c r="I61" s="182"/>
      <c r="J61" s="182"/>
      <c r="K61" s="182"/>
      <c r="L61" s="182"/>
      <c r="M61" s="182"/>
      <c r="N61" s="182"/>
      <c r="O61" s="182"/>
      <c r="P61" s="182"/>
      <c r="Q61" s="183"/>
      <c r="R61" s="111"/>
    </row>
    <row r="62" spans="1:18" s="2" customFormat="1" ht="12" customHeight="1">
      <c r="A62" s="19" t="str">
        <f>'Components and Space Standards'!A66</f>
        <v>Director's Office</v>
      </c>
      <c r="B62" s="16">
        <f>'Components and Space Standards'!B66</f>
        <v>11.148</v>
      </c>
      <c r="C62" s="11">
        <f>'Components and Space Standards'!C66</f>
        <v>120</v>
      </c>
      <c r="D62" s="255" t="str">
        <f>'Components and Space Standards'!D66</f>
        <v>Office</v>
      </c>
      <c r="E62" s="17" t="str">
        <f>'Components and Space Standards'!E66</f>
        <v>per office</v>
      </c>
      <c r="F62" s="188">
        <v>1</v>
      </c>
      <c r="G62" s="189">
        <f aca="true" t="shared" si="25" ref="G62:G67">$B62*F62</f>
        <v>11.148</v>
      </c>
      <c r="H62" s="190">
        <f aca="true" t="shared" si="26" ref="H62:H67">F62*$C62</f>
        <v>120</v>
      </c>
      <c r="I62" s="190">
        <v>1</v>
      </c>
      <c r="J62" s="190">
        <f aca="true" t="shared" si="27" ref="J62:J67">$B62*I62</f>
        <v>11.148</v>
      </c>
      <c r="K62" s="190">
        <f aca="true" t="shared" si="28" ref="K62:K67">I62*$C62</f>
        <v>120</v>
      </c>
      <c r="L62" s="190">
        <v>1</v>
      </c>
      <c r="M62" s="190">
        <f aca="true" t="shared" si="29" ref="M62:M67">$B62*L62</f>
        <v>11.148</v>
      </c>
      <c r="N62" s="190">
        <f aca="true" t="shared" si="30" ref="N62:N67">L62*$C62</f>
        <v>120</v>
      </c>
      <c r="O62" s="188"/>
      <c r="P62" s="216">
        <f aca="true" t="shared" si="31" ref="P62:P67">$B62*O62</f>
        <v>0</v>
      </c>
      <c r="Q62" s="224">
        <f aca="true" t="shared" si="32" ref="Q62:Q67">O62*$C62</f>
        <v>0</v>
      </c>
      <c r="R62" s="118" t="s">
        <v>112</v>
      </c>
    </row>
    <row r="63" spans="1:18" s="3" customFormat="1" ht="12" customHeight="1">
      <c r="A63" s="19" t="str">
        <f>'Components and Space Standards'!A67</f>
        <v>Program Managers' Offices</v>
      </c>
      <c r="B63" s="16">
        <f>'Components and Space Standards'!B67</f>
        <v>9.29</v>
      </c>
      <c r="C63" s="11">
        <f>'Components and Space Standards'!C67</f>
        <v>100</v>
      </c>
      <c r="D63" s="255" t="str">
        <f>'Components and Space Standards'!D67</f>
        <v>Office(s)</v>
      </c>
      <c r="E63" s="17" t="str">
        <f>'Components and Space Standards'!E67</f>
        <v>per office</v>
      </c>
      <c r="F63" s="188">
        <v>3</v>
      </c>
      <c r="G63" s="216">
        <f t="shared" si="25"/>
        <v>27.869999999999997</v>
      </c>
      <c r="H63" s="190">
        <f t="shared" si="26"/>
        <v>300</v>
      </c>
      <c r="I63" s="190">
        <v>3</v>
      </c>
      <c r="J63" s="190">
        <f t="shared" si="27"/>
        <v>27.869999999999997</v>
      </c>
      <c r="K63" s="190">
        <f t="shared" si="28"/>
        <v>300</v>
      </c>
      <c r="L63" s="190">
        <v>3</v>
      </c>
      <c r="M63" s="190">
        <f t="shared" si="29"/>
        <v>27.869999999999997</v>
      </c>
      <c r="N63" s="190">
        <f t="shared" si="30"/>
        <v>300</v>
      </c>
      <c r="O63" s="188"/>
      <c r="P63" s="216">
        <f t="shared" si="31"/>
        <v>0</v>
      </c>
      <c r="Q63" s="224">
        <f t="shared" si="32"/>
        <v>0</v>
      </c>
      <c r="R63" s="118" t="s">
        <v>114</v>
      </c>
    </row>
    <row r="64" spans="1:18" s="2" customFormat="1" ht="12" customHeight="1">
      <c r="A64" s="19" t="str">
        <f>'Components and Space Standards'!A68</f>
        <v>Support Staff Workstations</v>
      </c>
      <c r="B64" s="16">
        <f>'Components and Space Standards'!B68</f>
        <v>5.9456</v>
      </c>
      <c r="C64" s="11">
        <f>'Components and Space Standards'!C68</f>
        <v>64</v>
      </c>
      <c r="D64" s="255" t="str">
        <f>'Components and Space Standards'!D68</f>
        <v>Workstation(s)</v>
      </c>
      <c r="E64" s="17" t="str">
        <f>'Components and Space Standards'!E68</f>
        <v>per office</v>
      </c>
      <c r="F64" s="188">
        <v>4</v>
      </c>
      <c r="G64" s="189">
        <f t="shared" si="25"/>
        <v>23.7824</v>
      </c>
      <c r="H64" s="190">
        <f t="shared" si="26"/>
        <v>256</v>
      </c>
      <c r="I64" s="190">
        <v>5</v>
      </c>
      <c r="J64" s="190">
        <f t="shared" si="27"/>
        <v>29.727999999999998</v>
      </c>
      <c r="K64" s="190">
        <f t="shared" si="28"/>
        <v>320</v>
      </c>
      <c r="L64" s="190">
        <v>7</v>
      </c>
      <c r="M64" s="190">
        <f t="shared" si="29"/>
        <v>41.6192</v>
      </c>
      <c r="N64" s="190">
        <f t="shared" si="30"/>
        <v>448</v>
      </c>
      <c r="O64" s="188"/>
      <c r="P64" s="216">
        <f t="shared" si="31"/>
        <v>0</v>
      </c>
      <c r="Q64" s="224">
        <f t="shared" si="32"/>
        <v>0</v>
      </c>
      <c r="R64" s="118" t="s">
        <v>114</v>
      </c>
    </row>
    <row r="65" spans="1:18" s="2" customFormat="1" ht="12" customHeight="1">
      <c r="A65" s="19" t="str">
        <f>'Components and Space Standards'!A69</f>
        <v>Copy/file/work/break Room</v>
      </c>
      <c r="B65" s="16">
        <f>'Components and Space Standards'!B69</f>
        <v>7.4319999999999995</v>
      </c>
      <c r="C65" s="11">
        <f>'Components and Space Standards'!C69</f>
        <v>80</v>
      </c>
      <c r="D65" s="255" t="str">
        <f>'Components and Space Standards'!D69</f>
        <v>Workroom Module(s)</v>
      </c>
      <c r="E65" s="17" t="str">
        <f>'Components and Space Standards'!E69</f>
        <v>per room</v>
      </c>
      <c r="F65" s="188">
        <v>1</v>
      </c>
      <c r="G65" s="216">
        <f t="shared" si="25"/>
        <v>7.4319999999999995</v>
      </c>
      <c r="H65" s="190">
        <f t="shared" si="26"/>
        <v>80</v>
      </c>
      <c r="I65" s="190">
        <v>1</v>
      </c>
      <c r="J65" s="190">
        <f t="shared" si="27"/>
        <v>7.4319999999999995</v>
      </c>
      <c r="K65" s="190">
        <f t="shared" si="28"/>
        <v>80</v>
      </c>
      <c r="L65" s="190">
        <v>1</v>
      </c>
      <c r="M65" s="190">
        <f t="shared" si="29"/>
        <v>7.4319999999999995</v>
      </c>
      <c r="N65" s="190">
        <f t="shared" si="30"/>
        <v>80</v>
      </c>
      <c r="O65" s="188"/>
      <c r="P65" s="216">
        <f t="shared" si="31"/>
        <v>0</v>
      </c>
      <c r="Q65" s="224">
        <f t="shared" si="32"/>
        <v>0</v>
      </c>
      <c r="R65" s="118" t="s">
        <v>112</v>
      </c>
    </row>
    <row r="66" spans="1:18" s="2" customFormat="1" ht="12" customHeight="1">
      <c r="A66" s="19" t="str">
        <f>'Components and Space Standards'!A70</f>
        <v>Classroom/Training Room</v>
      </c>
      <c r="B66" s="16">
        <f>'Components and Space Standards'!B70</f>
        <v>69.675</v>
      </c>
      <c r="C66" s="11">
        <f>'Components and Space Standards'!C70</f>
        <v>750</v>
      </c>
      <c r="D66" s="255" t="str">
        <f>'Components and Space Standards'!D70</f>
        <v>25-person Module at 750 SF</v>
      </c>
      <c r="E66" s="17" t="str">
        <f>'Components and Space Standards'!E70</f>
        <v>1,500 SF Med/Lge &amp; 2,250 SF for Xtra Lge/Jumbo</v>
      </c>
      <c r="F66" s="188">
        <v>1.6</v>
      </c>
      <c r="G66" s="189">
        <f t="shared" si="25"/>
        <v>111.48</v>
      </c>
      <c r="H66" s="190">
        <f t="shared" si="26"/>
        <v>1200</v>
      </c>
      <c r="I66" s="190">
        <v>1.7</v>
      </c>
      <c r="J66" s="190">
        <f t="shared" si="27"/>
        <v>118.44749999999999</v>
      </c>
      <c r="K66" s="190">
        <f t="shared" si="28"/>
        <v>1275</v>
      </c>
      <c r="L66" s="190">
        <v>1.8</v>
      </c>
      <c r="M66" s="190">
        <f t="shared" si="29"/>
        <v>125.41499999999999</v>
      </c>
      <c r="N66" s="190">
        <f t="shared" si="30"/>
        <v>1350</v>
      </c>
      <c r="O66" s="188"/>
      <c r="P66" s="189">
        <f t="shared" si="31"/>
        <v>0</v>
      </c>
      <c r="Q66" s="224">
        <f t="shared" si="32"/>
        <v>0</v>
      </c>
      <c r="R66" s="610" t="s">
        <v>113</v>
      </c>
    </row>
    <row r="67" spans="1:18" s="2" customFormat="1" ht="12" customHeight="1">
      <c r="A67" s="19" t="str">
        <f>'Components and Space Standards'!A71</f>
        <v>Classroom/Training Storage</v>
      </c>
      <c r="B67" s="16">
        <f>'Components and Space Standards'!B71</f>
        <v>5.574</v>
      </c>
      <c r="C67" s="11">
        <f>'Components and Space Standards'!C71</f>
        <v>60</v>
      </c>
      <c r="D67" s="255" t="str">
        <f>'Components and Space Standards'!D71</f>
        <v>Storage Module(s)</v>
      </c>
      <c r="E67" s="17" t="str">
        <f>'Components and Space Standards'!E71</f>
        <v>per 25-person Training Room</v>
      </c>
      <c r="F67" s="188">
        <v>2</v>
      </c>
      <c r="G67" s="189">
        <f t="shared" si="25"/>
        <v>11.148</v>
      </c>
      <c r="H67" s="190">
        <f t="shared" si="26"/>
        <v>120</v>
      </c>
      <c r="I67" s="190">
        <v>3</v>
      </c>
      <c r="J67" s="190">
        <f t="shared" si="27"/>
        <v>16.722</v>
      </c>
      <c r="K67" s="190">
        <f t="shared" si="28"/>
        <v>180</v>
      </c>
      <c r="L67" s="190">
        <v>4</v>
      </c>
      <c r="M67" s="190">
        <f t="shared" si="29"/>
        <v>22.296</v>
      </c>
      <c r="N67" s="190">
        <f t="shared" si="30"/>
        <v>240</v>
      </c>
      <c r="O67" s="188"/>
      <c r="P67" s="189">
        <f t="shared" si="31"/>
        <v>0</v>
      </c>
      <c r="Q67" s="224">
        <f t="shared" si="32"/>
        <v>0</v>
      </c>
      <c r="R67" s="611"/>
    </row>
    <row r="68" spans="1:18" s="2" customFormat="1" ht="15.75" customHeight="1">
      <c r="A68" s="617" t="str">
        <f>'Components and Space Standards'!A72:E72</f>
        <v>Optional or Service-specific Program Spaces</v>
      </c>
      <c r="B68" s="618"/>
      <c r="C68" s="618"/>
      <c r="D68" s="618"/>
      <c r="E68" s="618"/>
      <c r="F68" s="214"/>
      <c r="G68" s="214"/>
      <c r="H68" s="214"/>
      <c r="I68" s="214"/>
      <c r="J68" s="214"/>
      <c r="K68" s="214"/>
      <c r="L68" s="214"/>
      <c r="M68" s="214"/>
      <c r="N68" s="214"/>
      <c r="O68" s="214"/>
      <c r="P68" s="214"/>
      <c r="Q68" s="215"/>
      <c r="R68" s="108"/>
    </row>
    <row r="69" spans="1:18" s="331" customFormat="1" ht="12" customHeight="1">
      <c r="A69" s="184" t="str">
        <f>'Components and Space Standards'!A75</f>
        <v>Indoor Track</v>
      </c>
      <c r="B69" s="185"/>
      <c r="C69" s="197"/>
      <c r="D69" s="256"/>
      <c r="E69" s="199"/>
      <c r="F69" s="200"/>
      <c r="G69" s="204"/>
      <c r="H69" s="205"/>
      <c r="I69" s="205"/>
      <c r="J69" s="205"/>
      <c r="K69" s="205"/>
      <c r="L69" s="205"/>
      <c r="M69" s="205"/>
      <c r="N69" s="205"/>
      <c r="O69" s="200"/>
      <c r="P69" s="204"/>
      <c r="Q69" s="329"/>
      <c r="R69" s="330"/>
    </row>
    <row r="70" spans="1:20" s="456" customFormat="1" ht="12" customHeight="1">
      <c r="A70" s="454" t="str">
        <f>'Components and Space Standards'!A76</f>
        <v>Indoor Track</v>
      </c>
      <c r="B70" s="457"/>
      <c r="C70" s="104"/>
      <c r="D70" s="258"/>
      <c r="E70" s="458"/>
      <c r="F70" s="194"/>
      <c r="G70" s="206"/>
      <c r="H70" s="207"/>
      <c r="I70" s="207"/>
      <c r="J70" s="207"/>
      <c r="K70" s="207"/>
      <c r="L70" s="207"/>
      <c r="M70" s="207"/>
      <c r="N70" s="207"/>
      <c r="O70" s="194"/>
      <c r="P70" s="206"/>
      <c r="Q70" s="459"/>
      <c r="R70" s="460"/>
      <c r="S70" s="461"/>
      <c r="T70" s="461"/>
    </row>
    <row r="71" spans="1:19" s="2" customFormat="1" ht="12" customHeight="1">
      <c r="A71" s="293" t="str">
        <f>'Components and Space Standards'!A77</f>
        <v>1/14th-mile Indoor Track</v>
      </c>
      <c r="B71" s="16">
        <f>'Components and Space Standards'!B77</f>
        <v>310.0073</v>
      </c>
      <c r="C71" s="11">
        <f>'Components and Space Standards'!C77</f>
        <v>3337</v>
      </c>
      <c r="D71" s="255" t="str">
        <f>'Components and Space Standards'!D77</f>
        <v>1/14th-mile, 2-lane Indoor Track </v>
      </c>
      <c r="E71" s="17" t="str">
        <f>'Components and Space Standards'!E77</f>
        <v>1/14th-mile, 2-lane Indoor Track (754 linear ft.)</v>
      </c>
      <c r="F71" s="188"/>
      <c r="G71" s="216">
        <f aca="true" t="shared" si="33" ref="G71:G86">$B71*F71</f>
        <v>0</v>
      </c>
      <c r="H71" s="190">
        <f aca="true" t="shared" si="34" ref="H71:H86">F71*$C71</f>
        <v>0</v>
      </c>
      <c r="I71" s="190"/>
      <c r="J71" s="190">
        <f aca="true" t="shared" si="35" ref="J71:J86">$B71*I71</f>
        <v>0</v>
      </c>
      <c r="K71" s="190">
        <f aca="true" t="shared" si="36" ref="K71:K86">I71*$C71</f>
        <v>0</v>
      </c>
      <c r="L71" s="190"/>
      <c r="M71" s="190">
        <f aca="true" t="shared" si="37" ref="M71:M86">$B71*L71</f>
        <v>0</v>
      </c>
      <c r="N71" s="190">
        <f aca="true" t="shared" si="38" ref="N71:N86">L71*$C71</f>
        <v>0</v>
      </c>
      <c r="O71" s="188"/>
      <c r="P71" s="216">
        <f aca="true" t="shared" si="39" ref="P71:P86">$B71*O71</f>
        <v>0</v>
      </c>
      <c r="Q71" s="224">
        <f aca="true" t="shared" si="40" ref="Q71:Q86">O71*$C71</f>
        <v>0</v>
      </c>
      <c r="R71" s="108" t="s">
        <v>194</v>
      </c>
      <c r="S71" s="4"/>
    </row>
    <row r="72" spans="1:19" s="2" customFormat="1" ht="12" customHeight="1">
      <c r="A72" s="293" t="str">
        <f>'Components and Space Standards'!A79</f>
        <v>1/11th-mile Indoor Track</v>
      </c>
      <c r="B72" s="16">
        <f>'Components and Space Standards'!B79</f>
        <v>556.7497</v>
      </c>
      <c r="C72" s="11">
        <f>'Components and Space Standards'!C79</f>
        <v>5993</v>
      </c>
      <c r="D72" s="255" t="str">
        <f>'Components and Space Standards'!D79</f>
        <v>1/11th-mile, 3-lane Indoor Track </v>
      </c>
      <c r="E72" s="17" t="str">
        <f>'Components and Space Standards'!E79</f>
        <v>1/11th-mile, 3-lane Indoor Track (1440 linear ft.)</v>
      </c>
      <c r="F72" s="188"/>
      <c r="G72" s="216">
        <f t="shared" si="33"/>
        <v>0</v>
      </c>
      <c r="H72" s="190">
        <f t="shared" si="34"/>
        <v>0</v>
      </c>
      <c r="I72" s="190"/>
      <c r="J72" s="190">
        <f t="shared" si="35"/>
        <v>0</v>
      </c>
      <c r="K72" s="190">
        <f t="shared" si="36"/>
        <v>0</v>
      </c>
      <c r="L72" s="190"/>
      <c r="M72" s="190">
        <f t="shared" si="37"/>
        <v>0</v>
      </c>
      <c r="N72" s="190">
        <f t="shared" si="38"/>
        <v>0</v>
      </c>
      <c r="O72" s="188"/>
      <c r="P72" s="216">
        <f t="shared" si="39"/>
        <v>0</v>
      </c>
      <c r="Q72" s="224">
        <f t="shared" si="40"/>
        <v>0</v>
      </c>
      <c r="R72" s="108"/>
      <c r="S72" s="4"/>
    </row>
    <row r="73" spans="1:19" s="2" customFormat="1" ht="12" customHeight="1">
      <c r="A73" s="293" t="str">
        <f>'Components and Space Standards'!A80</f>
        <v>1/8th-mile Indoor Track</v>
      </c>
      <c r="B73" s="16">
        <f>'Components and Space Standards'!B80</f>
        <v>989.1062999999999</v>
      </c>
      <c r="C73" s="11">
        <f>'Components and Space Standards'!C80</f>
        <v>10647</v>
      </c>
      <c r="D73" s="255" t="str">
        <f>'Components and Space Standards'!D80</f>
        <v>1/8th-mile, 4-lane Indoor Track </v>
      </c>
      <c r="E73" s="17" t="str">
        <f>'Components and Space Standards'!E80</f>
        <v>1/8th-mile, 4-lane Indoor Track (2640 linear ft.)</v>
      </c>
      <c r="F73" s="188">
        <v>1</v>
      </c>
      <c r="G73" s="216">
        <f t="shared" si="33"/>
        <v>989.1062999999999</v>
      </c>
      <c r="H73" s="190">
        <f t="shared" si="34"/>
        <v>10647</v>
      </c>
      <c r="I73" s="190">
        <v>1</v>
      </c>
      <c r="J73" s="190">
        <f t="shared" si="35"/>
        <v>989.1062999999999</v>
      </c>
      <c r="K73" s="190">
        <f t="shared" si="36"/>
        <v>10647</v>
      </c>
      <c r="L73" s="190">
        <v>1</v>
      </c>
      <c r="M73" s="190">
        <f t="shared" si="37"/>
        <v>989.1062999999999</v>
      </c>
      <c r="N73" s="190">
        <f t="shared" si="38"/>
        <v>10647</v>
      </c>
      <c r="O73" s="188"/>
      <c r="P73" s="216">
        <f t="shared" si="39"/>
        <v>0</v>
      </c>
      <c r="Q73" s="224">
        <f t="shared" si="40"/>
        <v>0</v>
      </c>
      <c r="R73" s="108"/>
      <c r="S73" s="4"/>
    </row>
    <row r="74" spans="1:19" s="2" customFormat="1" ht="12" customHeight="1">
      <c r="A74" s="23" t="str">
        <f>'Components and Space Standards'!A81</f>
        <v>Indoor track lobby</v>
      </c>
      <c r="B74" s="16">
        <f>'Components and Space Standards'!B81</f>
        <v>13.3776</v>
      </c>
      <c r="C74" s="11">
        <f>'Components and Space Standards'!C81</f>
        <v>144</v>
      </c>
      <c r="D74" s="255" t="str">
        <f>'Components and Space Standards'!D81</f>
        <v>Indoor track lobby(ies)</v>
      </c>
      <c r="E74" s="17" t="str">
        <f>'Components and Space Standards'!E81</f>
        <v>Access point to lobby from stair/elevator</v>
      </c>
      <c r="F74" s="188">
        <v>1</v>
      </c>
      <c r="G74" s="216">
        <f t="shared" si="33"/>
        <v>13.3776</v>
      </c>
      <c r="H74" s="190">
        <f t="shared" si="34"/>
        <v>144</v>
      </c>
      <c r="I74" s="190">
        <v>1</v>
      </c>
      <c r="J74" s="190">
        <f t="shared" si="35"/>
        <v>13.3776</v>
      </c>
      <c r="K74" s="190">
        <f t="shared" si="36"/>
        <v>144</v>
      </c>
      <c r="L74" s="190">
        <v>1</v>
      </c>
      <c r="M74" s="190">
        <f t="shared" si="37"/>
        <v>13.3776</v>
      </c>
      <c r="N74" s="190">
        <f t="shared" si="38"/>
        <v>144</v>
      </c>
      <c r="O74" s="188"/>
      <c r="P74" s="216">
        <f t="shared" si="39"/>
        <v>0</v>
      </c>
      <c r="Q74" s="224">
        <f t="shared" si="40"/>
        <v>0</v>
      </c>
      <c r="R74" s="108"/>
      <c r="S74" s="4"/>
    </row>
    <row r="75" spans="1:19" s="2" customFormat="1" ht="12" customHeight="1">
      <c r="A75" s="103" t="str">
        <f>'Components and Space Standards'!A82</f>
        <v>Additional Group Exercise Room</v>
      </c>
      <c r="B75" s="16">
        <f>'Components and Space Standards'!B82</f>
        <v>116.125</v>
      </c>
      <c r="C75" s="11">
        <f>'Components and Space Standards'!C82</f>
        <v>1250</v>
      </c>
      <c r="D75" s="255" t="str">
        <f>'Components and Space Standards'!D82</f>
        <v>Additional Group Exercise Room</v>
      </c>
      <c r="E75" s="17" t="str">
        <f>'Components and Space Standards'!E82</f>
        <v>per room</v>
      </c>
      <c r="F75" s="188"/>
      <c r="G75" s="189">
        <f t="shared" si="33"/>
        <v>0</v>
      </c>
      <c r="H75" s="190">
        <f t="shared" si="34"/>
        <v>0</v>
      </c>
      <c r="I75" s="190"/>
      <c r="J75" s="190">
        <f t="shared" si="35"/>
        <v>0</v>
      </c>
      <c r="K75" s="190">
        <f t="shared" si="36"/>
        <v>0</v>
      </c>
      <c r="L75" s="190"/>
      <c r="M75" s="190">
        <f t="shared" si="37"/>
        <v>0</v>
      </c>
      <c r="N75" s="190">
        <f t="shared" si="38"/>
        <v>0</v>
      </c>
      <c r="O75" s="188"/>
      <c r="P75" s="216">
        <f t="shared" si="39"/>
        <v>0</v>
      </c>
      <c r="Q75" s="224">
        <f t="shared" si="40"/>
        <v>0</v>
      </c>
      <c r="R75" s="108" t="s">
        <v>76</v>
      </c>
      <c r="S75" s="4"/>
    </row>
    <row r="76" spans="1:19" s="2" customFormat="1" ht="12" customHeight="1">
      <c r="A76" s="19" t="str">
        <f>'Components and Space Standards'!A83</f>
        <v>Massage Room</v>
      </c>
      <c r="B76" s="16">
        <f>'Components and Space Standards'!B83</f>
        <v>11.148</v>
      </c>
      <c r="C76" s="11">
        <f>'Components and Space Standards'!C83</f>
        <v>120</v>
      </c>
      <c r="D76" s="255" t="str">
        <f>'Components and Space Standards'!D83</f>
        <v>Massage Room(s)</v>
      </c>
      <c r="E76" s="17" t="str">
        <f>'Components and Space Standards'!E83</f>
        <v>per room</v>
      </c>
      <c r="F76" s="188"/>
      <c r="G76" s="189">
        <f t="shared" si="33"/>
        <v>0</v>
      </c>
      <c r="H76" s="190">
        <f t="shared" si="34"/>
        <v>0</v>
      </c>
      <c r="I76" s="190"/>
      <c r="J76" s="190">
        <f t="shared" si="35"/>
        <v>0</v>
      </c>
      <c r="K76" s="190">
        <f t="shared" si="36"/>
        <v>0</v>
      </c>
      <c r="L76" s="190"/>
      <c r="M76" s="190">
        <f t="shared" si="37"/>
        <v>0</v>
      </c>
      <c r="N76" s="190">
        <f t="shared" si="38"/>
        <v>0</v>
      </c>
      <c r="O76" s="188"/>
      <c r="P76" s="189">
        <f t="shared" si="39"/>
        <v>0</v>
      </c>
      <c r="Q76" s="224">
        <f t="shared" si="40"/>
        <v>0</v>
      </c>
      <c r="R76" s="108"/>
      <c r="S76" s="4"/>
    </row>
    <row r="77" spans="1:19" s="2" customFormat="1" ht="12" customHeight="1">
      <c r="A77" s="19" t="str">
        <f>'Components and Space Standards'!A84</f>
        <v>Physical Therapy Training</v>
      </c>
      <c r="B77" s="16">
        <f>'Components and Space Standards'!B84</f>
        <v>11.612499999999999</v>
      </c>
      <c r="C77" s="11">
        <f>'Components and Space Standards'!C84</f>
        <v>125</v>
      </c>
      <c r="D77" s="255" t="str">
        <f>'Components and Space Standards'!D84</f>
        <v>Physical Therapy Training Room(s)</v>
      </c>
      <c r="E77" s="17" t="str">
        <f>'Components and Space Standards'!E84</f>
        <v>per room</v>
      </c>
      <c r="F77" s="188"/>
      <c r="G77" s="189">
        <f t="shared" si="33"/>
        <v>0</v>
      </c>
      <c r="H77" s="190">
        <f t="shared" si="34"/>
        <v>0</v>
      </c>
      <c r="I77" s="190"/>
      <c r="J77" s="190">
        <f t="shared" si="35"/>
        <v>0</v>
      </c>
      <c r="K77" s="190">
        <f t="shared" si="36"/>
        <v>0</v>
      </c>
      <c r="L77" s="190"/>
      <c r="M77" s="190">
        <f t="shared" si="37"/>
        <v>0</v>
      </c>
      <c r="N77" s="190">
        <f t="shared" si="38"/>
        <v>0</v>
      </c>
      <c r="O77" s="188"/>
      <c r="P77" s="189">
        <f t="shared" si="39"/>
        <v>0</v>
      </c>
      <c r="Q77" s="224">
        <f t="shared" si="40"/>
        <v>0</v>
      </c>
      <c r="R77" s="108" t="s">
        <v>78</v>
      </c>
      <c r="S77" s="4"/>
    </row>
    <row r="78" spans="1:19" s="2" customFormat="1" ht="12" customHeight="1">
      <c r="A78" s="19" t="str">
        <f>'Components and Space Standards'!A85</f>
        <v>Expanded Retail 1</v>
      </c>
      <c r="B78" s="16">
        <f>'Components and Space Standards'!B85</f>
        <v>9.29</v>
      </c>
      <c r="C78" s="11">
        <f>'Components and Space Standards'!C85</f>
        <v>100</v>
      </c>
      <c r="D78" s="255" t="str">
        <f>'Components and Space Standards'!D85</f>
        <v>Expanded Retail Module(s)</v>
      </c>
      <c r="E78" s="17" t="str">
        <f>'Components and Space Standards'!E85</f>
        <v>per area</v>
      </c>
      <c r="F78" s="188"/>
      <c r="G78" s="189">
        <f t="shared" si="33"/>
        <v>0</v>
      </c>
      <c r="H78" s="190">
        <f t="shared" si="34"/>
        <v>0</v>
      </c>
      <c r="I78" s="190"/>
      <c r="J78" s="190">
        <f t="shared" si="35"/>
        <v>0</v>
      </c>
      <c r="K78" s="190">
        <f t="shared" si="36"/>
        <v>0</v>
      </c>
      <c r="L78" s="190"/>
      <c r="M78" s="190">
        <f t="shared" si="37"/>
        <v>0</v>
      </c>
      <c r="N78" s="190">
        <f t="shared" si="38"/>
        <v>0</v>
      </c>
      <c r="O78" s="188"/>
      <c r="P78" s="189">
        <f t="shared" si="39"/>
        <v>0</v>
      </c>
      <c r="Q78" s="224">
        <f t="shared" si="40"/>
        <v>0</v>
      </c>
      <c r="R78" s="118" t="s">
        <v>123</v>
      </c>
      <c r="S78" s="4"/>
    </row>
    <row r="79" spans="1:19" s="2" customFormat="1" ht="12" customHeight="1">
      <c r="A79" s="19" t="str">
        <f>'Components and Space Standards'!A86</f>
        <v>Expanded Juice Bar 1</v>
      </c>
      <c r="B79" s="16">
        <f>'Components and Space Standards'!B86</f>
        <v>13.934999999999999</v>
      </c>
      <c r="C79" s="11">
        <f>'Components and Space Standards'!C86</f>
        <v>150</v>
      </c>
      <c r="D79" s="255" t="str">
        <f>'Components and Space Standards'!D86</f>
        <v>Expanded Juice Bar Module(s)</v>
      </c>
      <c r="E79" s="17" t="str">
        <f>'Components and Space Standards'!E86</f>
        <v>per area</v>
      </c>
      <c r="F79" s="188"/>
      <c r="G79" s="189">
        <f t="shared" si="33"/>
        <v>0</v>
      </c>
      <c r="H79" s="190">
        <f t="shared" si="34"/>
        <v>0</v>
      </c>
      <c r="I79" s="190"/>
      <c r="J79" s="190">
        <f t="shared" si="35"/>
        <v>0</v>
      </c>
      <c r="K79" s="190">
        <f t="shared" si="36"/>
        <v>0</v>
      </c>
      <c r="L79" s="190"/>
      <c r="M79" s="190">
        <f t="shared" si="37"/>
        <v>0</v>
      </c>
      <c r="N79" s="190">
        <f t="shared" si="38"/>
        <v>0</v>
      </c>
      <c r="O79" s="188"/>
      <c r="P79" s="189">
        <f t="shared" si="39"/>
        <v>0</v>
      </c>
      <c r="Q79" s="224">
        <f t="shared" si="40"/>
        <v>0</v>
      </c>
      <c r="R79" s="118" t="s">
        <v>124</v>
      </c>
      <c r="S79" s="4"/>
    </row>
    <row r="80" spans="1:19" s="2" customFormat="1" ht="12" customHeight="1">
      <c r="A80" s="19" t="str">
        <f>'Components and Space Standards'!A87</f>
        <v>Expanded Juice Bar Seating</v>
      </c>
      <c r="B80" s="16">
        <f>'Components and Space Standards'!B87</f>
        <v>13.934999999999999</v>
      </c>
      <c r="C80" s="11">
        <f>'Components and Space Standards'!C87</f>
        <v>150</v>
      </c>
      <c r="D80" s="255" t="str">
        <f>'Components and Space Standards'!D87</f>
        <v>Two-table seating Module(s)</v>
      </c>
      <c r="E80" s="17" t="str">
        <f>'Components and Space Standards'!E87</f>
        <v>Two 4-top tables and seating area</v>
      </c>
      <c r="F80" s="188"/>
      <c r="G80" s="189">
        <f t="shared" si="33"/>
        <v>0</v>
      </c>
      <c r="H80" s="190">
        <f t="shared" si="34"/>
        <v>0</v>
      </c>
      <c r="I80" s="190"/>
      <c r="J80" s="190">
        <f t="shared" si="35"/>
        <v>0</v>
      </c>
      <c r="K80" s="190">
        <f t="shared" si="36"/>
        <v>0</v>
      </c>
      <c r="L80" s="190"/>
      <c r="M80" s="190">
        <f t="shared" si="37"/>
        <v>0</v>
      </c>
      <c r="N80" s="190">
        <f t="shared" si="38"/>
        <v>0</v>
      </c>
      <c r="O80" s="188"/>
      <c r="P80" s="189">
        <f t="shared" si="39"/>
        <v>0</v>
      </c>
      <c r="Q80" s="224">
        <f t="shared" si="40"/>
        <v>0</v>
      </c>
      <c r="R80" s="118"/>
      <c r="S80" s="4"/>
    </row>
    <row r="81" spans="1:19" s="2" customFormat="1" ht="12" customHeight="1">
      <c r="A81" s="19" t="str">
        <f>'Components and Space Standards'!A88</f>
        <v>Family Changing Room</v>
      </c>
      <c r="B81" s="16">
        <f>'Components and Space Standards'!B88</f>
        <v>10.219</v>
      </c>
      <c r="C81" s="11">
        <f>'Components and Space Standards'!C88</f>
        <v>110</v>
      </c>
      <c r="D81" s="255" t="str">
        <f>'Components and Space Standards'!D88</f>
        <v>Family Changing Room(s)</v>
      </c>
      <c r="E81" s="17" t="str">
        <f>'Components and Space Standards'!E88</f>
        <v>per shower, wc, lav, changing, and locker</v>
      </c>
      <c r="F81" s="188"/>
      <c r="G81" s="189">
        <f t="shared" si="33"/>
        <v>0</v>
      </c>
      <c r="H81" s="190">
        <f t="shared" si="34"/>
        <v>0</v>
      </c>
      <c r="I81" s="190"/>
      <c r="J81" s="190">
        <f t="shared" si="35"/>
        <v>0</v>
      </c>
      <c r="K81" s="190">
        <f t="shared" si="36"/>
        <v>0</v>
      </c>
      <c r="L81" s="190"/>
      <c r="M81" s="190">
        <f t="shared" si="37"/>
        <v>0</v>
      </c>
      <c r="N81" s="190">
        <f t="shared" si="38"/>
        <v>0</v>
      </c>
      <c r="O81" s="188"/>
      <c r="P81" s="189">
        <f t="shared" si="39"/>
        <v>0</v>
      </c>
      <c r="Q81" s="224">
        <f t="shared" si="40"/>
        <v>0</v>
      </c>
      <c r="R81" s="108" t="s">
        <v>197</v>
      </c>
      <c r="S81" s="4"/>
    </row>
    <row r="82" spans="1:19" s="2" customFormat="1" ht="12" customHeight="1">
      <c r="A82" s="19" t="str">
        <f>'Components and Space Standards'!A89</f>
        <v>Convertible Locker Space</v>
      </c>
      <c r="B82" s="16">
        <f>'Components and Space Standards'!B89</f>
        <v>69.675</v>
      </c>
      <c r="C82" s="11">
        <f>'Components and Space Standards'!C89</f>
        <v>750</v>
      </c>
      <c r="D82" s="255" t="str">
        <f>'Components and Space Standards'!D89</f>
        <v>Add'l male or female space</v>
      </c>
      <c r="E82" s="17" t="str">
        <f>'Components and Space Standards'!E89</f>
        <v>750 sf</v>
      </c>
      <c r="F82" s="188">
        <v>1</v>
      </c>
      <c r="G82" s="189">
        <f t="shared" si="33"/>
        <v>69.675</v>
      </c>
      <c r="H82" s="190">
        <f t="shared" si="34"/>
        <v>750</v>
      </c>
      <c r="I82" s="190"/>
      <c r="J82" s="190">
        <f t="shared" si="35"/>
        <v>0</v>
      </c>
      <c r="K82" s="190">
        <f t="shared" si="36"/>
        <v>0</v>
      </c>
      <c r="L82" s="190">
        <v>1.5</v>
      </c>
      <c r="M82" s="190">
        <f t="shared" si="37"/>
        <v>104.51249999999999</v>
      </c>
      <c r="N82" s="190">
        <f t="shared" si="38"/>
        <v>1125</v>
      </c>
      <c r="O82" s="188"/>
      <c r="P82" s="189">
        <f t="shared" si="39"/>
        <v>0</v>
      </c>
      <c r="Q82" s="224">
        <f t="shared" si="40"/>
        <v>0</v>
      </c>
      <c r="R82" s="633" t="s">
        <v>79</v>
      </c>
      <c r="S82" s="4"/>
    </row>
    <row r="83" spans="1:19" s="2" customFormat="1" ht="12" customHeight="1">
      <c r="A83" s="19" t="str">
        <f>'Components and Space Standards'!A90</f>
        <v>Female DV Locker Room *</v>
      </c>
      <c r="B83" s="16">
        <f>'Components and Space Standards'!B90</f>
        <v>23.224999999999998</v>
      </c>
      <c r="C83" s="11">
        <f>'Components and Space Standards'!C90</f>
        <v>250</v>
      </c>
      <c r="D83" s="255" t="str">
        <f>'Components and Space Standards'!D90</f>
        <v>Female DV Locker Room</v>
      </c>
      <c r="E83" s="17" t="str">
        <f>'Components and Space Standards'!E90</f>
        <v>250, 500, 750</v>
      </c>
      <c r="F83" s="188">
        <v>1</v>
      </c>
      <c r="G83" s="189">
        <f t="shared" si="33"/>
        <v>23.224999999999998</v>
      </c>
      <c r="H83" s="190">
        <f t="shared" si="34"/>
        <v>250</v>
      </c>
      <c r="I83" s="190"/>
      <c r="J83" s="190">
        <f t="shared" si="35"/>
        <v>0</v>
      </c>
      <c r="K83" s="190">
        <f t="shared" si="36"/>
        <v>0</v>
      </c>
      <c r="L83" s="190">
        <v>2</v>
      </c>
      <c r="M83" s="190">
        <f t="shared" si="37"/>
        <v>46.449999999999996</v>
      </c>
      <c r="N83" s="190">
        <f t="shared" si="38"/>
        <v>500</v>
      </c>
      <c r="O83" s="188"/>
      <c r="P83" s="189">
        <f t="shared" si="39"/>
        <v>0</v>
      </c>
      <c r="Q83" s="224">
        <f t="shared" si="40"/>
        <v>0</v>
      </c>
      <c r="R83" s="634"/>
      <c r="S83" s="4"/>
    </row>
    <row r="84" spans="1:19" s="2" customFormat="1" ht="12" customHeight="1">
      <c r="A84" s="19" t="str">
        <f>'Components and Space Standards'!A91</f>
        <v>Child Play Area/Parent Child Area *</v>
      </c>
      <c r="B84" s="16">
        <f>'Components and Space Standards'!B91</f>
        <v>74.32</v>
      </c>
      <c r="C84" s="11">
        <f>'Components and Space Standards'!C91</f>
        <v>800</v>
      </c>
      <c r="D84" s="255" t="str">
        <f>'Components and Space Standards'!D91</f>
        <v>Parent/child Module(s)</v>
      </c>
      <c r="E84" s="17" t="str">
        <f>'Components and Space Standards'!E91</f>
        <v>400 sf play area (at 35 sf/child), 400 sf equip (50 sf/equip)</v>
      </c>
      <c r="F84" s="188"/>
      <c r="G84" s="189">
        <f t="shared" si="33"/>
        <v>0</v>
      </c>
      <c r="H84" s="190">
        <f t="shared" si="34"/>
        <v>0</v>
      </c>
      <c r="I84" s="190"/>
      <c r="J84" s="190">
        <f t="shared" si="35"/>
        <v>0</v>
      </c>
      <c r="K84" s="190">
        <f t="shared" si="36"/>
        <v>0</v>
      </c>
      <c r="L84" s="190"/>
      <c r="M84" s="190">
        <f t="shared" si="37"/>
        <v>0</v>
      </c>
      <c r="N84" s="190">
        <f t="shared" si="38"/>
        <v>0</v>
      </c>
      <c r="O84" s="188"/>
      <c r="P84" s="189">
        <f t="shared" si="39"/>
        <v>0</v>
      </c>
      <c r="Q84" s="224">
        <f t="shared" si="40"/>
        <v>0</v>
      </c>
      <c r="R84" s="108"/>
      <c r="S84" s="4"/>
    </row>
    <row r="85" spans="1:19" s="2" customFormat="1" ht="12" customHeight="1">
      <c r="A85" s="19" t="str">
        <f>'Components and Space Standards'!A92</f>
        <v>HAWC Demonstration Kitchen</v>
      </c>
      <c r="B85" s="16">
        <f>'Components and Space Standards'!B92</f>
        <v>46.449999999999996</v>
      </c>
      <c r="C85" s="11">
        <f>'Components and Space Standards'!C92</f>
        <v>500</v>
      </c>
      <c r="D85" s="255" t="str">
        <f>'Components and Space Standards'!D92</f>
        <v>Kitchen Module(s)</v>
      </c>
      <c r="E85" s="17" t="str">
        <f>'Components and Space Standards'!E92</f>
        <v>per kitchen</v>
      </c>
      <c r="F85" s="188"/>
      <c r="G85" s="189">
        <f t="shared" si="33"/>
        <v>0</v>
      </c>
      <c r="H85" s="190">
        <f t="shared" si="34"/>
        <v>0</v>
      </c>
      <c r="I85" s="190"/>
      <c r="J85" s="190">
        <f t="shared" si="35"/>
        <v>0</v>
      </c>
      <c r="K85" s="190">
        <f t="shared" si="36"/>
        <v>0</v>
      </c>
      <c r="L85" s="190"/>
      <c r="M85" s="190">
        <f t="shared" si="37"/>
        <v>0</v>
      </c>
      <c r="N85" s="190">
        <f t="shared" si="38"/>
        <v>0</v>
      </c>
      <c r="O85" s="188"/>
      <c r="P85" s="189">
        <f t="shared" si="39"/>
        <v>0</v>
      </c>
      <c r="Q85" s="224">
        <f t="shared" si="40"/>
        <v>0</v>
      </c>
      <c r="R85" s="108" t="s">
        <v>56</v>
      </c>
      <c r="S85" s="4"/>
    </row>
    <row r="86" spans="1:19" s="2" customFormat="1" ht="12" customHeight="1">
      <c r="A86" s="354" t="str">
        <f>'Components and Space Standards'!A93</f>
        <v>HAWC Relaxation Room *</v>
      </c>
      <c r="B86" s="355">
        <f>'Components and Space Standards'!B93</f>
        <v>9.29</v>
      </c>
      <c r="C86" s="356">
        <f>'Components and Space Standards'!C93</f>
        <v>100</v>
      </c>
      <c r="D86" s="325" t="str">
        <f>'Components and Space Standards'!D93</f>
        <v>Relaxation Room(s)</v>
      </c>
      <c r="E86" s="101" t="str">
        <f>'Components and Space Standards'!E93</f>
        <v>per room</v>
      </c>
      <c r="F86" s="360"/>
      <c r="G86" s="361">
        <f t="shared" si="33"/>
        <v>0</v>
      </c>
      <c r="H86" s="362">
        <f t="shared" si="34"/>
        <v>0</v>
      </c>
      <c r="I86" s="362"/>
      <c r="J86" s="362">
        <f t="shared" si="35"/>
        <v>0</v>
      </c>
      <c r="K86" s="362">
        <f t="shared" si="36"/>
        <v>0</v>
      </c>
      <c r="L86" s="362"/>
      <c r="M86" s="362">
        <f t="shared" si="37"/>
        <v>0</v>
      </c>
      <c r="N86" s="362">
        <f t="shared" si="38"/>
        <v>0</v>
      </c>
      <c r="O86" s="360"/>
      <c r="P86" s="361">
        <f t="shared" si="39"/>
        <v>0</v>
      </c>
      <c r="Q86" s="363">
        <f t="shared" si="40"/>
        <v>0</v>
      </c>
      <c r="R86" s="357" t="s">
        <v>56</v>
      </c>
      <c r="S86" s="4"/>
    </row>
    <row r="87" spans="1:18" s="380" customFormat="1" ht="15.75" customHeight="1">
      <c r="A87" s="132" t="str">
        <f>'Components and Space Standards'!A94:E94</f>
        <v>Site Spaces</v>
      </c>
      <c r="B87" s="368"/>
      <c r="C87" s="369"/>
      <c r="D87" s="370"/>
      <c r="E87" s="371"/>
      <c r="F87" s="375"/>
      <c r="G87" s="376"/>
      <c r="H87" s="377"/>
      <c r="I87" s="377"/>
      <c r="J87" s="377"/>
      <c r="K87" s="377"/>
      <c r="L87" s="377"/>
      <c r="M87" s="377"/>
      <c r="N87" s="377"/>
      <c r="O87" s="375"/>
      <c r="P87" s="376"/>
      <c r="Q87" s="378"/>
      <c r="R87" s="379"/>
    </row>
    <row r="88" spans="1:18" s="2" customFormat="1" ht="12" customHeight="1">
      <c r="A88" s="128" t="str">
        <f>'Components and Space Standards'!A95</f>
        <v>Staff Parking</v>
      </c>
      <c r="B88" s="364">
        <f>'Components and Space Standards'!B95</f>
        <v>41.805</v>
      </c>
      <c r="C88" s="21">
        <f>'Components and Space Standards'!C95</f>
        <v>450</v>
      </c>
      <c r="D88" s="253" t="str">
        <f>'Components and Space Standards'!D95</f>
        <v>Parking Spaces</v>
      </c>
      <c r="E88" s="22" t="str">
        <f>'Components and Space Standards'!E95</f>
        <v>per space (including circulation)</v>
      </c>
      <c r="F88" s="225"/>
      <c r="G88" s="229">
        <f aca="true" t="shared" si="41" ref="G88:G93">F88*B88</f>
        <v>0</v>
      </c>
      <c r="H88" s="228">
        <f aca="true" t="shared" si="42" ref="H88:H93">F88*C88</f>
        <v>0</v>
      </c>
      <c r="I88" s="228"/>
      <c r="J88" s="228">
        <f aca="true" t="shared" si="43" ref="J88:J93">$B88*I88</f>
        <v>0</v>
      </c>
      <c r="K88" s="228">
        <f aca="true" t="shared" si="44" ref="K88:K93">I88*$C88</f>
        <v>0</v>
      </c>
      <c r="L88" s="228"/>
      <c r="M88" s="228">
        <f aca="true" t="shared" si="45" ref="M88:M93">$B88*L88</f>
        <v>0</v>
      </c>
      <c r="N88" s="228">
        <f aca="true" t="shared" si="46" ref="N88:N93">L88*$C88</f>
        <v>0</v>
      </c>
      <c r="O88" s="225"/>
      <c r="P88" s="229">
        <f aca="true" t="shared" si="47" ref="P88:P93">$B88*O88</f>
        <v>0</v>
      </c>
      <c r="Q88" s="230">
        <f aca="true" t="shared" si="48" ref="Q88:Q93">O88*$C88</f>
        <v>0</v>
      </c>
      <c r="R88" s="129"/>
    </row>
    <row r="89" spans="1:18" s="2" customFormat="1" ht="12" customHeight="1">
      <c r="A89" s="128" t="str">
        <f>'Components and Space Standards'!A96</f>
        <v>Loading dock</v>
      </c>
      <c r="B89" s="16">
        <f>'Components and Space Standards'!B96</f>
        <v>8.360999999999999</v>
      </c>
      <c r="C89" s="21">
        <f>'Components and Space Standards'!C96</f>
        <v>90</v>
      </c>
      <c r="D89" s="253" t="str">
        <f>'Components and Space Standards'!D96</f>
        <v>Loading Dock</v>
      </c>
      <c r="E89" s="22" t="str">
        <f>'Components and Space Standards'!E96</f>
        <v>Per single-truck dock</v>
      </c>
      <c r="F89" s="225"/>
      <c r="G89" s="226">
        <f t="shared" si="41"/>
        <v>0</v>
      </c>
      <c r="H89" s="227">
        <f t="shared" si="42"/>
        <v>0</v>
      </c>
      <c r="I89" s="228"/>
      <c r="J89" s="228">
        <f t="shared" si="43"/>
        <v>0</v>
      </c>
      <c r="K89" s="228">
        <f t="shared" si="44"/>
        <v>0</v>
      </c>
      <c r="L89" s="228"/>
      <c r="M89" s="228">
        <f t="shared" si="45"/>
        <v>0</v>
      </c>
      <c r="N89" s="228">
        <f t="shared" si="46"/>
        <v>0</v>
      </c>
      <c r="O89" s="225"/>
      <c r="P89" s="229">
        <f t="shared" si="47"/>
        <v>0</v>
      </c>
      <c r="Q89" s="230">
        <f t="shared" si="48"/>
        <v>0</v>
      </c>
      <c r="R89" s="129"/>
    </row>
    <row r="90" spans="1:18" s="2" customFormat="1" ht="12" customHeight="1">
      <c r="A90" s="128" t="str">
        <f>'Components and Space Standards'!A97</f>
        <v>Service Drive/trash</v>
      </c>
      <c r="B90" s="16">
        <f>'Components and Space Standards'!B97</f>
        <v>69.675</v>
      </c>
      <c r="C90" s="21">
        <f>'Components and Space Standards'!C97</f>
        <v>750</v>
      </c>
      <c r="D90" s="253" t="str">
        <f>'Components and Space Standards'!D97</f>
        <v>Service Drive Module</v>
      </c>
      <c r="E90" s="22" t="str">
        <f>'Components and Space Standards'!E97</f>
        <v>per area</v>
      </c>
      <c r="F90" s="225"/>
      <c r="G90" s="226">
        <f t="shared" si="41"/>
        <v>0</v>
      </c>
      <c r="H90" s="227">
        <f t="shared" si="42"/>
        <v>0</v>
      </c>
      <c r="I90" s="228"/>
      <c r="J90" s="228">
        <f t="shared" si="43"/>
        <v>0</v>
      </c>
      <c r="K90" s="228">
        <f t="shared" si="44"/>
        <v>0</v>
      </c>
      <c r="L90" s="228"/>
      <c r="M90" s="228">
        <f t="shared" si="45"/>
        <v>0</v>
      </c>
      <c r="N90" s="228">
        <f t="shared" si="46"/>
        <v>0</v>
      </c>
      <c r="O90" s="225"/>
      <c r="P90" s="229">
        <f t="shared" si="47"/>
        <v>0</v>
      </c>
      <c r="Q90" s="230">
        <f t="shared" si="48"/>
        <v>0</v>
      </c>
      <c r="R90" s="129"/>
    </row>
    <row r="91" spans="1:18" s="2" customFormat="1" ht="12" customHeight="1">
      <c r="A91" s="19" t="str">
        <f>'Components and Space Standards'!A98</f>
        <v>Customer Parking</v>
      </c>
      <c r="B91" s="16">
        <f>'Components and Space Standards'!B98</f>
        <v>41.805</v>
      </c>
      <c r="C91" s="11">
        <f>'Components and Space Standards'!C98</f>
        <v>450</v>
      </c>
      <c r="D91" s="255" t="str">
        <f>'Components and Space Standards'!D98</f>
        <v>Parking Spaces</v>
      </c>
      <c r="E91" s="17" t="str">
        <f>'Components and Space Standards'!E98</f>
        <v>per space (including circulation)</v>
      </c>
      <c r="F91" s="188"/>
      <c r="G91" s="226">
        <f t="shared" si="41"/>
        <v>0</v>
      </c>
      <c r="H91" s="227">
        <f t="shared" si="42"/>
        <v>0</v>
      </c>
      <c r="I91" s="227"/>
      <c r="J91" s="227">
        <f t="shared" si="43"/>
        <v>0</v>
      </c>
      <c r="K91" s="227">
        <f t="shared" si="44"/>
        <v>0</v>
      </c>
      <c r="L91" s="227"/>
      <c r="M91" s="227">
        <f t="shared" si="45"/>
        <v>0</v>
      </c>
      <c r="N91" s="227">
        <f t="shared" si="46"/>
        <v>0</v>
      </c>
      <c r="O91" s="188"/>
      <c r="P91" s="226">
        <f t="shared" si="47"/>
        <v>0</v>
      </c>
      <c r="Q91" s="231">
        <f t="shared" si="48"/>
        <v>0</v>
      </c>
      <c r="R91" s="108"/>
    </row>
    <row r="92" spans="1:18" s="2" customFormat="1" ht="12" customHeight="1">
      <c r="A92" s="19" t="str">
        <f>'Components and Space Standards'!A99</f>
        <v>Bicycle Rack Area</v>
      </c>
      <c r="B92" s="16">
        <f>'Components and Space Standards'!B99</f>
        <v>14.863999999999999</v>
      </c>
      <c r="C92" s="11">
        <f>'Components and Space Standards'!C99</f>
        <v>160</v>
      </c>
      <c r="D92" s="255" t="str">
        <f>'Components and Space Standards'!D99</f>
        <v>10-bike Rack(s)</v>
      </c>
      <c r="E92" s="17" t="str">
        <f>'Components and Space Standards'!E99</f>
        <v>per 10-bike Rack</v>
      </c>
      <c r="F92" s="188"/>
      <c r="G92" s="226">
        <f t="shared" si="41"/>
        <v>0</v>
      </c>
      <c r="H92" s="227">
        <f t="shared" si="42"/>
        <v>0</v>
      </c>
      <c r="I92" s="227"/>
      <c r="J92" s="227">
        <f t="shared" si="43"/>
        <v>0</v>
      </c>
      <c r="K92" s="227">
        <f t="shared" si="44"/>
        <v>0</v>
      </c>
      <c r="L92" s="227"/>
      <c r="M92" s="227">
        <f t="shared" si="45"/>
        <v>0</v>
      </c>
      <c r="N92" s="227">
        <f t="shared" si="46"/>
        <v>0</v>
      </c>
      <c r="O92" s="188"/>
      <c r="P92" s="226">
        <f t="shared" si="47"/>
        <v>0</v>
      </c>
      <c r="Q92" s="231">
        <f t="shared" si="48"/>
        <v>0</v>
      </c>
      <c r="R92" s="108"/>
    </row>
    <row r="93" spans="1:18" s="2" customFormat="1" ht="12" customHeight="1" thickBot="1">
      <c r="A93" s="19" t="str">
        <f>'Components and Space Standards'!A100</f>
        <v>Patio</v>
      </c>
      <c r="B93" s="16">
        <f>'Components and Space Standards'!B100</f>
        <v>2.3225</v>
      </c>
      <c r="C93" s="11">
        <f>'Components and Space Standards'!C100</f>
        <v>25</v>
      </c>
      <c r="D93" s="255" t="str">
        <f>'Components and Space Standards'!D100</f>
        <v>Patio Module(s)</v>
      </c>
      <c r="E93" s="17" t="str">
        <f>'Components and Space Standards'!E100</f>
        <v>per patio</v>
      </c>
      <c r="F93" s="188"/>
      <c r="G93" s="226">
        <f t="shared" si="41"/>
        <v>0</v>
      </c>
      <c r="H93" s="227">
        <f t="shared" si="42"/>
        <v>0</v>
      </c>
      <c r="I93" s="227"/>
      <c r="J93" s="227">
        <f t="shared" si="43"/>
        <v>0</v>
      </c>
      <c r="K93" s="227">
        <f t="shared" si="44"/>
        <v>0</v>
      </c>
      <c r="L93" s="227"/>
      <c r="M93" s="227">
        <f t="shared" si="45"/>
        <v>0</v>
      </c>
      <c r="N93" s="227">
        <f t="shared" si="46"/>
        <v>0</v>
      </c>
      <c r="O93" s="188"/>
      <c r="P93" s="226">
        <f t="shared" si="47"/>
        <v>0</v>
      </c>
      <c r="Q93" s="231">
        <f t="shared" si="48"/>
        <v>0</v>
      </c>
      <c r="R93" s="112"/>
    </row>
    <row r="94" spans="1:18" s="2" customFormat="1" ht="12" customHeight="1" thickBot="1">
      <c r="A94" s="12" t="str">
        <f>'Components and Space Standards'!A101</f>
        <v>* Service-specific space.</v>
      </c>
      <c r="B94" s="13"/>
      <c r="C94" s="14"/>
      <c r="D94" s="14"/>
      <c r="E94" s="15"/>
      <c r="F94" s="232"/>
      <c r="G94" s="232"/>
      <c r="H94" s="232"/>
      <c r="I94" s="232"/>
      <c r="J94" s="232"/>
      <c r="K94" s="232"/>
      <c r="L94" s="232"/>
      <c r="M94" s="232"/>
      <c r="N94" s="232"/>
      <c r="O94" s="233"/>
      <c r="P94" s="234"/>
      <c r="Q94" s="235"/>
      <c r="R94" s="113"/>
    </row>
    <row r="95" spans="1:18" s="2" customFormat="1" ht="12" customHeight="1">
      <c r="A95" s="4" t="str">
        <f>'Components and Space Standards'!A102</f>
        <v>1 If contract service, verify area with contractor. </v>
      </c>
      <c r="B95" s="5"/>
      <c r="C95" s="8"/>
      <c r="D95" s="8"/>
      <c r="E95" s="6"/>
      <c r="F95" s="236"/>
      <c r="G95" s="236"/>
      <c r="H95" s="236"/>
      <c r="I95" s="236"/>
      <c r="J95" s="236"/>
      <c r="K95" s="236"/>
      <c r="L95" s="236"/>
      <c r="M95" s="236"/>
      <c r="N95" s="236"/>
      <c r="O95" s="237"/>
      <c r="P95" s="238"/>
      <c r="Q95" s="239"/>
      <c r="R95" s="113"/>
    </row>
    <row r="96" spans="1:18" s="2" customFormat="1" ht="12" customHeight="1">
      <c r="A96" s="4"/>
      <c r="B96" s="4"/>
      <c r="C96" s="4"/>
      <c r="D96" s="4"/>
      <c r="E96" s="4"/>
      <c r="F96" s="240"/>
      <c r="G96" s="240"/>
      <c r="H96" s="240"/>
      <c r="I96" s="240"/>
      <c r="J96" s="240"/>
      <c r="K96" s="240"/>
      <c r="L96" s="240"/>
      <c r="M96" s="240"/>
      <c r="N96" s="240"/>
      <c r="O96" s="240"/>
      <c r="P96" s="240"/>
      <c r="Q96" s="240"/>
      <c r="R96" s="113"/>
    </row>
    <row r="97" spans="1:18" s="2" customFormat="1" ht="12" customHeight="1">
      <c r="A97" s="4"/>
      <c r="B97" s="4"/>
      <c r="C97" s="4"/>
      <c r="D97" s="4"/>
      <c r="E97" s="4"/>
      <c r="F97" s="240"/>
      <c r="G97" s="240"/>
      <c r="H97" s="240"/>
      <c r="I97" s="240"/>
      <c r="J97" s="240"/>
      <c r="K97" s="240"/>
      <c r="L97" s="240"/>
      <c r="M97" s="240"/>
      <c r="N97" s="240"/>
      <c r="O97" s="240"/>
      <c r="P97" s="240"/>
      <c r="Q97" s="240"/>
      <c r="R97" s="113"/>
    </row>
    <row r="98" spans="1:17" ht="12" customHeight="1">
      <c r="A98" s="4"/>
      <c r="B98" s="4"/>
      <c r="C98" s="4"/>
      <c r="D98" s="4"/>
      <c r="E98" s="4"/>
      <c r="F98" s="240"/>
      <c r="G98" s="240"/>
      <c r="H98" s="240"/>
      <c r="I98" s="240"/>
      <c r="J98" s="240"/>
      <c r="K98" s="240"/>
      <c r="L98" s="240"/>
      <c r="M98" s="240"/>
      <c r="N98" s="240"/>
      <c r="O98" s="240"/>
      <c r="P98" s="240"/>
      <c r="Q98" s="240"/>
    </row>
    <row r="99" spans="2:15" ht="12" customHeight="1">
      <c r="B99" s="20"/>
      <c r="C99" s="20"/>
      <c r="D99" s="20"/>
      <c r="O99" s="241"/>
    </row>
    <row r="100" spans="2:15" ht="12" customHeight="1">
      <c r="B100" s="20"/>
      <c r="C100" s="20"/>
      <c r="D100" s="20"/>
      <c r="O100" s="241"/>
    </row>
    <row r="101" spans="2:15" ht="12" customHeight="1">
      <c r="B101" s="20"/>
      <c r="C101" s="20"/>
      <c r="D101" s="20"/>
      <c r="O101" s="241"/>
    </row>
    <row r="102" spans="2:15" ht="12" customHeight="1">
      <c r="B102" s="20"/>
      <c r="C102" s="20"/>
      <c r="D102" s="20"/>
      <c r="O102" s="241"/>
    </row>
    <row r="103" spans="2:15" ht="12" customHeight="1">
      <c r="B103" s="20"/>
      <c r="C103" s="20"/>
      <c r="D103" s="20"/>
      <c r="O103" s="241"/>
    </row>
    <row r="104" spans="2:15" ht="12" customHeight="1">
      <c r="B104" s="20"/>
      <c r="C104" s="20"/>
      <c r="D104" s="20"/>
      <c r="O104" s="241"/>
    </row>
    <row r="105" spans="2:15" ht="12" customHeight="1">
      <c r="B105" s="20"/>
      <c r="C105" s="20"/>
      <c r="D105" s="20"/>
      <c r="O105" s="241"/>
    </row>
    <row r="106" spans="1:17" ht="12" customHeight="1">
      <c r="A106" s="9"/>
      <c r="B106" s="10"/>
      <c r="C106" s="8"/>
      <c r="D106" s="8"/>
      <c r="E106" s="4"/>
      <c r="F106" s="237"/>
      <c r="G106" s="242"/>
      <c r="H106" s="240"/>
      <c r="I106" s="240"/>
      <c r="J106" s="240"/>
      <c r="K106" s="240"/>
      <c r="L106" s="240"/>
      <c r="M106" s="240"/>
      <c r="N106" s="240"/>
      <c r="O106" s="237"/>
      <c r="P106" s="242"/>
      <c r="Q106" s="243"/>
    </row>
    <row r="107" spans="1:17" ht="12" customHeight="1">
      <c r="A107" s="9"/>
      <c r="B107" s="10"/>
      <c r="C107" s="8"/>
      <c r="D107" s="8"/>
      <c r="E107" s="4"/>
      <c r="F107" s="237"/>
      <c r="G107" s="242"/>
      <c r="H107" s="240"/>
      <c r="I107" s="240"/>
      <c r="J107" s="240"/>
      <c r="K107" s="240"/>
      <c r="L107" s="240"/>
      <c r="M107" s="240"/>
      <c r="N107" s="240"/>
      <c r="O107" s="237"/>
      <c r="P107" s="242"/>
      <c r="Q107" s="243"/>
    </row>
    <row r="108" spans="1:17" ht="12" customHeight="1">
      <c r="A108" s="9"/>
      <c r="B108" s="10"/>
      <c r="C108" s="8"/>
      <c r="D108" s="8"/>
      <c r="E108" s="4"/>
      <c r="F108" s="237"/>
      <c r="G108" s="242"/>
      <c r="H108" s="240"/>
      <c r="I108" s="240"/>
      <c r="J108" s="240"/>
      <c r="K108" s="240"/>
      <c r="L108" s="240"/>
      <c r="M108" s="240"/>
      <c r="N108" s="240"/>
      <c r="O108" s="237"/>
      <c r="P108" s="242"/>
      <c r="Q108" s="243"/>
    </row>
    <row r="109" spans="1:17" ht="12" customHeight="1">
      <c r="A109" s="9"/>
      <c r="B109" s="10"/>
      <c r="C109" s="8"/>
      <c r="D109" s="8"/>
      <c r="E109" s="4"/>
      <c r="F109" s="237"/>
      <c r="G109" s="242"/>
      <c r="H109" s="240"/>
      <c r="I109" s="240"/>
      <c r="J109" s="240"/>
      <c r="K109" s="240"/>
      <c r="L109" s="240"/>
      <c r="M109" s="240"/>
      <c r="N109" s="240"/>
      <c r="O109" s="237"/>
      <c r="P109" s="242"/>
      <c r="Q109" s="243"/>
    </row>
  </sheetData>
  <sheetProtection deleteColumns="0"/>
  <mergeCells count="16">
    <mergeCell ref="A3:E3"/>
    <mergeCell ref="R82:R83"/>
    <mergeCell ref="R23:R28"/>
    <mergeCell ref="R13:R16"/>
    <mergeCell ref="R34:R35"/>
    <mergeCell ref="R48:R49"/>
    <mergeCell ref="R66:R67"/>
    <mergeCell ref="A68:E68"/>
    <mergeCell ref="A51:E51"/>
    <mergeCell ref="A61:E61"/>
    <mergeCell ref="R1:R2"/>
    <mergeCell ref="O1:Q1"/>
    <mergeCell ref="F1:H1"/>
    <mergeCell ref="B1:E1"/>
    <mergeCell ref="I1:K1"/>
    <mergeCell ref="L1:N1"/>
  </mergeCells>
  <dataValidations count="1">
    <dataValidation allowBlank="1" showErrorMessage="1" promptTitle="Note:" prompt="Testing" sqref="A1"/>
  </dataValidations>
  <printOptions horizontalCentered="1"/>
  <pageMargins left="0.4" right="0.4" top="0.5" bottom="0.5" header="0.5" footer="0.25"/>
  <pageSetup horizontalDpi="600" verticalDpi="600" orientation="landscape" paperSize="17" r:id="rId3"/>
  <legacyDrawing r:id="rId2"/>
</worksheet>
</file>

<file path=xl/worksheets/sheet7.xml><?xml version="1.0" encoding="utf-8"?>
<worksheet xmlns="http://schemas.openxmlformats.org/spreadsheetml/2006/main" xmlns:r="http://schemas.openxmlformats.org/officeDocument/2006/relationships">
  <sheetPr codeName="Sheet6"/>
  <dimension ref="A1:Y111"/>
  <sheetViews>
    <sheetView showGridLines="0" zoomScale="110" zoomScaleNormal="110" zoomScalePageLayoutView="0" workbookViewId="0" topLeftCell="A1">
      <pane xSplit="1" ySplit="2" topLeftCell="B7" activePane="bottomRight" state="frozen"/>
      <selection pane="topLeft" activeCell="E82" sqref="E82"/>
      <selection pane="topRight" activeCell="E82" sqref="E82"/>
      <selection pane="bottomLeft" activeCell="E82" sqref="E82"/>
      <selection pane="bottomRight" activeCell="D15" sqref="D15"/>
    </sheetView>
  </sheetViews>
  <sheetFormatPr defaultColWidth="9.140625" defaultRowHeight="12" customHeight="1"/>
  <cols>
    <col min="1" max="1" width="30.7109375" style="20" customWidth="1"/>
    <col min="2" max="2" width="6.7109375" style="94" customWidth="1"/>
    <col min="3" max="3" width="6.7109375" style="95" customWidth="1"/>
    <col min="4" max="4" width="30.7109375" style="95" customWidth="1"/>
    <col min="5" max="5" width="40.7109375" style="20" customWidth="1"/>
    <col min="6" max="6" width="6.7109375" style="241" customWidth="1"/>
    <col min="7" max="8" width="8.7109375" style="241" customWidth="1"/>
    <col min="9" max="9" width="6.7109375" style="241" customWidth="1"/>
    <col min="10" max="11" width="8.7109375" style="241" customWidth="1"/>
    <col min="12" max="12" width="6.7109375" style="241" customWidth="1"/>
    <col min="13" max="14" width="8.7109375" style="241" customWidth="1"/>
    <col min="15" max="15" width="6.7109375" style="241" customWidth="1"/>
    <col min="16" max="17" width="8.7109375" style="241" customWidth="1"/>
    <col min="18" max="18" width="6.7109375" style="244" customWidth="1"/>
    <col min="19" max="20" width="8.7109375" style="241" customWidth="1"/>
    <col min="21" max="21" width="75.7109375" style="114" customWidth="1"/>
    <col min="22" max="22" width="1.7109375" style="1" customWidth="1"/>
    <col min="23" max="23" width="12.00390625" style="1" customWidth="1"/>
    <col min="24" max="16384" width="9.140625" style="1" customWidth="1"/>
  </cols>
  <sheetData>
    <row r="1" spans="1:23" ht="30" customHeight="1">
      <c r="A1" s="245" t="s">
        <v>199</v>
      </c>
      <c r="B1" s="614" t="s">
        <v>0</v>
      </c>
      <c r="C1" s="615"/>
      <c r="D1" s="615"/>
      <c r="E1" s="630"/>
      <c r="F1" s="627" t="s">
        <v>155</v>
      </c>
      <c r="G1" s="628"/>
      <c r="H1" s="629"/>
      <c r="I1" s="627" t="s">
        <v>170</v>
      </c>
      <c r="J1" s="628"/>
      <c r="K1" s="629"/>
      <c r="L1" s="626" t="s">
        <v>171</v>
      </c>
      <c r="M1" s="626"/>
      <c r="N1" s="626"/>
      <c r="O1" s="626" t="s">
        <v>172</v>
      </c>
      <c r="P1" s="626"/>
      <c r="Q1" s="626"/>
      <c r="R1" s="627" t="s">
        <v>173</v>
      </c>
      <c r="S1" s="628"/>
      <c r="T1" s="629"/>
      <c r="U1" s="612" t="s">
        <v>21</v>
      </c>
      <c r="W1" s="115"/>
    </row>
    <row r="2" spans="1:23" s="7" customFormat="1" ht="15" customHeight="1" thickBot="1">
      <c r="A2" s="314" t="s">
        <v>1</v>
      </c>
      <c r="B2" s="90" t="s">
        <v>4</v>
      </c>
      <c r="C2" s="91" t="s">
        <v>5</v>
      </c>
      <c r="D2" s="92" t="s">
        <v>2</v>
      </c>
      <c r="E2" s="92" t="s">
        <v>200</v>
      </c>
      <c r="F2" s="179" t="s">
        <v>3</v>
      </c>
      <c r="G2" s="179" t="s">
        <v>4</v>
      </c>
      <c r="H2" s="179" t="s">
        <v>5</v>
      </c>
      <c r="I2" s="179" t="s">
        <v>3</v>
      </c>
      <c r="J2" s="179" t="s">
        <v>4</v>
      </c>
      <c r="K2" s="179" t="s">
        <v>5</v>
      </c>
      <c r="L2" s="179" t="s">
        <v>3</v>
      </c>
      <c r="M2" s="179" t="s">
        <v>4</v>
      </c>
      <c r="N2" s="179" t="s">
        <v>5</v>
      </c>
      <c r="O2" s="179" t="s">
        <v>3</v>
      </c>
      <c r="P2" s="179" t="s">
        <v>4</v>
      </c>
      <c r="Q2" s="179" t="s">
        <v>5</v>
      </c>
      <c r="R2" s="179" t="s">
        <v>3</v>
      </c>
      <c r="S2" s="180" t="s">
        <v>4</v>
      </c>
      <c r="T2" s="181" t="s">
        <v>5</v>
      </c>
      <c r="U2" s="613"/>
      <c r="V2" s="76"/>
      <c r="W2" s="115"/>
    </row>
    <row r="3" spans="1:22" s="2" customFormat="1" ht="15.75" customHeight="1">
      <c r="A3" s="631" t="str">
        <f>'Components and Space Standards'!A3:E3</f>
        <v>Fitness Spaces</v>
      </c>
      <c r="B3" s="632"/>
      <c r="C3" s="632"/>
      <c r="D3" s="632"/>
      <c r="E3" s="632"/>
      <c r="F3" s="182"/>
      <c r="G3" s="182"/>
      <c r="H3" s="182"/>
      <c r="I3" s="182"/>
      <c r="J3" s="182"/>
      <c r="K3" s="182"/>
      <c r="L3" s="182"/>
      <c r="M3" s="182"/>
      <c r="N3" s="182"/>
      <c r="O3" s="182"/>
      <c r="P3" s="182"/>
      <c r="Q3" s="182"/>
      <c r="R3" s="182"/>
      <c r="S3" s="182"/>
      <c r="T3" s="183"/>
      <c r="U3" s="107"/>
      <c r="V3" s="4"/>
    </row>
    <row r="4" spans="1:21" s="331" customFormat="1" ht="12" customHeight="1">
      <c r="A4" s="184" t="str">
        <f>'Components and Space Standards'!A4</f>
        <v>Lobby/Reception</v>
      </c>
      <c r="B4" s="185"/>
      <c r="C4" s="186"/>
      <c r="D4" s="186"/>
      <c r="E4" s="187"/>
      <c r="F4" s="200"/>
      <c r="G4" s="204"/>
      <c r="H4" s="205"/>
      <c r="I4" s="202"/>
      <c r="J4" s="202"/>
      <c r="K4" s="202"/>
      <c r="L4" s="202"/>
      <c r="M4" s="202"/>
      <c r="N4" s="202"/>
      <c r="O4" s="202"/>
      <c r="P4" s="202"/>
      <c r="Q4" s="202"/>
      <c r="R4" s="200"/>
      <c r="S4" s="204"/>
      <c r="T4" s="329"/>
      <c r="U4" s="330"/>
    </row>
    <row r="5" spans="1:22" s="2" customFormat="1" ht="12" customHeight="1">
      <c r="A5" s="23" t="str">
        <f>'Components and Space Standards'!A5</f>
        <v>Entry Lobby</v>
      </c>
      <c r="B5" s="313">
        <f>'Components and Space Standards'!B5</f>
        <v>9.29</v>
      </c>
      <c r="C5" s="313">
        <f>'Components and Space Standards'!C5</f>
        <v>100</v>
      </c>
      <c r="D5" s="117" t="str">
        <f>'Components and Space Standards'!D5</f>
        <v>Vestibule/Lobby Module(s) (for 2-3 ppl)</v>
      </c>
      <c r="E5" s="117" t="str">
        <f>'Components and Space Standards'!E5</f>
        <v>Vesibule and/or space for 2 to 3 ppl to queue</v>
      </c>
      <c r="F5" s="188">
        <v>1</v>
      </c>
      <c r="G5" s="193">
        <f>$B5*F5</f>
        <v>9.29</v>
      </c>
      <c r="H5" s="191">
        <f>F5*$C5</f>
        <v>100</v>
      </c>
      <c r="I5" s="191">
        <v>2</v>
      </c>
      <c r="J5" s="193">
        <f>$B5*I5</f>
        <v>18.58</v>
      </c>
      <c r="K5" s="191">
        <f>I5*$C5</f>
        <v>200</v>
      </c>
      <c r="L5" s="191">
        <v>3</v>
      </c>
      <c r="M5" s="193">
        <f>$B5*L5</f>
        <v>27.869999999999997</v>
      </c>
      <c r="N5" s="191">
        <f>L5*$C5</f>
        <v>300</v>
      </c>
      <c r="O5" s="191">
        <v>4</v>
      </c>
      <c r="P5" s="193">
        <f>$B5*O5</f>
        <v>37.16</v>
      </c>
      <c r="Q5" s="191">
        <f>O5*$C5</f>
        <v>400</v>
      </c>
      <c r="R5" s="188"/>
      <c r="S5" s="193">
        <f>$B5*R5</f>
        <v>0</v>
      </c>
      <c r="T5" s="191">
        <f>R5*$C5</f>
        <v>0</v>
      </c>
      <c r="U5" s="118" t="s">
        <v>175</v>
      </c>
      <c r="V5" s="4"/>
    </row>
    <row r="6" spans="1:22" s="2" customFormat="1" ht="12" customHeight="1">
      <c r="A6" s="23" t="str">
        <f>'Components and Space Standards'!A6</f>
        <v>Control Counter</v>
      </c>
      <c r="B6" s="313">
        <f>'Components and Space Standards'!B6</f>
        <v>11.612499999999999</v>
      </c>
      <c r="C6" s="313">
        <f>'Components and Space Standards'!C6</f>
        <v>125</v>
      </c>
      <c r="D6" s="117" t="str">
        <f>'Components and Space Standards'!D6</f>
        <v>Counter Module(s)</v>
      </c>
      <c r="E6" s="117" t="str">
        <f>'Components and Space Standards'!E6</f>
        <v>Space for counter, space behind, space in front</v>
      </c>
      <c r="F6" s="188">
        <v>1</v>
      </c>
      <c r="G6" s="193">
        <f>$B6*F6</f>
        <v>11.612499999999999</v>
      </c>
      <c r="H6" s="191">
        <f>F6*$C6</f>
        <v>125</v>
      </c>
      <c r="I6" s="191">
        <v>2</v>
      </c>
      <c r="J6" s="193">
        <f>$B6*I6</f>
        <v>23.224999999999998</v>
      </c>
      <c r="K6" s="191">
        <f>I6*$C6</f>
        <v>250</v>
      </c>
      <c r="L6" s="191">
        <v>3</v>
      </c>
      <c r="M6" s="193">
        <f>$B6*L6</f>
        <v>34.8375</v>
      </c>
      <c r="N6" s="191">
        <f>L6*$C6</f>
        <v>375</v>
      </c>
      <c r="O6" s="191">
        <v>4</v>
      </c>
      <c r="P6" s="193">
        <f>$B6*O6</f>
        <v>46.449999999999996</v>
      </c>
      <c r="Q6" s="191">
        <f>O6*$C6</f>
        <v>500</v>
      </c>
      <c r="R6" s="188"/>
      <c r="S6" s="193">
        <f>$B6*R6</f>
        <v>0</v>
      </c>
      <c r="T6" s="191">
        <f>R6*$C6</f>
        <v>0</v>
      </c>
      <c r="U6" s="118" t="s">
        <v>122</v>
      </c>
      <c r="V6" s="4"/>
    </row>
    <row r="7" spans="1:22" s="2" customFormat="1" ht="12" customHeight="1">
      <c r="A7" s="23" t="str">
        <f>'Components and Space Standards'!A7</f>
        <v>Equipment issue storage</v>
      </c>
      <c r="B7" s="313">
        <f>'Components and Space Standards'!B7</f>
        <v>16.2575</v>
      </c>
      <c r="C7" s="313">
        <f>'Components and Space Standards'!C7</f>
        <v>175</v>
      </c>
      <c r="D7" s="117" t="str">
        <f>'Components and Space Standards'!D7</f>
        <v>Storage Module(s)</v>
      </c>
      <c r="E7" s="117" t="str">
        <f>'Components and Space Standards'!E7</f>
        <v>Equipment storage at/behind gear issue </v>
      </c>
      <c r="F7" s="188">
        <v>1</v>
      </c>
      <c r="G7" s="193">
        <f>$B7*F7</f>
        <v>16.2575</v>
      </c>
      <c r="H7" s="191">
        <f>F7*$C7</f>
        <v>175</v>
      </c>
      <c r="I7" s="191">
        <v>2</v>
      </c>
      <c r="J7" s="193">
        <f>$B7*I7</f>
        <v>32.515</v>
      </c>
      <c r="K7" s="191">
        <f>I7*$C7</f>
        <v>350</v>
      </c>
      <c r="L7" s="191">
        <v>3</v>
      </c>
      <c r="M7" s="193">
        <f>$B7*L7</f>
        <v>48.7725</v>
      </c>
      <c r="N7" s="191">
        <f>L7*$C7</f>
        <v>525</v>
      </c>
      <c r="O7" s="191">
        <v>4</v>
      </c>
      <c r="P7" s="193">
        <f>$B7*O7</f>
        <v>65.03</v>
      </c>
      <c r="Q7" s="191">
        <f>O7*$C7</f>
        <v>700</v>
      </c>
      <c r="R7" s="188"/>
      <c r="S7" s="193">
        <f>$B7*R7</f>
        <v>0</v>
      </c>
      <c r="T7" s="191">
        <f>R7*$C7</f>
        <v>0</v>
      </c>
      <c r="U7" s="118" t="s">
        <v>118</v>
      </c>
      <c r="V7" s="4"/>
    </row>
    <row r="8" spans="1:22" s="2" customFormat="1" ht="12" customHeight="1">
      <c r="A8" s="23" t="str">
        <f>'Components and Space Standards'!A8</f>
        <v>Vending</v>
      </c>
      <c r="B8" s="313">
        <f>'Components and Space Standards'!B8</f>
        <v>1.8579999999999999</v>
      </c>
      <c r="C8" s="313">
        <f>'Components and Space Standards'!C8</f>
        <v>20</v>
      </c>
      <c r="D8" s="117" t="str">
        <f>'Components and Space Standards'!D8</f>
        <v>Vending Machine(s)</v>
      </c>
      <c r="E8" s="117" t="str">
        <f>'Components and Space Standards'!E8</f>
        <v>per vending machine</v>
      </c>
      <c r="F8" s="188">
        <v>2</v>
      </c>
      <c r="G8" s="193">
        <f>$B8*F8</f>
        <v>3.7159999999999997</v>
      </c>
      <c r="H8" s="191">
        <f>F8*$C8</f>
        <v>40</v>
      </c>
      <c r="I8" s="191">
        <v>2</v>
      </c>
      <c r="J8" s="193">
        <f>$B8*I8</f>
        <v>3.7159999999999997</v>
      </c>
      <c r="K8" s="191">
        <f>I8*$C8</f>
        <v>40</v>
      </c>
      <c r="L8" s="191">
        <v>4</v>
      </c>
      <c r="M8" s="193">
        <f>$B8*L8</f>
        <v>7.4319999999999995</v>
      </c>
      <c r="N8" s="191">
        <f>L8*$C8</f>
        <v>80</v>
      </c>
      <c r="O8" s="191">
        <v>6</v>
      </c>
      <c r="P8" s="193">
        <f>$B8*O8</f>
        <v>11.148</v>
      </c>
      <c r="Q8" s="191">
        <f>O8*$C8</f>
        <v>120</v>
      </c>
      <c r="R8" s="188"/>
      <c r="S8" s="193">
        <f>$B8*R8</f>
        <v>0</v>
      </c>
      <c r="T8" s="191">
        <f>R8*$C8</f>
        <v>0</v>
      </c>
      <c r="U8" s="118" t="s">
        <v>121</v>
      </c>
      <c r="V8" s="4"/>
    </row>
    <row r="9" spans="1:22" s="2" customFormat="1" ht="12" customHeight="1">
      <c r="A9" s="23" t="str">
        <f>'Components and Space Standards'!A9</f>
        <v>Waiting/Display</v>
      </c>
      <c r="B9" s="313">
        <f>'Components and Space Standards'!B9</f>
        <v>8.360999999999999</v>
      </c>
      <c r="C9" s="313">
        <f>'Components and Space Standards'!C9</f>
        <v>90</v>
      </c>
      <c r="D9" s="117" t="str">
        <f>'Components and Space Standards'!D9</f>
        <v>Seating/Display Module(s) (for 4 ppl)</v>
      </c>
      <c r="E9" s="117" t="str">
        <f>'Components and Space Standards'!E9</f>
        <v>Space for seating for 4 ppl and display area</v>
      </c>
      <c r="F9" s="188">
        <v>1</v>
      </c>
      <c r="G9" s="193">
        <f>$B9*F9</f>
        <v>8.360999999999999</v>
      </c>
      <c r="H9" s="191">
        <f>F9*$C9</f>
        <v>90</v>
      </c>
      <c r="I9" s="191">
        <v>2</v>
      </c>
      <c r="J9" s="193">
        <f>$B9*I9</f>
        <v>16.721999999999998</v>
      </c>
      <c r="K9" s="191">
        <f>I9*$C9</f>
        <v>180</v>
      </c>
      <c r="L9" s="191">
        <v>4</v>
      </c>
      <c r="M9" s="193">
        <f>$B9*L9</f>
        <v>33.443999999999996</v>
      </c>
      <c r="N9" s="191">
        <f>L9*$C9</f>
        <v>360</v>
      </c>
      <c r="O9" s="191">
        <v>6</v>
      </c>
      <c r="P9" s="193">
        <f>$B9*O9</f>
        <v>50.166</v>
      </c>
      <c r="Q9" s="191">
        <f>O9*$C9</f>
        <v>540</v>
      </c>
      <c r="R9" s="188"/>
      <c r="S9" s="193">
        <f>$B9*R9</f>
        <v>0</v>
      </c>
      <c r="T9" s="191">
        <f>R9*$C9</f>
        <v>0</v>
      </c>
      <c r="U9" s="108" t="s">
        <v>178</v>
      </c>
      <c r="V9" s="4"/>
    </row>
    <row r="10" spans="1:22" s="2" customFormat="1" ht="12" customHeight="1">
      <c r="A10" s="23" t="str">
        <f>'Components and Space Standards'!A10</f>
        <v>Spectator peak-time circulation</v>
      </c>
      <c r="B10" s="313">
        <f>'Components and Space Standards'!B10</f>
        <v>27.869999999999997</v>
      </c>
      <c r="C10" s="313">
        <f>'Components and Space Standards'!C10</f>
        <v>300</v>
      </c>
      <c r="D10" s="117" t="str">
        <f>'Components and Space Standards'!D10</f>
        <v>Circulation Module(s)</v>
      </c>
      <c r="E10" s="117" t="str">
        <f>'Components and Space Standards'!E10</f>
        <v>Per one-side bleachers - driven by gym size</v>
      </c>
      <c r="F10" s="194"/>
      <c r="G10" s="195"/>
      <c r="H10" s="196"/>
      <c r="I10" s="196"/>
      <c r="J10" s="195"/>
      <c r="K10" s="196"/>
      <c r="L10" s="196"/>
      <c r="M10" s="195"/>
      <c r="N10" s="196"/>
      <c r="O10" s="196"/>
      <c r="P10" s="195"/>
      <c r="Q10" s="196"/>
      <c r="R10" s="194"/>
      <c r="S10" s="195"/>
      <c r="T10" s="196"/>
      <c r="U10" s="108" t="s">
        <v>180</v>
      </c>
      <c r="V10" s="4"/>
    </row>
    <row r="11" spans="1:22" s="2" customFormat="1" ht="12" customHeight="1">
      <c r="A11" s="23" t="str">
        <f>'Components and Space Standards'!A11</f>
        <v>Public restrooms/phones</v>
      </c>
      <c r="B11" s="496">
        <f>'Components and Space Standards'!B11</f>
        <v>0</v>
      </c>
      <c r="C11" s="496">
        <f>'Components and Space Standards'!C11</f>
        <v>0</v>
      </c>
      <c r="D11" s="497" t="str">
        <f>'Components and Space Standards'!D11</f>
        <v>Public Restroom(s)</v>
      </c>
      <c r="E11" s="117" t="str">
        <f>'Components and Space Standards'!E11</f>
        <v>Option - Driven by gym size</v>
      </c>
      <c r="F11" s="277"/>
      <c r="G11" s="195"/>
      <c r="H11" s="196"/>
      <c r="I11" s="310"/>
      <c r="J11" s="195"/>
      <c r="K11" s="196"/>
      <c r="L11" s="196"/>
      <c r="M11" s="195"/>
      <c r="N11" s="196"/>
      <c r="O11" s="196">
        <v>3</v>
      </c>
      <c r="P11" s="195"/>
      <c r="Q11" s="196"/>
      <c r="R11" s="194"/>
      <c r="S11" s="195"/>
      <c r="T11" s="196"/>
      <c r="U11" s="108" t="s">
        <v>130</v>
      </c>
      <c r="V11" s="4"/>
    </row>
    <row r="12" spans="1:21" s="331" customFormat="1" ht="12" customHeight="1">
      <c r="A12" s="184" t="str">
        <f>'Components and Space Standards'!A12</f>
        <v>Gymnasium</v>
      </c>
      <c r="B12" s="185"/>
      <c r="C12" s="186"/>
      <c r="D12" s="186"/>
      <c r="E12" s="187"/>
      <c r="F12" s="200"/>
      <c r="G12" s="201"/>
      <c r="H12" s="202"/>
      <c r="I12" s="202"/>
      <c r="J12" s="201"/>
      <c r="K12" s="202"/>
      <c r="L12" s="202"/>
      <c r="M12" s="201"/>
      <c r="N12" s="202"/>
      <c r="O12" s="202"/>
      <c r="P12" s="201"/>
      <c r="Q12" s="202"/>
      <c r="R12" s="200"/>
      <c r="S12" s="201"/>
      <c r="T12" s="202"/>
      <c r="U12" s="330"/>
    </row>
    <row r="13" spans="1:22" s="2" customFormat="1" ht="12" customHeight="1">
      <c r="A13" s="23" t="str">
        <f>'Components and Space Standards'!A13</f>
        <v>Basketball/volleyball Court</v>
      </c>
      <c r="B13" s="313">
        <f>'Components and Space Standards'!B13</f>
        <v>826.0668</v>
      </c>
      <c r="C13" s="313">
        <f>'Components and Space Standards'!C13</f>
        <v>8892</v>
      </c>
      <c r="D13" s="117" t="str">
        <f>'Components and Space Standards'!D13</f>
        <v>One-court/200-seat Module(s)</v>
      </c>
      <c r="E13" s="117" t="str">
        <f>'Components and Space Standards'!E13</f>
        <v>NCAA Court + 10' safety + 200 seats (one side)</v>
      </c>
      <c r="F13" s="188"/>
      <c r="G13" s="193">
        <f aca="true" t="shared" si="0" ref="G13:G18">$B13*F13</f>
        <v>0</v>
      </c>
      <c r="H13" s="191">
        <f aca="true" t="shared" si="1" ref="H13:H18">F13*$C13</f>
        <v>0</v>
      </c>
      <c r="I13" s="191"/>
      <c r="J13" s="193">
        <f aca="true" t="shared" si="2" ref="J13:J18">$B13*I13</f>
        <v>0</v>
      </c>
      <c r="K13" s="191">
        <f aca="true" t="shared" si="3" ref="K13:K18">I13*$C13</f>
        <v>0</v>
      </c>
      <c r="L13" s="191"/>
      <c r="M13" s="193">
        <f aca="true" t="shared" si="4" ref="M13:M18">$B13*L13</f>
        <v>0</v>
      </c>
      <c r="N13" s="191">
        <f aca="true" t="shared" si="5" ref="N13:N18">L13*$C13</f>
        <v>0</v>
      </c>
      <c r="O13" s="191"/>
      <c r="P13" s="193">
        <f aca="true" t="shared" si="6" ref="P13:P18">$B13*O13</f>
        <v>0</v>
      </c>
      <c r="Q13" s="191">
        <f aca="true" t="shared" si="7" ref="Q13:Q18">O13*$C13</f>
        <v>0</v>
      </c>
      <c r="R13" s="188"/>
      <c r="S13" s="193">
        <f aca="true" t="shared" si="8" ref="S13:S18">$B13*R13</f>
        <v>0</v>
      </c>
      <c r="T13" s="191">
        <f aca="true" t="shared" si="9" ref="T13:T18">R13*$C13</f>
        <v>0</v>
      </c>
      <c r="U13" s="610" t="s">
        <v>70</v>
      </c>
      <c r="V13" s="4"/>
    </row>
    <row r="14" spans="1:22" s="2" customFormat="1" ht="12" customHeight="1">
      <c r="A14" s="23" t="str">
        <f>'Components and Space Standards'!A14</f>
        <v>Two Court Module</v>
      </c>
      <c r="B14" s="313">
        <f>'Components and Space Standards'!B14</f>
        <v>1630.9524</v>
      </c>
      <c r="C14" s="313">
        <f>'Components and Space Standards'!C14</f>
        <v>17556</v>
      </c>
      <c r="D14" s="117" t="str">
        <f>'Components and Space Standards'!D14</f>
        <v>Two-court/200-seat Module(s)</v>
      </c>
      <c r="E14" s="117" t="str">
        <f>'Components and Space Standards'!E14</f>
        <v>Two courts + 10' safety, 16' between cts, + 200 seats</v>
      </c>
      <c r="F14" s="188"/>
      <c r="G14" s="193">
        <f t="shared" si="0"/>
        <v>0</v>
      </c>
      <c r="H14" s="191">
        <f t="shared" si="1"/>
        <v>0</v>
      </c>
      <c r="I14" s="191"/>
      <c r="J14" s="193">
        <f t="shared" si="2"/>
        <v>0</v>
      </c>
      <c r="K14" s="191">
        <f t="shared" si="3"/>
        <v>0</v>
      </c>
      <c r="L14" s="191"/>
      <c r="M14" s="193">
        <f t="shared" si="4"/>
        <v>0</v>
      </c>
      <c r="N14" s="191">
        <f t="shared" si="5"/>
        <v>0</v>
      </c>
      <c r="O14" s="191"/>
      <c r="P14" s="193">
        <f t="shared" si="6"/>
        <v>0</v>
      </c>
      <c r="Q14" s="191">
        <f t="shared" si="7"/>
        <v>0</v>
      </c>
      <c r="R14" s="188"/>
      <c r="S14" s="193">
        <f t="shared" si="8"/>
        <v>0</v>
      </c>
      <c r="T14" s="191">
        <f t="shared" si="9"/>
        <v>0</v>
      </c>
      <c r="U14" s="611"/>
      <c r="V14" s="4"/>
    </row>
    <row r="15" spans="1:22" s="2" customFormat="1" ht="12" customHeight="1">
      <c r="A15" s="23" t="str">
        <f>'Components and Space Standards'!A15</f>
        <v>Arena-style Two-Court Module</v>
      </c>
      <c r="B15" s="313">
        <f>'Components and Space Standards'!B15</f>
        <v>1708.6168</v>
      </c>
      <c r="C15" s="313">
        <f>'Components and Space Standards'!C15</f>
        <v>18392</v>
      </c>
      <c r="D15" s="117" t="str">
        <f>'Components and Space Standards'!D15</f>
        <v>Arena-style Two-Court Module(s)</v>
      </c>
      <c r="E15" s="117" t="str">
        <f>'Components and Space Standards'!E15</f>
        <v>Provides space for arena-style seating for center, longitudinal ct.</v>
      </c>
      <c r="F15" s="188"/>
      <c r="G15" s="193">
        <f t="shared" si="0"/>
        <v>0</v>
      </c>
      <c r="H15" s="191">
        <f t="shared" si="1"/>
        <v>0</v>
      </c>
      <c r="I15" s="191"/>
      <c r="J15" s="193">
        <f t="shared" si="2"/>
        <v>0</v>
      </c>
      <c r="K15" s="191">
        <f t="shared" si="3"/>
        <v>0</v>
      </c>
      <c r="L15" s="191"/>
      <c r="M15" s="193">
        <f t="shared" si="4"/>
        <v>0</v>
      </c>
      <c r="N15" s="191">
        <f t="shared" si="5"/>
        <v>0</v>
      </c>
      <c r="O15" s="191"/>
      <c r="P15" s="193">
        <f t="shared" si="6"/>
        <v>0</v>
      </c>
      <c r="Q15" s="191">
        <f t="shared" si="7"/>
        <v>0</v>
      </c>
      <c r="R15" s="188"/>
      <c r="S15" s="193">
        <f t="shared" si="8"/>
        <v>0</v>
      </c>
      <c r="T15" s="191">
        <f t="shared" si="9"/>
        <v>0</v>
      </c>
      <c r="U15" s="108"/>
      <c r="V15" s="4"/>
    </row>
    <row r="16" spans="1:22" s="2" customFormat="1" ht="12" customHeight="1">
      <c r="A16" s="23" t="str">
        <f>'Components and Space Standards'!A16</f>
        <v>Additional Spectator seating</v>
      </c>
      <c r="B16" s="313">
        <f>'Components and Space Standards'!B16</f>
        <v>84.70621999999999</v>
      </c>
      <c r="C16" s="313">
        <f>'Components and Space Standards'!C16</f>
        <v>911.8</v>
      </c>
      <c r="D16" s="117" t="str">
        <f>'Components and Space Standards'!D16</f>
        <v>Additional 200-seat Module(s)</v>
      </c>
      <c r="E16" s="117" t="str">
        <f>'Components and Space Standards'!E16</f>
        <v>Four rows of seats (one ea. side) = 200 ppl.</v>
      </c>
      <c r="F16" s="188"/>
      <c r="G16" s="193">
        <f t="shared" si="0"/>
        <v>0</v>
      </c>
      <c r="H16" s="191">
        <f t="shared" si="1"/>
        <v>0</v>
      </c>
      <c r="I16" s="191"/>
      <c r="J16" s="193">
        <f t="shared" si="2"/>
        <v>0</v>
      </c>
      <c r="K16" s="191">
        <f t="shared" si="3"/>
        <v>0</v>
      </c>
      <c r="L16" s="191"/>
      <c r="M16" s="193">
        <f t="shared" si="4"/>
        <v>0</v>
      </c>
      <c r="N16" s="191">
        <f t="shared" si="5"/>
        <v>0</v>
      </c>
      <c r="O16" s="191"/>
      <c r="P16" s="193">
        <f t="shared" si="6"/>
        <v>0</v>
      </c>
      <c r="Q16" s="191">
        <f t="shared" si="7"/>
        <v>0</v>
      </c>
      <c r="R16" s="188"/>
      <c r="S16" s="193">
        <f t="shared" si="8"/>
        <v>0</v>
      </c>
      <c r="T16" s="191">
        <f t="shared" si="9"/>
        <v>0</v>
      </c>
      <c r="U16" s="108"/>
      <c r="V16" s="4"/>
    </row>
    <row r="17" spans="1:22" s="2" customFormat="1" ht="12" customHeight="1">
      <c r="A17" s="23" t="str">
        <f>'Components and Space Standards'!A17</f>
        <v>Basic storage/support</v>
      </c>
      <c r="B17" s="313">
        <f>'Components and Space Standards'!B17</f>
        <v>65.03</v>
      </c>
      <c r="C17" s="313">
        <f>'Components and Space Standards'!C17</f>
        <v>700</v>
      </c>
      <c r="D17" s="117" t="str">
        <f>'Components and Space Standards'!D17</f>
        <v>Storage Module(s)</v>
      </c>
      <c r="E17" s="117" t="str">
        <f>'Components and Space Standards'!E17</f>
        <v>Roughly 8% of base gym area</v>
      </c>
      <c r="F17" s="188"/>
      <c r="G17" s="193">
        <f t="shared" si="0"/>
        <v>0</v>
      </c>
      <c r="H17" s="191">
        <f t="shared" si="1"/>
        <v>0</v>
      </c>
      <c r="I17" s="191"/>
      <c r="J17" s="193">
        <f t="shared" si="2"/>
        <v>0</v>
      </c>
      <c r="K17" s="191">
        <f t="shared" si="3"/>
        <v>0</v>
      </c>
      <c r="L17" s="191"/>
      <c r="M17" s="193">
        <f t="shared" si="4"/>
        <v>0</v>
      </c>
      <c r="N17" s="191">
        <f t="shared" si="5"/>
        <v>0</v>
      </c>
      <c r="O17" s="191"/>
      <c r="P17" s="193">
        <f t="shared" si="6"/>
        <v>0</v>
      </c>
      <c r="Q17" s="191">
        <f t="shared" si="7"/>
        <v>0</v>
      </c>
      <c r="R17" s="188"/>
      <c r="S17" s="193">
        <f t="shared" si="8"/>
        <v>0</v>
      </c>
      <c r="T17" s="191">
        <f t="shared" si="9"/>
        <v>0</v>
      </c>
      <c r="U17" s="108"/>
      <c r="V17" s="4"/>
    </row>
    <row r="18" spans="1:22" s="2" customFormat="1" ht="12" customHeight="1">
      <c r="A18" s="23" t="str">
        <f>'Components and Space Standards'!A18</f>
        <v>Additional court storage</v>
      </c>
      <c r="B18" s="313">
        <f>'Components and Space Standards'!B18</f>
        <v>32.515</v>
      </c>
      <c r="C18" s="313">
        <f>'Components and Space Standards'!C18</f>
        <v>350</v>
      </c>
      <c r="D18" s="117" t="str">
        <f>'Components and Space Standards'!D18</f>
        <v>Additional storage module(s)</v>
      </c>
      <c r="E18" s="117" t="str">
        <f>'Components and Space Standards'!E18</f>
        <v>Storage space per additional court</v>
      </c>
      <c r="F18" s="188"/>
      <c r="G18" s="193">
        <f t="shared" si="0"/>
        <v>0</v>
      </c>
      <c r="H18" s="191">
        <f t="shared" si="1"/>
        <v>0</v>
      </c>
      <c r="I18" s="191"/>
      <c r="J18" s="193">
        <f t="shared" si="2"/>
        <v>0</v>
      </c>
      <c r="K18" s="191">
        <f t="shared" si="3"/>
        <v>0</v>
      </c>
      <c r="L18" s="191"/>
      <c r="M18" s="193">
        <f t="shared" si="4"/>
        <v>0</v>
      </c>
      <c r="N18" s="191">
        <f t="shared" si="5"/>
        <v>0</v>
      </c>
      <c r="O18" s="191"/>
      <c r="P18" s="193">
        <f t="shared" si="6"/>
        <v>0</v>
      </c>
      <c r="Q18" s="191">
        <f t="shared" si="7"/>
        <v>0</v>
      </c>
      <c r="R18" s="188"/>
      <c r="S18" s="193">
        <f t="shared" si="8"/>
        <v>0</v>
      </c>
      <c r="T18" s="191">
        <f t="shared" si="9"/>
        <v>0</v>
      </c>
      <c r="U18" s="108"/>
      <c r="V18" s="4"/>
    </row>
    <row r="19" spans="1:21" s="331" customFormat="1" ht="12" customHeight="1">
      <c r="A19" s="184" t="str">
        <f>'Components and Space Standards'!A19</f>
        <v>Unit PT/Group Exercise</v>
      </c>
      <c r="B19" s="185"/>
      <c r="C19" s="197"/>
      <c r="D19" s="197"/>
      <c r="E19" s="198"/>
      <c r="F19" s="200"/>
      <c r="G19" s="201"/>
      <c r="H19" s="202"/>
      <c r="I19" s="202"/>
      <c r="J19" s="201"/>
      <c r="K19" s="202"/>
      <c r="L19" s="202"/>
      <c r="M19" s="201"/>
      <c r="N19" s="202"/>
      <c r="O19" s="202"/>
      <c r="P19" s="201"/>
      <c r="Q19" s="202"/>
      <c r="R19" s="200"/>
      <c r="S19" s="201"/>
      <c r="T19" s="202"/>
      <c r="U19" s="332"/>
    </row>
    <row r="20" spans="1:22" s="2" customFormat="1" ht="12" customHeight="1">
      <c r="A20" s="23" t="str">
        <f>'Components and Space Standards'!A20</f>
        <v>Partitionable Room(s)</v>
      </c>
      <c r="B20" s="313">
        <f>'Components and Space Standards'!B20</f>
        <v>4.645</v>
      </c>
      <c r="C20" s="313">
        <f>'Components and Space Standards'!C20</f>
        <v>50</v>
      </c>
      <c r="D20" s="117" t="str">
        <f>'Components and Space Standards'!D20</f>
        <v>people at 4.6 m2 (50 ft.2)/person</v>
      </c>
      <c r="E20" s="117" t="str">
        <f>'Components and Space Standards'!E20</f>
        <v>116.1 m2 (1,250 ft.2) (25 ppl) minimum size</v>
      </c>
      <c r="F20" s="188">
        <v>44</v>
      </c>
      <c r="G20" s="193">
        <f>$B20*F20</f>
        <v>204.38</v>
      </c>
      <c r="H20" s="191">
        <f>F20*$C20</f>
        <v>2200</v>
      </c>
      <c r="I20" s="191">
        <v>58</v>
      </c>
      <c r="J20" s="193">
        <f>$B20*I20</f>
        <v>269.40999999999997</v>
      </c>
      <c r="K20" s="191">
        <f>I20*$C20</f>
        <v>2900</v>
      </c>
      <c r="L20" s="191">
        <v>91</v>
      </c>
      <c r="M20" s="193">
        <f>$B20*L20</f>
        <v>422.69499999999994</v>
      </c>
      <c r="N20" s="191">
        <f>L20*$C20</f>
        <v>4550</v>
      </c>
      <c r="O20" s="191">
        <v>140</v>
      </c>
      <c r="P20" s="193">
        <f>$B20*O20</f>
        <v>650.3</v>
      </c>
      <c r="Q20" s="191">
        <f>O20*$C20</f>
        <v>7000</v>
      </c>
      <c r="R20" s="188">
        <v>150</v>
      </c>
      <c r="S20" s="193">
        <f>$B20*R20</f>
        <v>696.7499999999999</v>
      </c>
      <c r="T20" s="191">
        <f>R20*$C20</f>
        <v>7500</v>
      </c>
      <c r="U20" s="118" t="s">
        <v>75</v>
      </c>
      <c r="V20" s="106"/>
    </row>
    <row r="21" spans="1:22" s="2" customFormat="1" ht="12" customHeight="1">
      <c r="A21" s="23" t="str">
        <f>'Components and Space Standards'!A21</f>
        <v>Storage/support</v>
      </c>
      <c r="B21" s="313">
        <f>'Components and Space Standards'!B21</f>
        <v>0.46449999999999997</v>
      </c>
      <c r="C21" s="313">
        <f>'Components and Space Standards'!C21</f>
        <v>5</v>
      </c>
      <c r="D21" s="117" t="str">
        <f>'Components and Space Standards'!D21</f>
        <v>10% of partitionable room area</v>
      </c>
      <c r="E21" s="117" t="str">
        <f>'Components and Space Standards'!E21</f>
        <v>11.6 m2 (125 ft.2) minimum (10% of room area)</v>
      </c>
      <c r="F21" s="188">
        <f>F20</f>
        <v>44</v>
      </c>
      <c r="G21" s="193">
        <f>$B21*F21</f>
        <v>20.438</v>
      </c>
      <c r="H21" s="191">
        <f>F21*$C21</f>
        <v>220</v>
      </c>
      <c r="I21" s="188">
        <f>I20</f>
        <v>58</v>
      </c>
      <c r="J21" s="193">
        <f>$B21*I21</f>
        <v>26.941</v>
      </c>
      <c r="K21" s="191">
        <f>I21*$C21</f>
        <v>290</v>
      </c>
      <c r="L21" s="188">
        <f>L20</f>
        <v>91</v>
      </c>
      <c r="M21" s="193">
        <f>$B21*L21</f>
        <v>42.269499999999994</v>
      </c>
      <c r="N21" s="191">
        <f>L21*$C21</f>
        <v>455</v>
      </c>
      <c r="O21" s="188">
        <f>O20</f>
        <v>140</v>
      </c>
      <c r="P21" s="193">
        <f>$B21*O21</f>
        <v>65.03</v>
      </c>
      <c r="Q21" s="191">
        <f>O21*$C21</f>
        <v>700</v>
      </c>
      <c r="R21" s="188">
        <f>R20</f>
        <v>150</v>
      </c>
      <c r="S21" s="193">
        <f>$B21*R21</f>
        <v>69.675</v>
      </c>
      <c r="T21" s="191">
        <f>R21*$C21</f>
        <v>750</v>
      </c>
      <c r="U21" s="108"/>
      <c r="V21" s="4"/>
    </row>
    <row r="22" spans="1:21" s="331" customFormat="1" ht="12" customHeight="1">
      <c r="A22" s="184" t="str">
        <f>'Components and Space Standards'!A22</f>
        <v>Fitness Spaces</v>
      </c>
      <c r="B22" s="185"/>
      <c r="C22" s="197"/>
      <c r="D22" s="197"/>
      <c r="E22" s="199"/>
      <c r="F22" s="200"/>
      <c r="G22" s="201"/>
      <c r="H22" s="202"/>
      <c r="I22" s="202"/>
      <c r="J22" s="201"/>
      <c r="K22" s="202"/>
      <c r="L22" s="202"/>
      <c r="M22" s="201"/>
      <c r="N22" s="202"/>
      <c r="O22" s="202"/>
      <c r="P22" s="201"/>
      <c r="Q22" s="202"/>
      <c r="R22" s="200"/>
      <c r="S22" s="201"/>
      <c r="T22" s="202"/>
      <c r="U22" s="330"/>
    </row>
    <row r="23" spans="1:22" s="2" customFormat="1" ht="12" customHeight="1">
      <c r="A23" s="23" t="str">
        <f>'Components and Space Standards'!A23</f>
        <v>Stretching</v>
      </c>
      <c r="B23" s="313">
        <f>'Components and Space Standards'!B23</f>
        <v>4.645</v>
      </c>
      <c r="C23" s="313">
        <f>'Components and Space Standards'!C23</f>
        <v>50</v>
      </c>
      <c r="D23" s="117" t="str">
        <f>'Components and Space Standards'!D23</f>
        <v>people at 4.6 m2 (50 ft.2)/person</v>
      </c>
      <c r="E23" s="117" t="str">
        <f>'Components and Space Standards'!E23</f>
        <v>50 sf per person - min. 2 ppl</v>
      </c>
      <c r="F23" s="188">
        <v>2</v>
      </c>
      <c r="G23" s="193">
        <f aca="true" t="shared" si="10" ref="G23:G28">$B23*F23</f>
        <v>9.29</v>
      </c>
      <c r="H23" s="191">
        <f aca="true" t="shared" si="11" ref="H23:H28">F23*$C23</f>
        <v>100</v>
      </c>
      <c r="I23" s="191">
        <v>3</v>
      </c>
      <c r="J23" s="193">
        <f aca="true" t="shared" si="12" ref="J23:J28">$B23*I23</f>
        <v>13.934999999999999</v>
      </c>
      <c r="K23" s="191">
        <f aca="true" t="shared" si="13" ref="K23:K28">I23*$C23</f>
        <v>150</v>
      </c>
      <c r="L23" s="191">
        <v>4</v>
      </c>
      <c r="M23" s="193">
        <f aca="true" t="shared" si="14" ref="M23:M28">$B23*L23</f>
        <v>18.58</v>
      </c>
      <c r="N23" s="191">
        <f aca="true" t="shared" si="15" ref="N23:N28">L23*$C23</f>
        <v>200</v>
      </c>
      <c r="O23" s="191">
        <v>5</v>
      </c>
      <c r="P23" s="193">
        <f aca="true" t="shared" si="16" ref="P23:P28">$B23*O23</f>
        <v>23.224999999999998</v>
      </c>
      <c r="Q23" s="191">
        <f aca="true" t="shared" si="17" ref="Q23:Q28">O23*$C23</f>
        <v>250</v>
      </c>
      <c r="R23" s="188"/>
      <c r="S23" s="193">
        <f aca="true" t="shared" si="18" ref="S23:S28">$B23*R23</f>
        <v>0</v>
      </c>
      <c r="T23" s="191">
        <f aca="true" t="shared" si="19" ref="T23:T28">R23*$C23</f>
        <v>0</v>
      </c>
      <c r="U23" s="610" t="s">
        <v>108</v>
      </c>
      <c r="V23" s="4"/>
    </row>
    <row r="24" spans="1:22" s="2" customFormat="1" ht="12" customHeight="1">
      <c r="A24" s="23" t="str">
        <f>'Components and Space Standards'!A24</f>
        <v>Cardiovascular Equipment</v>
      </c>
      <c r="B24" s="313">
        <f>'Components and Space Standards'!B24</f>
        <v>4.645</v>
      </c>
      <c r="C24" s="313">
        <f>'Components and Space Standards'!C24</f>
        <v>50</v>
      </c>
      <c r="D24" s="117" t="str">
        <f>'Components and Space Standards'!D24</f>
        <v>items at 4.6 m2 (50 ft.2)/item</v>
      </c>
      <c r="E24" s="117" t="str">
        <f>'Components and Space Standards'!E24</f>
        <v>50 sf per station</v>
      </c>
      <c r="F24" s="188">
        <v>11</v>
      </c>
      <c r="G24" s="193">
        <f t="shared" si="10"/>
        <v>51.095</v>
      </c>
      <c r="H24" s="191">
        <f t="shared" si="11"/>
        <v>550</v>
      </c>
      <c r="I24" s="191">
        <v>27</v>
      </c>
      <c r="J24" s="193">
        <f t="shared" si="12"/>
        <v>125.41499999999999</v>
      </c>
      <c r="K24" s="191">
        <f t="shared" si="13"/>
        <v>1350</v>
      </c>
      <c r="L24" s="196"/>
      <c r="M24" s="195">
        <f t="shared" si="14"/>
        <v>0</v>
      </c>
      <c r="N24" s="196">
        <f t="shared" si="15"/>
        <v>0</v>
      </c>
      <c r="O24" s="196"/>
      <c r="P24" s="195">
        <f t="shared" si="16"/>
        <v>0</v>
      </c>
      <c r="Q24" s="196">
        <f t="shared" si="17"/>
        <v>0</v>
      </c>
      <c r="R24" s="194"/>
      <c r="S24" s="195">
        <f t="shared" si="18"/>
        <v>0</v>
      </c>
      <c r="T24" s="196">
        <f t="shared" si="19"/>
        <v>0</v>
      </c>
      <c r="U24" s="623"/>
      <c r="V24" s="4"/>
    </row>
    <row r="25" spans="1:22" s="2" customFormat="1" ht="12" customHeight="1">
      <c r="A25" s="23" t="str">
        <f>'Components and Space Standards'!A25</f>
        <v>Selectorized (machine) weights</v>
      </c>
      <c r="B25" s="313">
        <f>'Components and Space Standards'!B25</f>
        <v>4.645</v>
      </c>
      <c r="C25" s="313">
        <f>'Components and Space Standards'!C25</f>
        <v>50</v>
      </c>
      <c r="D25" s="117" t="str">
        <f>'Components and Space Standards'!D25</f>
        <v>items at 4.6 m2 (50 ft.2)/item</v>
      </c>
      <c r="E25" s="117" t="str">
        <f>'Components and Space Standards'!E25</f>
        <v>50 sf per station</v>
      </c>
      <c r="F25" s="188">
        <v>16</v>
      </c>
      <c r="G25" s="193">
        <f t="shared" si="10"/>
        <v>74.32</v>
      </c>
      <c r="H25" s="191">
        <f t="shared" si="11"/>
        <v>800</v>
      </c>
      <c r="I25" s="191">
        <v>27</v>
      </c>
      <c r="J25" s="193">
        <f t="shared" si="12"/>
        <v>125.41499999999999</v>
      </c>
      <c r="K25" s="191">
        <f t="shared" si="13"/>
        <v>1350</v>
      </c>
      <c r="L25" s="196"/>
      <c r="M25" s="195">
        <f t="shared" si="14"/>
        <v>0</v>
      </c>
      <c r="N25" s="196">
        <f t="shared" si="15"/>
        <v>0</v>
      </c>
      <c r="O25" s="196"/>
      <c r="P25" s="195">
        <f t="shared" si="16"/>
        <v>0</v>
      </c>
      <c r="Q25" s="196">
        <f t="shared" si="17"/>
        <v>0</v>
      </c>
      <c r="R25" s="194"/>
      <c r="S25" s="195">
        <f t="shared" si="18"/>
        <v>0</v>
      </c>
      <c r="T25" s="196">
        <f t="shared" si="19"/>
        <v>0</v>
      </c>
      <c r="U25" s="623"/>
      <c r="V25" s="4"/>
    </row>
    <row r="26" spans="1:22" s="2" customFormat="1" ht="12" customHeight="1">
      <c r="A26" s="23" t="str">
        <f>'Components and Space Standards'!A26</f>
        <v>Free/Plate-loaded weights</v>
      </c>
      <c r="B26" s="313">
        <f>'Components and Space Standards'!B26</f>
        <v>6.0385</v>
      </c>
      <c r="C26" s="313">
        <f>'Components and Space Standards'!C26</f>
        <v>65</v>
      </c>
      <c r="D26" s="117" t="str">
        <f>'Components and Space Standards'!D26</f>
        <v>stations at 6.0 m2 (65 ft.2)/stations</v>
      </c>
      <c r="E26" s="117" t="str">
        <f>'Components and Space Standards'!E26</f>
        <v>65 sf per station</v>
      </c>
      <c r="F26" s="188">
        <v>15</v>
      </c>
      <c r="G26" s="193">
        <f t="shared" si="10"/>
        <v>90.5775</v>
      </c>
      <c r="H26" s="191">
        <f t="shared" si="11"/>
        <v>975</v>
      </c>
      <c r="I26" s="191">
        <v>29</v>
      </c>
      <c r="J26" s="193">
        <f t="shared" si="12"/>
        <v>175.1165</v>
      </c>
      <c r="K26" s="191">
        <f t="shared" si="13"/>
        <v>1885</v>
      </c>
      <c r="L26" s="196"/>
      <c r="M26" s="195">
        <f t="shared" si="14"/>
        <v>0</v>
      </c>
      <c r="N26" s="196">
        <f t="shared" si="15"/>
        <v>0</v>
      </c>
      <c r="O26" s="196"/>
      <c r="P26" s="195">
        <f t="shared" si="16"/>
        <v>0</v>
      </c>
      <c r="Q26" s="196">
        <f t="shared" si="17"/>
        <v>0</v>
      </c>
      <c r="R26" s="194"/>
      <c r="S26" s="195">
        <f t="shared" si="18"/>
        <v>0</v>
      </c>
      <c r="T26" s="196">
        <f t="shared" si="19"/>
        <v>0</v>
      </c>
      <c r="U26" s="623"/>
      <c r="V26" s="4"/>
    </row>
    <row r="27" spans="1:22" s="2" customFormat="1" ht="12" customHeight="1">
      <c r="A27" s="23" t="str">
        <f>'Components and Space Standards'!A27</f>
        <v>Finess Program Manager's Office</v>
      </c>
      <c r="B27" s="313">
        <f>'Components and Space Standards'!B27</f>
        <v>11.612499999999999</v>
      </c>
      <c r="C27" s="313">
        <f>'Components and Space Standards'!C27</f>
        <v>125</v>
      </c>
      <c r="D27" s="117" t="str">
        <f>'Components and Space Standards'!D27</f>
        <v>Office</v>
      </c>
      <c r="E27" s="117" t="str">
        <f>'Components and Space Standards'!E27</f>
        <v>Private office that may include fitness testing equipment</v>
      </c>
      <c r="F27" s="188"/>
      <c r="G27" s="193">
        <f t="shared" si="10"/>
        <v>0</v>
      </c>
      <c r="H27" s="191">
        <f t="shared" si="11"/>
        <v>0</v>
      </c>
      <c r="I27" s="191"/>
      <c r="J27" s="193">
        <f t="shared" si="12"/>
        <v>0</v>
      </c>
      <c r="K27" s="191">
        <f t="shared" si="13"/>
        <v>0</v>
      </c>
      <c r="L27" s="191"/>
      <c r="M27" s="193">
        <f t="shared" si="14"/>
        <v>0</v>
      </c>
      <c r="N27" s="191">
        <f t="shared" si="15"/>
        <v>0</v>
      </c>
      <c r="O27" s="191"/>
      <c r="P27" s="193">
        <f t="shared" si="16"/>
        <v>0</v>
      </c>
      <c r="Q27" s="191">
        <f t="shared" si="17"/>
        <v>0</v>
      </c>
      <c r="R27" s="188"/>
      <c r="S27" s="193">
        <f t="shared" si="18"/>
        <v>0</v>
      </c>
      <c r="T27" s="191">
        <f t="shared" si="19"/>
        <v>0</v>
      </c>
      <c r="U27" s="623"/>
      <c r="V27" s="4"/>
    </row>
    <row r="28" spans="1:22" s="2" customFormat="1" ht="12" customHeight="1">
      <c r="A28" s="23" t="str">
        <f>'Components and Space Standards'!A28</f>
        <v>Fitness Assessment Room</v>
      </c>
      <c r="B28" s="313">
        <f>'Components and Space Standards'!B28</f>
        <v>11.612499999999999</v>
      </c>
      <c r="C28" s="313">
        <f>'Components and Space Standards'!C28</f>
        <v>125</v>
      </c>
      <c r="D28" s="117" t="str">
        <f>'Components and Space Standards'!D28</f>
        <v>Office(s)</v>
      </c>
      <c r="E28" s="117" t="str">
        <f>'Components and Space Standards'!E28</f>
        <v>1 piece fitness equip for testing, computer desk, chairs, stretching</v>
      </c>
      <c r="F28" s="188">
        <v>1</v>
      </c>
      <c r="G28" s="193">
        <f t="shared" si="10"/>
        <v>11.612499999999999</v>
      </c>
      <c r="H28" s="191">
        <f t="shared" si="11"/>
        <v>125</v>
      </c>
      <c r="I28" s="191">
        <v>1</v>
      </c>
      <c r="J28" s="193">
        <f t="shared" si="12"/>
        <v>11.612499999999999</v>
      </c>
      <c r="K28" s="191">
        <f t="shared" si="13"/>
        <v>125</v>
      </c>
      <c r="L28" s="191">
        <v>1</v>
      </c>
      <c r="M28" s="193">
        <f t="shared" si="14"/>
        <v>11.612499999999999</v>
      </c>
      <c r="N28" s="191">
        <f t="shared" si="15"/>
        <v>125</v>
      </c>
      <c r="O28" s="191">
        <v>1</v>
      </c>
      <c r="P28" s="193">
        <f t="shared" si="16"/>
        <v>11.612499999999999</v>
      </c>
      <c r="Q28" s="191">
        <f t="shared" si="17"/>
        <v>125</v>
      </c>
      <c r="R28" s="188">
        <v>1</v>
      </c>
      <c r="S28" s="193">
        <f t="shared" si="18"/>
        <v>11.612499999999999</v>
      </c>
      <c r="T28" s="191">
        <f t="shared" si="19"/>
        <v>125</v>
      </c>
      <c r="U28" s="623"/>
      <c r="V28" s="4"/>
    </row>
    <row r="29" spans="1:21" s="331" customFormat="1" ht="12" customHeight="1">
      <c r="A29" s="184" t="str">
        <f>'Components and Space Standards'!A29</f>
        <v>Structured Activities</v>
      </c>
      <c r="B29" s="185"/>
      <c r="C29" s="197"/>
      <c r="D29" s="197"/>
      <c r="E29" s="199"/>
      <c r="F29" s="200"/>
      <c r="G29" s="201"/>
      <c r="H29" s="202"/>
      <c r="I29" s="202"/>
      <c r="J29" s="201"/>
      <c r="K29" s="202"/>
      <c r="L29" s="202"/>
      <c r="M29" s="201"/>
      <c r="N29" s="202"/>
      <c r="O29" s="202"/>
      <c r="P29" s="201"/>
      <c r="Q29" s="202"/>
      <c r="R29" s="200"/>
      <c r="S29" s="201"/>
      <c r="T29" s="202"/>
      <c r="U29" s="330"/>
    </row>
    <row r="30" spans="1:22" s="2" customFormat="1" ht="12" customHeight="1">
      <c r="A30" s="23" t="str">
        <f>'Components and Space Standards'!A30</f>
        <v>Structured Activity Space</v>
      </c>
      <c r="B30" s="313">
        <f>'Components and Space Standards'!B30</f>
        <v>74.32</v>
      </c>
      <c r="C30" s="313">
        <f>'Components and Space Standards'!C30</f>
        <v>800</v>
      </c>
      <c r="D30" s="117" t="str">
        <f>'Components and Space Standards'!D30</f>
        <v>Flexible space Module(s)</v>
      </c>
      <c r="E30" s="117" t="str">
        <f>'Components and Space Standards'!E30</f>
        <v>Based on size of a single racquetball court</v>
      </c>
      <c r="F30" s="188">
        <v>1.5</v>
      </c>
      <c r="G30" s="193">
        <f>$B30*F30</f>
        <v>111.47999999999999</v>
      </c>
      <c r="H30" s="191">
        <f>F30*$C30</f>
        <v>1200</v>
      </c>
      <c r="I30" s="191">
        <v>1.5</v>
      </c>
      <c r="J30" s="193">
        <f>$B30*I30</f>
        <v>111.47999999999999</v>
      </c>
      <c r="K30" s="191">
        <f>I30*$C30</f>
        <v>1200</v>
      </c>
      <c r="L30" s="191">
        <v>3</v>
      </c>
      <c r="M30" s="193">
        <f>$B30*L30</f>
        <v>222.95999999999998</v>
      </c>
      <c r="N30" s="191">
        <f>L30*$C30</f>
        <v>2400</v>
      </c>
      <c r="O30" s="191">
        <v>3</v>
      </c>
      <c r="P30" s="193">
        <f>$B30*O30</f>
        <v>222.95999999999998</v>
      </c>
      <c r="Q30" s="191">
        <f>O30*$C30</f>
        <v>2400</v>
      </c>
      <c r="R30" s="188"/>
      <c r="S30" s="193">
        <f>$B30*R30</f>
        <v>0</v>
      </c>
      <c r="T30" s="191">
        <f>R30*$C30</f>
        <v>0</v>
      </c>
      <c r="U30" s="108" t="s">
        <v>74</v>
      </c>
      <c r="V30" s="4"/>
    </row>
    <row r="31" spans="1:22" s="2" customFormat="1" ht="12" customHeight="1">
      <c r="A31" s="23" t="str">
        <f>'Components and Space Standards'!A31</f>
        <v>Racquetball Courts</v>
      </c>
      <c r="B31" s="313">
        <f>'Components and Space Standards'!B31</f>
        <v>74.32</v>
      </c>
      <c r="C31" s="313">
        <f>'Components and Space Standards'!C31</f>
        <v>800</v>
      </c>
      <c r="D31" s="117" t="str">
        <f>'Components and Space Standards'!D31</f>
        <v>Racquetball Court(s)</v>
      </c>
      <c r="E31" s="117" t="str">
        <f>'Components and Space Standards'!E31</f>
        <v>Single court size. Minimum of two courts</v>
      </c>
      <c r="F31" s="188">
        <v>1</v>
      </c>
      <c r="G31" s="193">
        <f>$B31*F31</f>
        <v>74.32</v>
      </c>
      <c r="H31" s="191">
        <f>F31*$C31</f>
        <v>800</v>
      </c>
      <c r="I31" s="191">
        <v>2</v>
      </c>
      <c r="J31" s="193">
        <f>$B31*I31</f>
        <v>148.64</v>
      </c>
      <c r="K31" s="191">
        <f>I31*$C31</f>
        <v>1600</v>
      </c>
      <c r="L31" s="191">
        <v>4</v>
      </c>
      <c r="M31" s="193">
        <f>$B31*L31</f>
        <v>297.28</v>
      </c>
      <c r="N31" s="191">
        <f>L31*$C31</f>
        <v>3200</v>
      </c>
      <c r="O31" s="191">
        <v>4</v>
      </c>
      <c r="P31" s="193">
        <f>$B31*O31</f>
        <v>297.28</v>
      </c>
      <c r="Q31" s="191">
        <f>O31*$C31</f>
        <v>3200</v>
      </c>
      <c r="R31" s="188"/>
      <c r="S31" s="193">
        <f>$B31*R31</f>
        <v>0</v>
      </c>
      <c r="T31" s="191">
        <f>R31*$C31</f>
        <v>0</v>
      </c>
      <c r="U31" s="108"/>
      <c r="V31" s="4"/>
    </row>
    <row r="32" spans="1:22" s="2" customFormat="1" ht="12" customHeight="1">
      <c r="A32" s="23" t="str">
        <f>'Components and Space Standards'!A34</f>
        <v>Spectator/officiating (MC Option)</v>
      </c>
      <c r="B32" s="313">
        <f>'Components and Space Standards'!B34</f>
        <v>18.58</v>
      </c>
      <c r="C32" s="313">
        <f>'Components and Space Standards'!C34</f>
        <v>200</v>
      </c>
      <c r="D32" s="117" t="str">
        <f>'Components and Space Standards'!D34</f>
        <v>Spectator/officiating Module(s)</v>
      </c>
      <c r="E32" s="117" t="str">
        <f>'Components and Space Standards'!E34</f>
        <v>Two rows of 10 seats for one ct. Max of two cts (400 sf)</v>
      </c>
      <c r="F32" s="188"/>
      <c r="G32" s="193">
        <f>$B32*F32</f>
        <v>0</v>
      </c>
      <c r="H32" s="191">
        <f>F32*$C32</f>
        <v>0</v>
      </c>
      <c r="I32" s="191"/>
      <c r="J32" s="193">
        <f>$B32*I32</f>
        <v>0</v>
      </c>
      <c r="K32" s="191">
        <f>I32*$C32</f>
        <v>0</v>
      </c>
      <c r="L32" s="191"/>
      <c r="M32" s="193">
        <f>$B32*L32</f>
        <v>0</v>
      </c>
      <c r="N32" s="191">
        <f>L32*$C32</f>
        <v>0</v>
      </c>
      <c r="O32" s="191"/>
      <c r="P32" s="193">
        <f>$B32*O32</f>
        <v>0</v>
      </c>
      <c r="Q32" s="191">
        <f>O32*$C32</f>
        <v>0</v>
      </c>
      <c r="R32" s="188"/>
      <c r="S32" s="193">
        <f>$B32*R32</f>
        <v>0</v>
      </c>
      <c r="T32" s="191">
        <f>R32*$C32</f>
        <v>0</v>
      </c>
      <c r="U32" s="108"/>
      <c r="V32" s="4"/>
    </row>
    <row r="33" spans="1:22" s="2" customFormat="1" ht="12" customHeight="1">
      <c r="A33" s="23" t="str">
        <f>'Components and Space Standards'!A35</f>
        <v>Structured activity storage</v>
      </c>
      <c r="B33" s="313">
        <f>'Components and Space Standards'!B35</f>
        <v>7.4319999999999995</v>
      </c>
      <c r="C33" s="313">
        <f>'Components and Space Standards'!C35</f>
        <v>80</v>
      </c>
      <c r="D33" s="117" t="str">
        <f>'Components and Space Standards'!D35</f>
        <v>10% of Structured Activity Space</v>
      </c>
      <c r="E33" s="117" t="str">
        <f>'Components and Space Standards'!E35</f>
        <v>Based on Structured activity space (10% of room area)</v>
      </c>
      <c r="F33" s="194"/>
      <c r="G33" s="195"/>
      <c r="H33" s="196"/>
      <c r="I33" s="196"/>
      <c r="J33" s="195"/>
      <c r="K33" s="196"/>
      <c r="L33" s="196"/>
      <c r="M33" s="195"/>
      <c r="N33" s="196"/>
      <c r="O33" s="196"/>
      <c r="P33" s="195"/>
      <c r="Q33" s="196"/>
      <c r="R33" s="194"/>
      <c r="S33" s="195"/>
      <c r="T33" s="196"/>
      <c r="U33" s="357"/>
      <c r="V33" s="4"/>
    </row>
    <row r="34" spans="1:21" s="331" customFormat="1" ht="12" customHeight="1">
      <c r="A34" s="184" t="str">
        <f>'Components and Space Standards'!A36</f>
        <v>Locker Rooms</v>
      </c>
      <c r="B34" s="203"/>
      <c r="C34" s="185"/>
      <c r="D34" s="185"/>
      <c r="E34" s="185"/>
      <c r="F34" s="200"/>
      <c r="G34" s="201"/>
      <c r="H34" s="202"/>
      <c r="I34" s="202"/>
      <c r="J34" s="201"/>
      <c r="K34" s="202"/>
      <c r="L34" s="202"/>
      <c r="M34" s="201"/>
      <c r="N34" s="202"/>
      <c r="O34" s="202"/>
      <c r="P34" s="201"/>
      <c r="Q34" s="202"/>
      <c r="R34" s="200"/>
      <c r="S34" s="201"/>
      <c r="T34" s="202"/>
      <c r="U34" s="610" t="s">
        <v>184</v>
      </c>
    </row>
    <row r="35" spans="1:22" s="2" customFormat="1" ht="12" customHeight="1">
      <c r="A35" s="23" t="str">
        <f>'Components and Space Standards'!A37</f>
        <v>Men's Locker Room</v>
      </c>
      <c r="B35" s="313">
        <f>'Components and Space Standards'!B37</f>
        <v>0</v>
      </c>
      <c r="C35" s="313">
        <f>'Components and Space Standards'!C37</f>
        <v>0</v>
      </c>
      <c r="D35" s="117">
        <f>'Components and Space Standards'!D37</f>
        <v>0</v>
      </c>
      <c r="E35" s="117">
        <f>'Components and Space Standards'!E37</f>
        <v>0</v>
      </c>
      <c r="F35" s="194"/>
      <c r="G35" s="195">
        <f aca="true" t="shared" si="20" ref="G35:G42">$B35*F35</f>
        <v>0</v>
      </c>
      <c r="H35" s="196">
        <f aca="true" t="shared" si="21" ref="H35:H42">F35*$C35</f>
        <v>0</v>
      </c>
      <c r="I35" s="196"/>
      <c r="J35" s="195">
        <f aca="true" t="shared" si="22" ref="J35:J42">$B35*I35</f>
        <v>0</v>
      </c>
      <c r="K35" s="196">
        <f aca="true" t="shared" si="23" ref="K35:K42">I35*$C35</f>
        <v>0</v>
      </c>
      <c r="L35" s="196"/>
      <c r="M35" s="195">
        <f aca="true" t="shared" si="24" ref="M35:M42">$B35*L35</f>
        <v>0</v>
      </c>
      <c r="N35" s="196">
        <f aca="true" t="shared" si="25" ref="N35:N42">L35*$C35</f>
        <v>0</v>
      </c>
      <c r="O35" s="196"/>
      <c r="P35" s="195">
        <f aca="true" t="shared" si="26" ref="P35:P42">$B35*O35</f>
        <v>0</v>
      </c>
      <c r="Q35" s="196">
        <f aca="true" t="shared" si="27" ref="Q35:Q42">O35*$C35</f>
        <v>0</v>
      </c>
      <c r="R35" s="194"/>
      <c r="S35" s="195">
        <f aca="true" t="shared" si="28" ref="S35:S42">$B35*R35</f>
        <v>0</v>
      </c>
      <c r="T35" s="196">
        <f aca="true" t="shared" si="29" ref="T35:T42">R35*$C35</f>
        <v>0</v>
      </c>
      <c r="U35" s="611"/>
      <c r="V35" s="4"/>
    </row>
    <row r="36" spans="1:22" s="2" customFormat="1" ht="12" customHeight="1">
      <c r="A36" s="293" t="str">
        <f>'Components and Space Standards'!A38</f>
        <v>Locker/changing area</v>
      </c>
      <c r="B36" s="313">
        <f>'Components and Space Standards'!B38</f>
        <v>0.7432</v>
      </c>
      <c r="C36" s="313">
        <f>'Components and Space Standards'!C38</f>
        <v>8</v>
      </c>
      <c r="D36" s="117" t="str">
        <f>'Components and Space Standards'!D38</f>
        <v>Lockers</v>
      </c>
      <c r="E36" s="117" t="str">
        <f>'Components and Space Standards'!E38</f>
        <v>Per slot (2 double lockers or 1 single locker)</v>
      </c>
      <c r="F36" s="194"/>
      <c r="G36" s="195">
        <f t="shared" si="20"/>
        <v>0</v>
      </c>
      <c r="H36" s="196">
        <f t="shared" si="21"/>
        <v>0</v>
      </c>
      <c r="I36" s="196"/>
      <c r="J36" s="195">
        <f t="shared" si="22"/>
        <v>0</v>
      </c>
      <c r="K36" s="196">
        <f t="shared" si="23"/>
        <v>0</v>
      </c>
      <c r="L36" s="196"/>
      <c r="M36" s="195">
        <f t="shared" si="24"/>
        <v>0</v>
      </c>
      <c r="N36" s="196">
        <f t="shared" si="25"/>
        <v>0</v>
      </c>
      <c r="O36" s="196"/>
      <c r="P36" s="195">
        <f t="shared" si="26"/>
        <v>0</v>
      </c>
      <c r="Q36" s="196">
        <f t="shared" si="27"/>
        <v>0</v>
      </c>
      <c r="R36" s="194"/>
      <c r="S36" s="195">
        <f t="shared" si="28"/>
        <v>0</v>
      </c>
      <c r="T36" s="196">
        <f t="shared" si="29"/>
        <v>0</v>
      </c>
      <c r="U36" s="118" t="s">
        <v>186</v>
      </c>
      <c r="V36" s="4"/>
    </row>
    <row r="37" spans="1:22" s="2" customFormat="1" ht="12" customHeight="1">
      <c r="A37" s="293" t="str">
        <f>'Components and Space Standards'!A39</f>
        <v>Shower/drying area</v>
      </c>
      <c r="B37" s="313">
        <f>'Components and Space Standards'!B39</f>
        <v>2.787</v>
      </c>
      <c r="C37" s="313">
        <f>'Components and Space Standards'!C39</f>
        <v>30</v>
      </c>
      <c r="D37" s="117" t="str">
        <f>'Components and Space Standards'!D39</f>
        <v>Showers</v>
      </c>
      <c r="E37" s="117" t="str">
        <f>'Components and Space Standards'!E39</f>
        <v>Per shower &amp; integral drying area at 22 lockers/shower</v>
      </c>
      <c r="F37" s="194"/>
      <c r="G37" s="195">
        <f t="shared" si="20"/>
        <v>0</v>
      </c>
      <c r="H37" s="196">
        <f t="shared" si="21"/>
        <v>0</v>
      </c>
      <c r="I37" s="196"/>
      <c r="J37" s="195">
        <f t="shared" si="22"/>
        <v>0</v>
      </c>
      <c r="K37" s="196">
        <f t="shared" si="23"/>
        <v>0</v>
      </c>
      <c r="L37" s="196"/>
      <c r="M37" s="195">
        <f t="shared" si="24"/>
        <v>0</v>
      </c>
      <c r="N37" s="196">
        <f t="shared" si="25"/>
        <v>0</v>
      </c>
      <c r="O37" s="196"/>
      <c r="P37" s="195">
        <f t="shared" si="26"/>
        <v>0</v>
      </c>
      <c r="Q37" s="196">
        <f t="shared" si="27"/>
        <v>0</v>
      </c>
      <c r="R37" s="194"/>
      <c r="S37" s="195">
        <f t="shared" si="28"/>
        <v>0</v>
      </c>
      <c r="T37" s="196">
        <f t="shared" si="29"/>
        <v>0</v>
      </c>
      <c r="U37" s="118"/>
      <c r="V37" s="4"/>
    </row>
    <row r="38" spans="1:22" s="2" customFormat="1" ht="12" customHeight="1">
      <c r="A38" s="293" t="str">
        <f>'Components and Space Standards'!A40</f>
        <v>Toilet area</v>
      </c>
      <c r="B38" s="313">
        <f>'Components and Space Standards'!B40</f>
        <v>4.180499999999999</v>
      </c>
      <c r="C38" s="313">
        <f>'Components and Space Standards'!C40</f>
        <v>45</v>
      </c>
      <c r="D38" s="117" t="str">
        <f>'Components and Space Standards'!D40</f>
        <v>Water closets/lavatory modules</v>
      </c>
      <c r="E38" s="117" t="str">
        <f>'Components and Space Standards'!E40</f>
        <v>Per wc and lav. at 30 lockers per wc/lav</v>
      </c>
      <c r="F38" s="194"/>
      <c r="G38" s="195">
        <f t="shared" si="20"/>
        <v>0</v>
      </c>
      <c r="H38" s="196">
        <f t="shared" si="21"/>
        <v>0</v>
      </c>
      <c r="I38" s="196"/>
      <c r="J38" s="195">
        <f t="shared" si="22"/>
        <v>0</v>
      </c>
      <c r="K38" s="196">
        <f t="shared" si="23"/>
        <v>0</v>
      </c>
      <c r="L38" s="196"/>
      <c r="M38" s="195">
        <f t="shared" si="24"/>
        <v>0</v>
      </c>
      <c r="N38" s="196">
        <f t="shared" si="25"/>
        <v>0</v>
      </c>
      <c r="O38" s="196"/>
      <c r="P38" s="195">
        <f t="shared" si="26"/>
        <v>0</v>
      </c>
      <c r="Q38" s="196">
        <f t="shared" si="27"/>
        <v>0</v>
      </c>
      <c r="R38" s="194"/>
      <c r="S38" s="195">
        <f t="shared" si="28"/>
        <v>0</v>
      </c>
      <c r="T38" s="196">
        <f t="shared" si="29"/>
        <v>0</v>
      </c>
      <c r="U38" s="118" t="s">
        <v>189</v>
      </c>
      <c r="V38" s="4"/>
    </row>
    <row r="39" spans="1:22" s="2" customFormat="1" ht="12" customHeight="1">
      <c r="A39" s="23" t="str">
        <f>'Components and Space Standards'!A41</f>
        <v>Women's Locker Room</v>
      </c>
      <c r="B39" s="313">
        <f>'Components and Space Standards'!B41</f>
        <v>0</v>
      </c>
      <c r="C39" s="313">
        <f>'Components and Space Standards'!C41</f>
        <v>0</v>
      </c>
      <c r="D39" s="117">
        <f>'Components and Space Standards'!D41</f>
        <v>0</v>
      </c>
      <c r="E39" s="117">
        <f>'Components and Space Standards'!E41</f>
        <v>0</v>
      </c>
      <c r="F39" s="194"/>
      <c r="G39" s="195">
        <f t="shared" si="20"/>
        <v>0</v>
      </c>
      <c r="H39" s="196">
        <f t="shared" si="21"/>
        <v>0</v>
      </c>
      <c r="I39" s="196"/>
      <c r="J39" s="195">
        <f t="shared" si="22"/>
        <v>0</v>
      </c>
      <c r="K39" s="196">
        <f t="shared" si="23"/>
        <v>0</v>
      </c>
      <c r="L39" s="196"/>
      <c r="M39" s="195">
        <f t="shared" si="24"/>
        <v>0</v>
      </c>
      <c r="N39" s="196">
        <f t="shared" si="25"/>
        <v>0</v>
      </c>
      <c r="O39" s="196"/>
      <c r="P39" s="195">
        <f t="shared" si="26"/>
        <v>0</v>
      </c>
      <c r="Q39" s="196">
        <f t="shared" si="27"/>
        <v>0</v>
      </c>
      <c r="R39" s="194"/>
      <c r="S39" s="195">
        <f t="shared" si="28"/>
        <v>0</v>
      </c>
      <c r="T39" s="196">
        <f t="shared" si="29"/>
        <v>0</v>
      </c>
      <c r="U39" s="118"/>
      <c r="V39" s="4"/>
    </row>
    <row r="40" spans="1:22" s="2" customFormat="1" ht="12" customHeight="1">
      <c r="A40" s="293" t="str">
        <f>'Components and Space Standards'!A42</f>
        <v>Locker/changing area</v>
      </c>
      <c r="B40" s="313">
        <f>'Components and Space Standards'!B42</f>
        <v>0.7432</v>
      </c>
      <c r="C40" s="313">
        <f>'Components and Space Standards'!C42</f>
        <v>8</v>
      </c>
      <c r="D40" s="117" t="str">
        <f>'Components and Space Standards'!D42</f>
        <v>Lockers</v>
      </c>
      <c r="E40" s="117" t="str">
        <f>'Components and Space Standards'!E42</f>
        <v>Per slot (2 double lockers or 1 single locker)</v>
      </c>
      <c r="F40" s="194"/>
      <c r="G40" s="195">
        <f t="shared" si="20"/>
        <v>0</v>
      </c>
      <c r="H40" s="196">
        <f t="shared" si="21"/>
        <v>0</v>
      </c>
      <c r="I40" s="196"/>
      <c r="J40" s="195">
        <f t="shared" si="22"/>
        <v>0</v>
      </c>
      <c r="K40" s="196">
        <f t="shared" si="23"/>
        <v>0</v>
      </c>
      <c r="L40" s="196"/>
      <c r="M40" s="195">
        <f t="shared" si="24"/>
        <v>0</v>
      </c>
      <c r="N40" s="196">
        <f t="shared" si="25"/>
        <v>0</v>
      </c>
      <c r="O40" s="196"/>
      <c r="P40" s="195">
        <f t="shared" si="26"/>
        <v>0</v>
      </c>
      <c r="Q40" s="196">
        <f t="shared" si="27"/>
        <v>0</v>
      </c>
      <c r="R40" s="194"/>
      <c r="S40" s="195">
        <f t="shared" si="28"/>
        <v>0</v>
      </c>
      <c r="T40" s="196">
        <f t="shared" si="29"/>
        <v>0</v>
      </c>
      <c r="U40" s="118"/>
      <c r="V40" s="4"/>
    </row>
    <row r="41" spans="1:22" s="2" customFormat="1" ht="12" customHeight="1">
      <c r="A41" s="293" t="str">
        <f>'Components and Space Standards'!A43</f>
        <v>Shower/drying area</v>
      </c>
      <c r="B41" s="313">
        <f>'Components and Space Standards'!B43</f>
        <v>2.787</v>
      </c>
      <c r="C41" s="313">
        <f>'Components and Space Standards'!C43</f>
        <v>30</v>
      </c>
      <c r="D41" s="117" t="str">
        <f>'Components and Space Standards'!D43</f>
        <v>Showers</v>
      </c>
      <c r="E41" s="117" t="str">
        <f>'Components and Space Standards'!E43</f>
        <v>Per shower &amp; integral drying area at 22 lockers/shower</v>
      </c>
      <c r="F41" s="194"/>
      <c r="G41" s="195">
        <f t="shared" si="20"/>
        <v>0</v>
      </c>
      <c r="H41" s="196">
        <f t="shared" si="21"/>
        <v>0</v>
      </c>
      <c r="I41" s="196"/>
      <c r="J41" s="195">
        <f t="shared" si="22"/>
        <v>0</v>
      </c>
      <c r="K41" s="196">
        <f t="shared" si="23"/>
        <v>0</v>
      </c>
      <c r="L41" s="196"/>
      <c r="M41" s="195">
        <f t="shared" si="24"/>
        <v>0</v>
      </c>
      <c r="N41" s="196">
        <f t="shared" si="25"/>
        <v>0</v>
      </c>
      <c r="O41" s="196"/>
      <c r="P41" s="195">
        <f t="shared" si="26"/>
        <v>0</v>
      </c>
      <c r="Q41" s="196">
        <f t="shared" si="27"/>
        <v>0</v>
      </c>
      <c r="R41" s="194"/>
      <c r="S41" s="195">
        <f t="shared" si="28"/>
        <v>0</v>
      </c>
      <c r="T41" s="196">
        <f t="shared" si="29"/>
        <v>0</v>
      </c>
      <c r="U41" s="118"/>
      <c r="V41" s="4"/>
    </row>
    <row r="42" spans="1:22" s="2" customFormat="1" ht="12" customHeight="1">
      <c r="A42" s="293" t="str">
        <f>'Components and Space Standards'!A44</f>
        <v>Toilet area</v>
      </c>
      <c r="B42" s="313">
        <f>'Components and Space Standards'!B44</f>
        <v>4.180499999999999</v>
      </c>
      <c r="C42" s="313">
        <f>'Components and Space Standards'!C44</f>
        <v>45</v>
      </c>
      <c r="D42" s="117" t="str">
        <f>'Components and Space Standards'!D44</f>
        <v>Water closets/lavatory modules</v>
      </c>
      <c r="E42" s="117" t="str">
        <f>'Components and Space Standards'!E44</f>
        <v>per wc and lav. at 20 lockers per wc/lav</v>
      </c>
      <c r="F42" s="194"/>
      <c r="G42" s="195">
        <f t="shared" si="20"/>
        <v>0</v>
      </c>
      <c r="H42" s="196">
        <f t="shared" si="21"/>
        <v>0</v>
      </c>
      <c r="I42" s="196"/>
      <c r="J42" s="195">
        <f t="shared" si="22"/>
        <v>0</v>
      </c>
      <c r="K42" s="196">
        <f t="shared" si="23"/>
        <v>0</v>
      </c>
      <c r="L42" s="196"/>
      <c r="M42" s="195">
        <f t="shared" si="24"/>
        <v>0</v>
      </c>
      <c r="N42" s="196">
        <f t="shared" si="25"/>
        <v>0</v>
      </c>
      <c r="O42" s="196"/>
      <c r="P42" s="195">
        <f t="shared" si="26"/>
        <v>0</v>
      </c>
      <c r="Q42" s="196">
        <f t="shared" si="27"/>
        <v>0</v>
      </c>
      <c r="R42" s="194"/>
      <c r="S42" s="195">
        <f t="shared" si="28"/>
        <v>0</v>
      </c>
      <c r="T42" s="196">
        <f t="shared" si="29"/>
        <v>0</v>
      </c>
      <c r="U42" s="118" t="s">
        <v>191</v>
      </c>
      <c r="V42" s="4"/>
    </row>
    <row r="43" spans="1:22" s="2" customFormat="1" ht="12" customHeight="1">
      <c r="A43" s="23" t="str">
        <f>'Components and Space Standards'!A45</f>
        <v>Sauna, cool-down area</v>
      </c>
      <c r="B43" s="313">
        <f>'Components and Space Standards'!B45</f>
        <v>0</v>
      </c>
      <c r="C43" s="313">
        <f>'Components and Space Standards'!C45</f>
        <v>0</v>
      </c>
      <c r="D43" s="117" t="str">
        <f>'Components and Space Standards'!D45</f>
        <v>M/F (2) Saunas/cool-down area</v>
      </c>
      <c r="E43" s="117" t="str">
        <f>'Components and Space Standards'!E45</f>
        <v>small = 6 ppl, med = 8-9, lg = 12 ppl (+ cool down space)</v>
      </c>
      <c r="F43" s="188"/>
      <c r="G43" s="195"/>
      <c r="H43" s="196"/>
      <c r="I43" s="188"/>
      <c r="J43" s="195"/>
      <c r="K43" s="196"/>
      <c r="L43" s="188"/>
      <c r="M43" s="195"/>
      <c r="N43" s="196"/>
      <c r="O43" s="188"/>
      <c r="P43" s="195"/>
      <c r="Q43" s="196"/>
      <c r="R43" s="188"/>
      <c r="S43" s="195"/>
      <c r="T43" s="196"/>
      <c r="U43" s="118" t="s">
        <v>369</v>
      </c>
      <c r="V43" s="4"/>
    </row>
    <row r="44" spans="1:22" s="2" customFormat="1" ht="12" customHeight="1">
      <c r="A44" s="23" t="str">
        <f>'Components and Space Standards'!A46</f>
        <v>Steam Room, cool-down area</v>
      </c>
      <c r="B44" s="313">
        <f>'Components and Space Standards'!B46</f>
        <v>0</v>
      </c>
      <c r="C44" s="313">
        <f>'Components and Space Standards'!C46</f>
        <v>0</v>
      </c>
      <c r="D44" s="117" t="str">
        <f>'Components and Space Standards'!D46</f>
        <v>M/F (2) Steam Rooms/cool-down area</v>
      </c>
      <c r="E44" s="117" t="str">
        <f>'Components and Space Standards'!E46</f>
        <v>small = 6-7 ppl, med = 8-9, lg = 12-14 (+ cool down space)</v>
      </c>
      <c r="F44" s="188"/>
      <c r="G44" s="195"/>
      <c r="H44" s="196"/>
      <c r="I44" s="188"/>
      <c r="J44" s="195"/>
      <c r="K44" s="196"/>
      <c r="L44" s="188"/>
      <c r="M44" s="195"/>
      <c r="N44" s="196"/>
      <c r="O44" s="188"/>
      <c r="P44" s="195"/>
      <c r="Q44" s="196"/>
      <c r="R44" s="188"/>
      <c r="S44" s="195"/>
      <c r="T44" s="196"/>
      <c r="U44" s="118" t="s">
        <v>367</v>
      </c>
      <c r="V44" s="4"/>
    </row>
    <row r="45" spans="1:22" s="2" customFormat="1" ht="12" customHeight="1">
      <c r="A45" s="23" t="str">
        <f>'Components and Space Standards'!A47</f>
        <v>Hot Tub</v>
      </c>
      <c r="B45" s="313">
        <f>'Components and Space Standards'!B47</f>
        <v>0</v>
      </c>
      <c r="C45" s="313">
        <f>'Components and Space Standards'!C47</f>
        <v>0</v>
      </c>
      <c r="D45" s="117" t="str">
        <f>'Components and Space Standards'!D47</f>
        <v>Unisex Hot Tub</v>
      </c>
      <c r="E45" s="117" t="str">
        <f>'Components and Space Standards'!E47</f>
        <v>small = 5 ppl, med = 8, lg = 12-14 ppl</v>
      </c>
      <c r="F45" s="188"/>
      <c r="G45" s="195"/>
      <c r="H45" s="196"/>
      <c r="I45" s="188"/>
      <c r="J45" s="195"/>
      <c r="K45" s="196"/>
      <c r="L45" s="188"/>
      <c r="M45" s="195"/>
      <c r="N45" s="196"/>
      <c r="O45" s="188"/>
      <c r="P45" s="195"/>
      <c r="Q45" s="196"/>
      <c r="R45" s="188"/>
      <c r="S45" s="195"/>
      <c r="T45" s="196"/>
      <c r="U45" s="118" t="s">
        <v>367</v>
      </c>
      <c r="V45" s="4"/>
    </row>
    <row r="46" spans="1:21" s="331" customFormat="1" ht="12" customHeight="1">
      <c r="A46" s="184" t="str">
        <f>'Components and Space Standards'!A48</f>
        <v>Support Areas</v>
      </c>
      <c r="B46" s="185"/>
      <c r="C46" s="197"/>
      <c r="D46" s="197"/>
      <c r="E46" s="199"/>
      <c r="F46" s="200"/>
      <c r="G46" s="204"/>
      <c r="H46" s="205"/>
      <c r="I46" s="205"/>
      <c r="J46" s="205"/>
      <c r="K46" s="205"/>
      <c r="L46" s="205"/>
      <c r="M46" s="205"/>
      <c r="N46" s="205"/>
      <c r="O46" s="205"/>
      <c r="P46" s="205"/>
      <c r="Q46" s="205"/>
      <c r="R46" s="200"/>
      <c r="S46" s="204"/>
      <c r="T46" s="329"/>
      <c r="U46" s="330"/>
    </row>
    <row r="47" spans="1:22" s="2" customFormat="1" ht="12" customHeight="1">
      <c r="A47" s="23" t="str">
        <f>'Components and Space Standards'!A49</f>
        <v>Laundry</v>
      </c>
      <c r="B47" s="16">
        <f>'Components and Space Standards'!B49</f>
        <v>18.58</v>
      </c>
      <c r="C47" s="11">
        <f>'Components and Space Standards'!C49</f>
        <v>200</v>
      </c>
      <c r="D47" s="255" t="str">
        <f>'Components and Space Standards'!D49</f>
        <v>Laundry Room</v>
      </c>
      <c r="E47" s="17" t="str">
        <f>'Components and Space Standards'!E49</f>
        <v>Per one-washer/two-dryer room</v>
      </c>
      <c r="F47" s="311"/>
      <c r="G47" s="206"/>
      <c r="H47" s="207"/>
      <c r="I47" s="190">
        <v>3</v>
      </c>
      <c r="J47" s="207"/>
      <c r="K47" s="207"/>
      <c r="L47" s="190">
        <v>4</v>
      </c>
      <c r="M47" s="207"/>
      <c r="N47" s="207"/>
      <c r="O47" s="190"/>
      <c r="P47" s="207"/>
      <c r="Q47" s="207"/>
      <c r="R47" s="188"/>
      <c r="S47" s="206"/>
      <c r="T47" s="208"/>
      <c r="U47" s="116" t="s">
        <v>192</v>
      </c>
      <c r="V47" s="4"/>
    </row>
    <row r="48" spans="1:22" s="2" customFormat="1" ht="12" customHeight="1">
      <c r="A48" s="105" t="str">
        <f>'Components and Space Standards'!A50</f>
        <v>Equipment repair and receiving</v>
      </c>
      <c r="B48" s="16">
        <f>'Components and Space Standards'!B50</f>
        <v>0</v>
      </c>
      <c r="C48" s="209">
        <f>'Components and Space Standards'!C50</f>
        <v>0</v>
      </c>
      <c r="D48" s="259" t="str">
        <f>'Components and Space Standards'!D50</f>
        <v>Repair/receiving Room</v>
      </c>
      <c r="E48" s="101" t="str">
        <f>'Components and Space Standards'!E50</f>
        <v>Fixed receiving area + variable repair (10% of Fitness)</v>
      </c>
      <c r="F48" s="194"/>
      <c r="G48" s="206"/>
      <c r="H48" s="207"/>
      <c r="I48" s="207"/>
      <c r="J48" s="207"/>
      <c r="K48" s="207"/>
      <c r="L48" s="207"/>
      <c r="M48" s="207"/>
      <c r="N48" s="207"/>
      <c r="O48" s="207"/>
      <c r="P48" s="207"/>
      <c r="Q48" s="207"/>
      <c r="R48" s="194"/>
      <c r="S48" s="206"/>
      <c r="T48" s="208"/>
      <c r="U48" s="610" t="s">
        <v>131</v>
      </c>
      <c r="V48" s="4"/>
    </row>
    <row r="49" spans="1:22" s="2" customFormat="1" ht="12" customHeight="1">
      <c r="A49" s="105" t="str">
        <f>'Components and Space Standards'!A51</f>
        <v>Storage</v>
      </c>
      <c r="B49" s="16">
        <f>'Components and Space Standards'!B51</f>
        <v>0</v>
      </c>
      <c r="C49" s="209">
        <f>'Components and Space Standards'!C51</f>
        <v>0</v>
      </c>
      <c r="D49" s="259" t="str">
        <f>'Components and Space Standards'!D51</f>
        <v>Storage Room</v>
      </c>
      <c r="E49" s="101" t="str">
        <f>'Components and Space Standards'!E51</f>
        <v>Variable lockable storage room (5% of fitness)</v>
      </c>
      <c r="F49" s="194"/>
      <c r="G49" s="206"/>
      <c r="H49" s="207"/>
      <c r="I49" s="207"/>
      <c r="J49" s="207"/>
      <c r="K49" s="207"/>
      <c r="L49" s="207"/>
      <c r="M49" s="207"/>
      <c r="N49" s="207"/>
      <c r="O49" s="207"/>
      <c r="P49" s="207"/>
      <c r="Q49" s="207"/>
      <c r="R49" s="194"/>
      <c r="S49" s="206"/>
      <c r="T49" s="208"/>
      <c r="U49" s="611"/>
      <c r="V49" s="4"/>
    </row>
    <row r="50" spans="1:22" s="2" customFormat="1" ht="12" customHeight="1">
      <c r="A50" s="105" t="str">
        <f>'Components and Space Standards'!A52</f>
        <v>Additional Programmatic Storage</v>
      </c>
      <c r="B50" s="16">
        <f>'Components and Space Standards'!B52</f>
        <v>0</v>
      </c>
      <c r="C50" s="209">
        <f>'Components and Space Standards'!C52</f>
        <v>0</v>
      </c>
      <c r="D50" s="259" t="str">
        <f>'Components and Space Standards'!D52</f>
        <v> sf  Additional Storage</v>
      </c>
      <c r="E50" s="101" t="str">
        <f>'Components and Space Standards'!E52</f>
        <v>To be filled-in by programmer and justified based on item stored.</v>
      </c>
      <c r="F50" s="210"/>
      <c r="G50" s="211"/>
      <c r="H50" s="212"/>
      <c r="I50" s="212"/>
      <c r="J50" s="212"/>
      <c r="K50" s="212"/>
      <c r="L50" s="212"/>
      <c r="M50" s="212"/>
      <c r="N50" s="212"/>
      <c r="O50" s="212"/>
      <c r="P50" s="212"/>
      <c r="Q50" s="212"/>
      <c r="R50" s="210"/>
      <c r="S50" s="211"/>
      <c r="T50" s="213"/>
      <c r="U50" s="134"/>
      <c r="V50" s="4"/>
    </row>
    <row r="51" spans="1:25" s="2" customFormat="1" ht="12" customHeight="1">
      <c r="A51" s="105" t="str">
        <f>'Components and Space Standards'!A53:E53</f>
        <v>Janitor's Closet(s)</v>
      </c>
      <c r="B51" s="16">
        <f>'Components and Space Standards'!B53:F53</f>
        <v>3.7159999999999997</v>
      </c>
      <c r="C51" s="11">
        <f>'Components and Space Standards'!C53</f>
        <v>40</v>
      </c>
      <c r="D51" s="259" t="str">
        <f>'Components and Space Standards'!D53:G53</f>
        <v>40 SF/closet</v>
      </c>
      <c r="E51" s="101" t="str">
        <f>'Components and Space Standards'!E53:H53</f>
        <v>Per Janitor's Closet</v>
      </c>
      <c r="F51" s="210">
        <v>2</v>
      </c>
      <c r="G51" s="195">
        <f>$B51*F51</f>
        <v>7.4319999999999995</v>
      </c>
      <c r="H51" s="196">
        <f>F51*$C51</f>
        <v>80</v>
      </c>
      <c r="I51" s="212">
        <v>2</v>
      </c>
      <c r="J51" s="195">
        <f>$B51*I51</f>
        <v>7.4319999999999995</v>
      </c>
      <c r="K51" s="196">
        <f>I51*$C51</f>
        <v>80</v>
      </c>
      <c r="L51" s="212">
        <v>3</v>
      </c>
      <c r="M51" s="195">
        <f>$B51*L51</f>
        <v>11.148</v>
      </c>
      <c r="N51" s="196">
        <f>L51*$C51</f>
        <v>120</v>
      </c>
      <c r="O51" s="212">
        <v>4</v>
      </c>
      <c r="P51" s="195">
        <f>$B51*O51</f>
        <v>14.863999999999999</v>
      </c>
      <c r="Q51" s="196">
        <f>O51*$C51</f>
        <v>160</v>
      </c>
      <c r="R51" s="210">
        <v>4</v>
      </c>
      <c r="S51" s="195">
        <f>$B51*R51</f>
        <v>14.863999999999999</v>
      </c>
      <c r="T51" s="196">
        <f>R51*$C51</f>
        <v>160</v>
      </c>
      <c r="U51" s="545">
        <v>4</v>
      </c>
      <c r="V51" s="195">
        <f>$B51*U51</f>
        <v>14.863999999999999</v>
      </c>
      <c r="W51" s="196">
        <f>U51*$C51</f>
        <v>160</v>
      </c>
      <c r="X51" s="134"/>
      <c r="Y51" s="4"/>
    </row>
    <row r="52" spans="1:21" s="2" customFormat="1" ht="15.75" customHeight="1">
      <c r="A52" s="617" t="str">
        <f>'Components and Space Standards'!A54</f>
        <v>Health Promotion Spaces - Marine Corps Only (Required or Optional)</v>
      </c>
      <c r="B52" s="618">
        <f>'Components and Space Standards'!B54</f>
        <v>0</v>
      </c>
      <c r="C52" s="618">
        <f>'Components and Space Standards'!C54</f>
        <v>0</v>
      </c>
      <c r="D52" s="618">
        <f>'Components and Space Standards'!D54</f>
        <v>0</v>
      </c>
      <c r="E52" s="618">
        <f>'Components and Space Standards'!E54</f>
        <v>0</v>
      </c>
      <c r="F52" s="214"/>
      <c r="G52" s="214"/>
      <c r="H52" s="214"/>
      <c r="I52" s="214"/>
      <c r="J52" s="214"/>
      <c r="K52" s="214"/>
      <c r="L52" s="214"/>
      <c r="M52" s="214"/>
      <c r="N52" s="214"/>
      <c r="O52" s="214"/>
      <c r="P52" s="214"/>
      <c r="Q52" s="214"/>
      <c r="R52" s="214"/>
      <c r="S52" s="214"/>
      <c r="T52" s="215"/>
      <c r="U52" s="110"/>
    </row>
    <row r="53" spans="1:21" s="2" customFormat="1" ht="12" customHeight="1">
      <c r="A53" s="19" t="str">
        <f>'Components and Space Standards'!A55</f>
        <v>Lobby/Reception</v>
      </c>
      <c r="B53" s="313">
        <f>'Components and Space Standards'!B55</f>
        <v>27.869999999999997</v>
      </c>
      <c r="C53" s="313">
        <f>'Components and Space Standards'!C55</f>
        <v>300</v>
      </c>
      <c r="D53" s="117" t="str">
        <f>'Components and Space Standards'!D55</f>
        <v>Lobby/Reception Module(s)</v>
      </c>
      <c r="E53" s="117" t="str">
        <f>'Components and Space Standards'!E55</f>
        <v>per area</v>
      </c>
      <c r="F53" s="188"/>
      <c r="G53" s="189">
        <f aca="true" t="shared" si="30" ref="G53:G61">$B53*F53</f>
        <v>0</v>
      </c>
      <c r="H53" s="190">
        <f aca="true" t="shared" si="31" ref="H53:H61">F53*$C53</f>
        <v>0</v>
      </c>
      <c r="I53" s="190"/>
      <c r="J53" s="190">
        <f aca="true" t="shared" si="32" ref="J53:J61">$B53*I53</f>
        <v>0</v>
      </c>
      <c r="K53" s="190">
        <f aca="true" t="shared" si="33" ref="K53:K61">I53*$C53</f>
        <v>0</v>
      </c>
      <c r="L53" s="190"/>
      <c r="M53" s="190">
        <f aca="true" t="shared" si="34" ref="M53:M61">$B53*L53</f>
        <v>0</v>
      </c>
      <c r="N53" s="190">
        <f aca="true" t="shared" si="35" ref="N53:N61">L53*$C53</f>
        <v>0</v>
      </c>
      <c r="O53" s="190"/>
      <c r="P53" s="190">
        <f aca="true" t="shared" si="36" ref="P53:P61">$B53*O53</f>
        <v>0</v>
      </c>
      <c r="Q53" s="190">
        <f aca="true" t="shared" si="37" ref="Q53:Q61">O53*$C53</f>
        <v>0</v>
      </c>
      <c r="R53" s="188"/>
      <c r="S53" s="189">
        <f aca="true" t="shared" si="38" ref="S53:S61">$B53*R53</f>
        <v>0</v>
      </c>
      <c r="T53" s="192">
        <f aca="true" t="shared" si="39" ref="T53:T61">R53*$C53</f>
        <v>0</v>
      </c>
      <c r="U53" s="108" t="s">
        <v>56</v>
      </c>
    </row>
    <row r="54" spans="1:21" s="2" customFormat="1" ht="12" customHeight="1">
      <c r="A54" s="19" t="str">
        <f>'Components and Space Standards'!A56</f>
        <v>Director's Office</v>
      </c>
      <c r="B54" s="313">
        <f>'Components and Space Standards'!B56</f>
        <v>11.148</v>
      </c>
      <c r="C54" s="313">
        <f>'Components and Space Standards'!C56</f>
        <v>120</v>
      </c>
      <c r="D54" s="117" t="str">
        <f>'Components and Space Standards'!D56</f>
        <v>Office</v>
      </c>
      <c r="E54" s="117" t="str">
        <f>'Components and Space Standards'!E56</f>
        <v>per office</v>
      </c>
      <c r="F54" s="188"/>
      <c r="G54" s="189">
        <f t="shared" si="30"/>
        <v>0</v>
      </c>
      <c r="H54" s="190">
        <f t="shared" si="31"/>
        <v>0</v>
      </c>
      <c r="I54" s="190"/>
      <c r="J54" s="190">
        <f t="shared" si="32"/>
        <v>0</v>
      </c>
      <c r="K54" s="190">
        <f t="shared" si="33"/>
        <v>0</v>
      </c>
      <c r="L54" s="190"/>
      <c r="M54" s="190">
        <f t="shared" si="34"/>
        <v>0</v>
      </c>
      <c r="N54" s="190">
        <f t="shared" si="35"/>
        <v>0</v>
      </c>
      <c r="O54" s="190"/>
      <c r="P54" s="190">
        <f t="shared" si="36"/>
        <v>0</v>
      </c>
      <c r="Q54" s="190">
        <f t="shared" si="37"/>
        <v>0</v>
      </c>
      <c r="R54" s="188"/>
      <c r="S54" s="189">
        <f t="shared" si="38"/>
        <v>0</v>
      </c>
      <c r="T54" s="192">
        <f t="shared" si="39"/>
        <v>0</v>
      </c>
      <c r="U54" s="108" t="s">
        <v>62</v>
      </c>
    </row>
    <row r="55" spans="1:21" s="2" customFormat="1" ht="12" customHeight="1">
      <c r="A55" s="19" t="str">
        <f>'Components and Space Standards'!A57</f>
        <v>Program Managers' Offices</v>
      </c>
      <c r="B55" s="313">
        <f>'Components and Space Standards'!B57</f>
        <v>9.29</v>
      </c>
      <c r="C55" s="313">
        <f>'Components and Space Standards'!C57</f>
        <v>100</v>
      </c>
      <c r="D55" s="117" t="str">
        <f>'Components and Space Standards'!D57</f>
        <v>Office(s)</v>
      </c>
      <c r="E55" s="117" t="str">
        <f>'Components and Space Standards'!E57</f>
        <v>per office</v>
      </c>
      <c r="F55" s="188"/>
      <c r="G55" s="189">
        <f t="shared" si="30"/>
        <v>0</v>
      </c>
      <c r="H55" s="190">
        <f t="shared" si="31"/>
        <v>0</v>
      </c>
      <c r="I55" s="190">
        <v>1</v>
      </c>
      <c r="J55" s="190">
        <f t="shared" si="32"/>
        <v>9.29</v>
      </c>
      <c r="K55" s="190">
        <f t="shared" si="33"/>
        <v>100</v>
      </c>
      <c r="L55" s="190">
        <v>1</v>
      </c>
      <c r="M55" s="190">
        <f t="shared" si="34"/>
        <v>9.29</v>
      </c>
      <c r="N55" s="190">
        <f t="shared" si="35"/>
        <v>100</v>
      </c>
      <c r="O55" s="190">
        <v>1</v>
      </c>
      <c r="P55" s="190">
        <f t="shared" si="36"/>
        <v>9.29</v>
      </c>
      <c r="Q55" s="190">
        <f t="shared" si="37"/>
        <v>100</v>
      </c>
      <c r="R55" s="188"/>
      <c r="S55" s="189">
        <f t="shared" si="38"/>
        <v>0</v>
      </c>
      <c r="T55" s="192">
        <f t="shared" si="39"/>
        <v>0</v>
      </c>
      <c r="U55" s="108"/>
    </row>
    <row r="56" spans="1:21" s="2" customFormat="1" ht="12" customHeight="1">
      <c r="A56" s="19" t="str">
        <f>'Components and Space Standards'!A58</f>
        <v>Support Staff Workstations</v>
      </c>
      <c r="B56" s="313">
        <f>'Components and Space Standards'!B58</f>
        <v>5.9456</v>
      </c>
      <c r="C56" s="313">
        <f>'Components and Space Standards'!C58</f>
        <v>64</v>
      </c>
      <c r="D56" s="117" t="str">
        <f>'Components and Space Standards'!D58</f>
        <v>Workstation(s)</v>
      </c>
      <c r="E56" s="117" t="str">
        <f>'Components and Space Standards'!E58</f>
        <v>per workstation</v>
      </c>
      <c r="F56" s="188"/>
      <c r="G56" s="189">
        <f t="shared" si="30"/>
        <v>0</v>
      </c>
      <c r="H56" s="190">
        <f t="shared" si="31"/>
        <v>0</v>
      </c>
      <c r="I56" s="190">
        <v>1</v>
      </c>
      <c r="J56" s="190">
        <f t="shared" si="32"/>
        <v>5.9456</v>
      </c>
      <c r="K56" s="190">
        <f t="shared" si="33"/>
        <v>64</v>
      </c>
      <c r="L56" s="190">
        <v>1</v>
      </c>
      <c r="M56" s="190">
        <f t="shared" si="34"/>
        <v>5.9456</v>
      </c>
      <c r="N56" s="190">
        <f t="shared" si="35"/>
        <v>64</v>
      </c>
      <c r="O56" s="190">
        <v>1</v>
      </c>
      <c r="P56" s="190">
        <f t="shared" si="36"/>
        <v>5.9456</v>
      </c>
      <c r="Q56" s="190">
        <f t="shared" si="37"/>
        <v>64</v>
      </c>
      <c r="R56" s="188"/>
      <c r="S56" s="189">
        <f t="shared" si="38"/>
        <v>0</v>
      </c>
      <c r="T56" s="192">
        <f t="shared" si="39"/>
        <v>0</v>
      </c>
      <c r="U56" s="108"/>
    </row>
    <row r="57" spans="1:21" s="3" customFormat="1" ht="12" customHeight="1">
      <c r="A57" s="19" t="str">
        <f>'Components and Space Standards'!A59</f>
        <v>Classrooms/Training rooms</v>
      </c>
      <c r="B57" s="313">
        <f>'Components and Space Standards'!B59</f>
        <v>58.527</v>
      </c>
      <c r="C57" s="313">
        <f>'Components and Space Standards'!C59</f>
        <v>630</v>
      </c>
      <c r="D57" s="117" t="str">
        <f>'Components and Space Standards'!D59</f>
        <v>Classroom/Training Module(s)</v>
      </c>
      <c r="E57" s="117" t="str">
        <f>'Components and Space Standards'!E59</f>
        <v>per room</v>
      </c>
      <c r="F57" s="188">
        <v>1</v>
      </c>
      <c r="G57" s="189">
        <f t="shared" si="30"/>
        <v>58.527</v>
      </c>
      <c r="H57" s="190">
        <f t="shared" si="31"/>
        <v>630</v>
      </c>
      <c r="I57" s="190">
        <v>1</v>
      </c>
      <c r="J57" s="190">
        <f t="shared" si="32"/>
        <v>58.527</v>
      </c>
      <c r="K57" s="190">
        <f t="shared" si="33"/>
        <v>630</v>
      </c>
      <c r="L57" s="190">
        <v>1</v>
      </c>
      <c r="M57" s="190">
        <f t="shared" si="34"/>
        <v>58.527</v>
      </c>
      <c r="N57" s="190">
        <f t="shared" si="35"/>
        <v>630</v>
      </c>
      <c r="O57" s="190">
        <v>2</v>
      </c>
      <c r="P57" s="190">
        <f t="shared" si="36"/>
        <v>117.054</v>
      </c>
      <c r="Q57" s="190">
        <f t="shared" si="37"/>
        <v>1260</v>
      </c>
      <c r="R57" s="188"/>
      <c r="S57" s="216">
        <f t="shared" si="38"/>
        <v>0</v>
      </c>
      <c r="T57" s="192">
        <f t="shared" si="39"/>
        <v>0</v>
      </c>
      <c r="U57" s="108" t="s">
        <v>56</v>
      </c>
    </row>
    <row r="58" spans="1:21" s="3" customFormat="1" ht="12" customHeight="1">
      <c r="A58" s="19" t="str">
        <f>'Components and Space Standards'!A60</f>
        <v>Resource Room/Computer Lab</v>
      </c>
      <c r="B58" s="313">
        <f>'Components and Space Standards'!B60</f>
        <v>23.224999999999998</v>
      </c>
      <c r="C58" s="313">
        <f>'Components and Space Standards'!C60</f>
        <v>250</v>
      </c>
      <c r="D58" s="117" t="str">
        <f>'Components and Space Standards'!D60</f>
        <v>Resource/Computer Lab Module(s)</v>
      </c>
      <c r="E58" s="117" t="str">
        <f>'Components and Space Standards'!E60</f>
        <v>per room</v>
      </c>
      <c r="F58" s="188"/>
      <c r="G58" s="189">
        <f t="shared" si="30"/>
        <v>0</v>
      </c>
      <c r="H58" s="190">
        <f t="shared" si="31"/>
        <v>0</v>
      </c>
      <c r="I58" s="190">
        <v>1</v>
      </c>
      <c r="J58" s="190">
        <f t="shared" si="32"/>
        <v>23.224999999999998</v>
      </c>
      <c r="K58" s="190">
        <f t="shared" si="33"/>
        <v>250</v>
      </c>
      <c r="L58" s="190">
        <v>1</v>
      </c>
      <c r="M58" s="190">
        <f t="shared" si="34"/>
        <v>23.224999999999998</v>
      </c>
      <c r="N58" s="190">
        <f t="shared" si="35"/>
        <v>250</v>
      </c>
      <c r="O58" s="190">
        <v>1</v>
      </c>
      <c r="P58" s="190">
        <f t="shared" si="36"/>
        <v>23.224999999999998</v>
      </c>
      <c r="Q58" s="190">
        <f t="shared" si="37"/>
        <v>250</v>
      </c>
      <c r="R58" s="188"/>
      <c r="S58" s="216">
        <f t="shared" si="38"/>
        <v>0</v>
      </c>
      <c r="T58" s="192">
        <f t="shared" si="39"/>
        <v>0</v>
      </c>
      <c r="U58" s="108" t="s">
        <v>59</v>
      </c>
    </row>
    <row r="59" spans="1:21" s="2" customFormat="1" ht="12" customHeight="1">
      <c r="A59" s="19" t="str">
        <f>'Components and Space Standards'!A61</f>
        <v>Storage/support</v>
      </c>
      <c r="B59" s="313">
        <f>'Components and Space Standards'!B61</f>
        <v>7.4319999999999995</v>
      </c>
      <c r="C59" s="313">
        <f>'Components and Space Standards'!C61</f>
        <v>80</v>
      </c>
      <c r="D59" s="117" t="str">
        <f>'Components and Space Standards'!D61</f>
        <v>Storage/support Module(s)</v>
      </c>
      <c r="E59" s="117" t="str">
        <f>'Components and Space Standards'!E61</f>
        <v>per area</v>
      </c>
      <c r="F59" s="188"/>
      <c r="G59" s="189">
        <f t="shared" si="30"/>
        <v>0</v>
      </c>
      <c r="H59" s="190">
        <f t="shared" si="31"/>
        <v>0</v>
      </c>
      <c r="I59" s="190">
        <v>1</v>
      </c>
      <c r="J59" s="190">
        <f t="shared" si="32"/>
        <v>7.4319999999999995</v>
      </c>
      <c r="K59" s="190">
        <f t="shared" si="33"/>
        <v>80</v>
      </c>
      <c r="L59" s="190">
        <v>1</v>
      </c>
      <c r="M59" s="190">
        <f t="shared" si="34"/>
        <v>7.4319999999999995</v>
      </c>
      <c r="N59" s="190">
        <f t="shared" si="35"/>
        <v>80</v>
      </c>
      <c r="O59" s="190">
        <v>1</v>
      </c>
      <c r="P59" s="190">
        <f t="shared" si="36"/>
        <v>7.4319999999999995</v>
      </c>
      <c r="Q59" s="190">
        <f t="shared" si="37"/>
        <v>80</v>
      </c>
      <c r="R59" s="188"/>
      <c r="S59" s="189">
        <f t="shared" si="38"/>
        <v>0</v>
      </c>
      <c r="T59" s="192">
        <f t="shared" si="39"/>
        <v>0</v>
      </c>
      <c r="U59" s="108"/>
    </row>
    <row r="60" spans="1:21" s="2" customFormat="1" ht="12" customHeight="1">
      <c r="A60" s="19" t="str">
        <f>'Components and Space Standards'!A63</f>
        <v>Ergometry and Fitness Testing *</v>
      </c>
      <c r="B60" s="313">
        <f>'Components and Space Standards'!B63</f>
        <v>7.4319999999999995</v>
      </c>
      <c r="C60" s="313">
        <f>'Components and Space Standards'!C63</f>
        <v>80</v>
      </c>
      <c r="D60" s="117" t="str">
        <f>'Components and Space Standards'!D63</f>
        <v>Testing Cubicle(s)</v>
      </c>
      <c r="E60" s="117" t="str">
        <f>'Components and Space Standards'!E63</f>
        <v>per testing cubicles</v>
      </c>
      <c r="F60" s="188">
        <v>1</v>
      </c>
      <c r="G60" s="189">
        <f t="shared" si="30"/>
        <v>7.4319999999999995</v>
      </c>
      <c r="H60" s="190">
        <f t="shared" si="31"/>
        <v>80</v>
      </c>
      <c r="I60" s="190">
        <v>2</v>
      </c>
      <c r="J60" s="190">
        <f t="shared" si="32"/>
        <v>14.863999999999999</v>
      </c>
      <c r="K60" s="190">
        <f t="shared" si="33"/>
        <v>160</v>
      </c>
      <c r="L60" s="190">
        <v>2</v>
      </c>
      <c r="M60" s="190">
        <f t="shared" si="34"/>
        <v>14.863999999999999</v>
      </c>
      <c r="N60" s="190">
        <f t="shared" si="35"/>
        <v>160</v>
      </c>
      <c r="O60" s="190">
        <v>3</v>
      </c>
      <c r="P60" s="190">
        <f t="shared" si="36"/>
        <v>22.296</v>
      </c>
      <c r="Q60" s="190">
        <f t="shared" si="37"/>
        <v>240</v>
      </c>
      <c r="R60" s="188"/>
      <c r="S60" s="189">
        <f t="shared" si="38"/>
        <v>0</v>
      </c>
      <c r="T60" s="192">
        <f t="shared" si="39"/>
        <v>0</v>
      </c>
      <c r="U60" s="108" t="s">
        <v>72</v>
      </c>
    </row>
    <row r="61" spans="1:21" s="2" customFormat="1" ht="12" customHeight="1">
      <c r="A61" s="19" t="str">
        <f>'Components and Space Standards'!A64</f>
        <v>Wellness Assessment *</v>
      </c>
      <c r="B61" s="313">
        <f>'Components and Space Standards'!B64</f>
        <v>13.934999999999999</v>
      </c>
      <c r="C61" s="313">
        <f>'Components and Space Standards'!C64</f>
        <v>150</v>
      </c>
      <c r="D61" s="117" t="str">
        <f>'Components and Space Standards'!D64</f>
        <v>Assessment Room(s)</v>
      </c>
      <c r="E61" s="117" t="str">
        <f>'Components and Space Standards'!E64</f>
        <v>per room</v>
      </c>
      <c r="F61" s="220"/>
      <c r="G61" s="221">
        <f t="shared" si="30"/>
        <v>0</v>
      </c>
      <c r="H61" s="222">
        <f t="shared" si="31"/>
        <v>0</v>
      </c>
      <c r="I61" s="222"/>
      <c r="J61" s="222">
        <f t="shared" si="32"/>
        <v>0</v>
      </c>
      <c r="K61" s="222">
        <f t="shared" si="33"/>
        <v>0</v>
      </c>
      <c r="L61" s="222"/>
      <c r="M61" s="222">
        <f t="shared" si="34"/>
        <v>0</v>
      </c>
      <c r="N61" s="222">
        <f t="shared" si="35"/>
        <v>0</v>
      </c>
      <c r="O61" s="222"/>
      <c r="P61" s="222">
        <f t="shared" si="36"/>
        <v>0</v>
      </c>
      <c r="Q61" s="222">
        <f t="shared" si="37"/>
        <v>0</v>
      </c>
      <c r="R61" s="220"/>
      <c r="S61" s="221">
        <f t="shared" si="38"/>
        <v>0</v>
      </c>
      <c r="T61" s="223">
        <f t="shared" si="39"/>
        <v>0</v>
      </c>
      <c r="U61" s="108" t="s">
        <v>56</v>
      </c>
    </row>
    <row r="62" spans="1:21" s="3" customFormat="1" ht="15.75" customHeight="1">
      <c r="A62" s="617" t="str">
        <f>'Components and Space Standards'!A65</f>
        <v>Administrative Spaces (required or optional)</v>
      </c>
      <c r="B62" s="618">
        <f>'Components and Space Standards'!B65</f>
        <v>0</v>
      </c>
      <c r="C62" s="618">
        <f>'Components and Space Standards'!C65</f>
        <v>0</v>
      </c>
      <c r="D62" s="618">
        <f>'Components and Space Standards'!D65</f>
        <v>0</v>
      </c>
      <c r="E62" s="618">
        <f>'Components and Space Standards'!E65</f>
        <v>0</v>
      </c>
      <c r="F62" s="182"/>
      <c r="G62" s="182"/>
      <c r="H62" s="182"/>
      <c r="I62" s="182"/>
      <c r="J62" s="182"/>
      <c r="K62" s="182"/>
      <c r="L62" s="182"/>
      <c r="M62" s="182"/>
      <c r="N62" s="182"/>
      <c r="O62" s="182"/>
      <c r="P62" s="182"/>
      <c r="Q62" s="182"/>
      <c r="R62" s="182"/>
      <c r="S62" s="182"/>
      <c r="T62" s="183"/>
      <c r="U62" s="111"/>
    </row>
    <row r="63" spans="1:21" s="2" customFormat="1" ht="12" customHeight="1">
      <c r="A63" s="19" t="str">
        <f>'Components and Space Standards'!A66</f>
        <v>Director's Office</v>
      </c>
      <c r="B63" s="313">
        <f>'Components and Space Standards'!B66</f>
        <v>11.148</v>
      </c>
      <c r="C63" s="313">
        <f>'Components and Space Standards'!C66</f>
        <v>120</v>
      </c>
      <c r="D63" s="117" t="str">
        <f>'Components and Space Standards'!D66</f>
        <v>Office</v>
      </c>
      <c r="E63" s="117" t="str">
        <f>'Components and Space Standards'!E66</f>
        <v>per office</v>
      </c>
      <c r="F63" s="188">
        <v>1</v>
      </c>
      <c r="G63" s="189">
        <v>0</v>
      </c>
      <c r="H63" s="190">
        <f aca="true" t="shared" si="40" ref="H63:H68">F63*$C63</f>
        <v>120</v>
      </c>
      <c r="I63" s="190">
        <v>1</v>
      </c>
      <c r="J63" s="190">
        <f aca="true" t="shared" si="41" ref="J63:J68">$B63*I63</f>
        <v>11.148</v>
      </c>
      <c r="K63" s="190">
        <f aca="true" t="shared" si="42" ref="K63:K68">I63*$C63</f>
        <v>120</v>
      </c>
      <c r="L63" s="190">
        <v>1</v>
      </c>
      <c r="M63" s="190">
        <f aca="true" t="shared" si="43" ref="M63:M68">$B63*L63</f>
        <v>11.148</v>
      </c>
      <c r="N63" s="190">
        <f aca="true" t="shared" si="44" ref="N63:N68">L63*$C63</f>
        <v>120</v>
      </c>
      <c r="O63" s="190">
        <v>1</v>
      </c>
      <c r="P63" s="190">
        <f aca="true" t="shared" si="45" ref="P63:P68">$B63*O63</f>
        <v>11.148</v>
      </c>
      <c r="Q63" s="190">
        <f aca="true" t="shared" si="46" ref="Q63:Q68">O63*$C63</f>
        <v>120</v>
      </c>
      <c r="R63" s="188"/>
      <c r="S63" s="216">
        <f aca="true" t="shared" si="47" ref="S63:S68">$B63*R63</f>
        <v>0</v>
      </c>
      <c r="T63" s="224">
        <f aca="true" t="shared" si="48" ref="T63:T68">R63*$C63</f>
        <v>0</v>
      </c>
      <c r="U63" s="118" t="s">
        <v>112</v>
      </c>
    </row>
    <row r="64" spans="1:21" s="3" customFormat="1" ht="12" customHeight="1">
      <c r="A64" s="19" t="str">
        <f>'Components and Space Standards'!A67</f>
        <v>Program Managers' Offices</v>
      </c>
      <c r="B64" s="313">
        <f>'Components and Space Standards'!B67</f>
        <v>9.29</v>
      </c>
      <c r="C64" s="313">
        <f>'Components and Space Standards'!C67</f>
        <v>100</v>
      </c>
      <c r="D64" s="117" t="str">
        <f>'Components and Space Standards'!D67</f>
        <v>Office(s)</v>
      </c>
      <c r="E64" s="117" t="str">
        <f>'Components and Space Standards'!E67</f>
        <v>per office</v>
      </c>
      <c r="F64" s="188">
        <v>1</v>
      </c>
      <c r="G64" s="216">
        <f>$B64*F64</f>
        <v>9.29</v>
      </c>
      <c r="H64" s="190">
        <f t="shared" si="40"/>
        <v>100</v>
      </c>
      <c r="I64" s="190">
        <v>2</v>
      </c>
      <c r="J64" s="190">
        <f t="shared" si="41"/>
        <v>18.58</v>
      </c>
      <c r="K64" s="190">
        <f t="shared" si="42"/>
        <v>200</v>
      </c>
      <c r="L64" s="190">
        <v>2</v>
      </c>
      <c r="M64" s="190">
        <f t="shared" si="43"/>
        <v>18.58</v>
      </c>
      <c r="N64" s="190">
        <f t="shared" si="44"/>
        <v>200</v>
      </c>
      <c r="O64" s="190">
        <v>2</v>
      </c>
      <c r="P64" s="190">
        <f t="shared" si="45"/>
        <v>18.58</v>
      </c>
      <c r="Q64" s="190">
        <f t="shared" si="46"/>
        <v>200</v>
      </c>
      <c r="R64" s="188"/>
      <c r="S64" s="216">
        <f t="shared" si="47"/>
        <v>0</v>
      </c>
      <c r="T64" s="224">
        <f t="shared" si="48"/>
        <v>0</v>
      </c>
      <c r="U64" s="118" t="s">
        <v>114</v>
      </c>
    </row>
    <row r="65" spans="1:21" s="2" customFormat="1" ht="12" customHeight="1">
      <c r="A65" s="19" t="str">
        <f>'Components and Space Standards'!A68</f>
        <v>Support Staff Workstations</v>
      </c>
      <c r="B65" s="313">
        <f>'Components and Space Standards'!B68</f>
        <v>5.9456</v>
      </c>
      <c r="C65" s="313">
        <f>'Components and Space Standards'!C68</f>
        <v>64</v>
      </c>
      <c r="D65" s="117" t="str">
        <f>'Components and Space Standards'!D68</f>
        <v>Workstation(s)</v>
      </c>
      <c r="E65" s="117" t="str">
        <f>'Components and Space Standards'!E68</f>
        <v>per office</v>
      </c>
      <c r="F65" s="188">
        <v>3</v>
      </c>
      <c r="G65" s="189">
        <f>$B65*F65</f>
        <v>17.8368</v>
      </c>
      <c r="H65" s="190">
        <f t="shared" si="40"/>
        <v>192</v>
      </c>
      <c r="I65" s="190">
        <v>4</v>
      </c>
      <c r="J65" s="190">
        <f t="shared" si="41"/>
        <v>23.7824</v>
      </c>
      <c r="K65" s="190">
        <f t="shared" si="42"/>
        <v>256</v>
      </c>
      <c r="L65" s="190">
        <v>6</v>
      </c>
      <c r="M65" s="190">
        <f t="shared" si="43"/>
        <v>35.6736</v>
      </c>
      <c r="N65" s="190">
        <f t="shared" si="44"/>
        <v>384</v>
      </c>
      <c r="O65" s="190">
        <v>8</v>
      </c>
      <c r="P65" s="190">
        <f t="shared" si="45"/>
        <v>47.5648</v>
      </c>
      <c r="Q65" s="190">
        <f t="shared" si="46"/>
        <v>512</v>
      </c>
      <c r="R65" s="188"/>
      <c r="S65" s="216">
        <f t="shared" si="47"/>
        <v>0</v>
      </c>
      <c r="T65" s="224">
        <f t="shared" si="48"/>
        <v>0</v>
      </c>
      <c r="U65" s="118" t="s">
        <v>114</v>
      </c>
    </row>
    <row r="66" spans="1:21" s="2" customFormat="1" ht="12" customHeight="1">
      <c r="A66" s="19" t="str">
        <f>'Components and Space Standards'!A69</f>
        <v>Copy/file/work/break Room</v>
      </c>
      <c r="B66" s="313">
        <f>'Components and Space Standards'!B69</f>
        <v>7.4319999999999995</v>
      </c>
      <c r="C66" s="313">
        <f>'Components and Space Standards'!C69</f>
        <v>80</v>
      </c>
      <c r="D66" s="117" t="str">
        <f>'Components and Space Standards'!D69</f>
        <v>Workroom Module(s)</v>
      </c>
      <c r="E66" s="117" t="str">
        <f>'Components and Space Standards'!E69</f>
        <v>per room</v>
      </c>
      <c r="F66" s="188">
        <v>1</v>
      </c>
      <c r="G66" s="216">
        <f>$B66*F66</f>
        <v>7.4319999999999995</v>
      </c>
      <c r="H66" s="190">
        <f t="shared" si="40"/>
        <v>80</v>
      </c>
      <c r="I66" s="190">
        <v>1</v>
      </c>
      <c r="J66" s="190">
        <f t="shared" si="41"/>
        <v>7.4319999999999995</v>
      </c>
      <c r="K66" s="190">
        <f t="shared" si="42"/>
        <v>80</v>
      </c>
      <c r="L66" s="190">
        <v>2</v>
      </c>
      <c r="M66" s="190">
        <f t="shared" si="43"/>
        <v>14.863999999999999</v>
      </c>
      <c r="N66" s="190">
        <f t="shared" si="44"/>
        <v>160</v>
      </c>
      <c r="O66" s="190">
        <v>2</v>
      </c>
      <c r="P66" s="190">
        <f t="shared" si="45"/>
        <v>14.863999999999999</v>
      </c>
      <c r="Q66" s="190">
        <f t="shared" si="46"/>
        <v>160</v>
      </c>
      <c r="R66" s="188"/>
      <c r="S66" s="216">
        <f t="shared" si="47"/>
        <v>0</v>
      </c>
      <c r="T66" s="224">
        <f t="shared" si="48"/>
        <v>0</v>
      </c>
      <c r="U66" s="118" t="s">
        <v>112</v>
      </c>
    </row>
    <row r="67" spans="1:21" s="2" customFormat="1" ht="12" customHeight="1">
      <c r="A67" s="19" t="str">
        <f>'Components and Space Standards'!A70</f>
        <v>Classroom/Training Room</v>
      </c>
      <c r="B67" s="313">
        <f>'Components and Space Standards'!B70</f>
        <v>69.675</v>
      </c>
      <c r="C67" s="313">
        <f>'Components and Space Standards'!C70</f>
        <v>750</v>
      </c>
      <c r="D67" s="117" t="str">
        <f>'Components and Space Standards'!D70</f>
        <v>25-person Module at 750 SF</v>
      </c>
      <c r="E67" s="117" t="str">
        <f>'Components and Space Standards'!E70</f>
        <v>1,500 SF Med/Lge &amp; 2,250 SF for Xtra Lge/Jumbo</v>
      </c>
      <c r="F67" s="188">
        <v>1</v>
      </c>
      <c r="G67" s="189">
        <f>$B67*F67</f>
        <v>69.675</v>
      </c>
      <c r="H67" s="190">
        <f t="shared" si="40"/>
        <v>750</v>
      </c>
      <c r="I67" s="190">
        <v>1</v>
      </c>
      <c r="J67" s="190">
        <f t="shared" si="41"/>
        <v>69.675</v>
      </c>
      <c r="K67" s="190">
        <f t="shared" si="42"/>
        <v>750</v>
      </c>
      <c r="L67" s="190">
        <v>2</v>
      </c>
      <c r="M67" s="190">
        <f t="shared" si="43"/>
        <v>139.35</v>
      </c>
      <c r="N67" s="190">
        <f t="shared" si="44"/>
        <v>1500</v>
      </c>
      <c r="O67" s="190">
        <v>2</v>
      </c>
      <c r="P67" s="190">
        <f t="shared" si="45"/>
        <v>139.35</v>
      </c>
      <c r="Q67" s="190">
        <f t="shared" si="46"/>
        <v>1500</v>
      </c>
      <c r="R67" s="188">
        <v>3</v>
      </c>
      <c r="S67" s="189">
        <f t="shared" si="47"/>
        <v>209.02499999999998</v>
      </c>
      <c r="T67" s="224">
        <f t="shared" si="48"/>
        <v>2250</v>
      </c>
      <c r="U67" s="610" t="s">
        <v>113</v>
      </c>
    </row>
    <row r="68" spans="1:21" s="2" customFormat="1" ht="12" customHeight="1">
      <c r="A68" s="19" t="str">
        <f>'Components and Space Standards'!A71</f>
        <v>Classroom/Training Storage</v>
      </c>
      <c r="B68" s="313">
        <f>'Components and Space Standards'!B71</f>
        <v>5.574</v>
      </c>
      <c r="C68" s="313">
        <f>'Components and Space Standards'!C71</f>
        <v>60</v>
      </c>
      <c r="D68" s="117" t="str">
        <f>'Components and Space Standards'!D71</f>
        <v>Storage Module(s)</v>
      </c>
      <c r="E68" s="117" t="str">
        <f>'Components and Space Standards'!E71</f>
        <v>per 25-person Training Room</v>
      </c>
      <c r="F68" s="188">
        <v>1</v>
      </c>
      <c r="G68" s="189">
        <f>$B68*F68</f>
        <v>5.574</v>
      </c>
      <c r="H68" s="190">
        <f t="shared" si="40"/>
        <v>60</v>
      </c>
      <c r="I68" s="190">
        <v>1</v>
      </c>
      <c r="J68" s="190">
        <f t="shared" si="41"/>
        <v>5.574</v>
      </c>
      <c r="K68" s="190">
        <f t="shared" si="42"/>
        <v>60</v>
      </c>
      <c r="L68" s="190">
        <v>2</v>
      </c>
      <c r="M68" s="190">
        <f t="shared" si="43"/>
        <v>11.148</v>
      </c>
      <c r="N68" s="190">
        <f t="shared" si="44"/>
        <v>120</v>
      </c>
      <c r="O68" s="190">
        <v>2</v>
      </c>
      <c r="P68" s="190">
        <f t="shared" si="45"/>
        <v>11.148</v>
      </c>
      <c r="Q68" s="190">
        <f t="shared" si="46"/>
        <v>120</v>
      </c>
      <c r="R68" s="188">
        <v>3</v>
      </c>
      <c r="S68" s="189">
        <f t="shared" si="47"/>
        <v>16.722</v>
      </c>
      <c r="T68" s="224">
        <f t="shared" si="48"/>
        <v>180</v>
      </c>
      <c r="U68" s="611"/>
    </row>
    <row r="69" spans="1:21" s="2" customFormat="1" ht="15.75" customHeight="1">
      <c r="A69" s="617" t="str">
        <f>'Components and Space Standards'!A72</f>
        <v>Optional or Service-specific Program Spaces</v>
      </c>
      <c r="B69" s="618">
        <f>'Components and Space Standards'!B72</f>
        <v>0</v>
      </c>
      <c r="C69" s="618">
        <f>'Components and Space Standards'!C72</f>
        <v>0</v>
      </c>
      <c r="D69" s="618">
        <f>'Components and Space Standards'!D72</f>
        <v>0</v>
      </c>
      <c r="E69" s="618">
        <f>'Components and Space Standards'!E72</f>
        <v>0</v>
      </c>
      <c r="F69" s="214"/>
      <c r="G69" s="214"/>
      <c r="H69" s="214"/>
      <c r="I69" s="214"/>
      <c r="J69" s="214"/>
      <c r="K69" s="214"/>
      <c r="L69" s="214"/>
      <c r="M69" s="214"/>
      <c r="N69" s="214"/>
      <c r="O69" s="214"/>
      <c r="P69" s="214"/>
      <c r="Q69" s="214"/>
      <c r="R69" s="214"/>
      <c r="S69" s="214"/>
      <c r="T69" s="215"/>
      <c r="U69" s="108"/>
    </row>
    <row r="70" spans="1:21" s="331" customFormat="1" ht="12" customHeight="1">
      <c r="A70" s="184" t="str">
        <f>'Components and Space Standards'!A75</f>
        <v>Indoor Track</v>
      </c>
      <c r="B70" s="185"/>
      <c r="C70" s="197"/>
      <c r="D70" s="197"/>
      <c r="E70" s="199"/>
      <c r="F70" s="200"/>
      <c r="G70" s="204"/>
      <c r="H70" s="205"/>
      <c r="I70" s="205"/>
      <c r="J70" s="205"/>
      <c r="K70" s="205"/>
      <c r="L70" s="205"/>
      <c r="M70" s="205"/>
      <c r="N70" s="205"/>
      <c r="O70" s="205"/>
      <c r="P70" s="205"/>
      <c r="Q70" s="205"/>
      <c r="R70" s="200"/>
      <c r="S70" s="204"/>
      <c r="T70" s="329"/>
      <c r="U70" s="330"/>
    </row>
    <row r="71" spans="1:21" s="456" customFormat="1" ht="12" customHeight="1">
      <c r="A71" s="454" t="str">
        <f>'Components and Space Standards'!A76</f>
        <v>Indoor Track</v>
      </c>
      <c r="B71" s="457"/>
      <c r="C71" s="104"/>
      <c r="D71" s="104"/>
      <c r="E71" s="458"/>
      <c r="F71" s="194"/>
      <c r="G71" s="206"/>
      <c r="H71" s="207"/>
      <c r="I71" s="207"/>
      <c r="J71" s="207"/>
      <c r="K71" s="207"/>
      <c r="L71" s="207"/>
      <c r="M71" s="207"/>
      <c r="N71" s="207"/>
      <c r="O71" s="207"/>
      <c r="P71" s="207"/>
      <c r="Q71" s="207"/>
      <c r="R71" s="194"/>
      <c r="S71" s="206"/>
      <c r="T71" s="459"/>
      <c r="U71" s="455"/>
    </row>
    <row r="72" spans="1:22" s="2" customFormat="1" ht="12" customHeight="1">
      <c r="A72" s="293" t="str">
        <f>'Components and Space Standards'!A77</f>
        <v>1/14th-mile Indoor Track</v>
      </c>
      <c r="B72" s="313">
        <f>'Components and Space Standards'!B77</f>
        <v>310.0073</v>
      </c>
      <c r="C72" s="313">
        <f>'Components and Space Standards'!C77</f>
        <v>3337</v>
      </c>
      <c r="D72" s="117" t="str">
        <f>'Components and Space Standards'!D77</f>
        <v>1/14th-mile, 2-lane Indoor Track </v>
      </c>
      <c r="E72" s="117" t="str">
        <f>'Components and Space Standards'!E77</f>
        <v>1/14th-mile, 2-lane Indoor Track (754 linear ft.)</v>
      </c>
      <c r="F72" s="188"/>
      <c r="G72" s="216">
        <f aca="true" t="shared" si="49" ref="G72:G88">$B72*F72</f>
        <v>0</v>
      </c>
      <c r="H72" s="190">
        <f aca="true" t="shared" si="50" ref="H72:H88">F72*$C72</f>
        <v>0</v>
      </c>
      <c r="I72" s="190"/>
      <c r="J72" s="190">
        <f aca="true" t="shared" si="51" ref="J72:J88">$B72*I72</f>
        <v>0</v>
      </c>
      <c r="K72" s="190">
        <f aca="true" t="shared" si="52" ref="K72:K88">I72*$C72</f>
        <v>0</v>
      </c>
      <c r="L72" s="190"/>
      <c r="M72" s="190">
        <f aca="true" t="shared" si="53" ref="M72:M86">$B72*L72</f>
        <v>0</v>
      </c>
      <c r="N72" s="190">
        <f aca="true" t="shared" si="54" ref="N72:N88">L72*$C72</f>
        <v>0</v>
      </c>
      <c r="O72" s="190"/>
      <c r="P72" s="190">
        <f aca="true" t="shared" si="55" ref="P72:P88">$B72*O72</f>
        <v>0</v>
      </c>
      <c r="Q72" s="190">
        <f aca="true" t="shared" si="56" ref="Q72:Q88">O72*$C72</f>
        <v>0</v>
      </c>
      <c r="R72" s="188"/>
      <c r="S72" s="216">
        <f aca="true" t="shared" si="57" ref="S72:S88">$B72*R72</f>
        <v>0</v>
      </c>
      <c r="T72" s="224">
        <f aca="true" t="shared" si="58" ref="T72:T88">R72*$C72</f>
        <v>0</v>
      </c>
      <c r="U72" s="108" t="s">
        <v>194</v>
      </c>
      <c r="V72" s="4"/>
    </row>
    <row r="73" spans="1:22" s="2" customFormat="1" ht="12" customHeight="1">
      <c r="A73" s="293" t="str">
        <f>'Components and Space Standards'!A78</f>
        <v>1/12th-mile Indoor Track</v>
      </c>
      <c r="B73" s="313">
        <f>'Components and Space Standards'!B78</f>
        <v>523.0269999999999</v>
      </c>
      <c r="C73" s="313">
        <f>'Components and Space Standards'!C78</f>
        <v>5630</v>
      </c>
      <c r="D73" s="117" t="str">
        <f>'Components and Space Standards'!D78</f>
        <v>1/12th-mile, 3-lane Indoor Track</v>
      </c>
      <c r="E73" s="117" t="str">
        <f>'Components and Space Standards'!E78</f>
        <v>1/12th-mile, 3-lane Indoor Track (1284 linear ft.)</v>
      </c>
      <c r="F73" s="188"/>
      <c r="G73" s="216"/>
      <c r="H73" s="190"/>
      <c r="I73" s="190"/>
      <c r="J73" s="190"/>
      <c r="K73" s="190"/>
      <c r="L73" s="190"/>
      <c r="M73" s="190"/>
      <c r="N73" s="190"/>
      <c r="O73" s="190"/>
      <c r="P73" s="190"/>
      <c r="Q73" s="190"/>
      <c r="R73" s="188"/>
      <c r="S73" s="216"/>
      <c r="T73" s="224"/>
      <c r="U73" s="108"/>
      <c r="V73" s="4"/>
    </row>
    <row r="74" spans="1:22" s="2" customFormat="1" ht="12" customHeight="1">
      <c r="A74" s="293" t="str">
        <f>'Components and Space Standards'!A79</f>
        <v>1/11th-mile Indoor Track</v>
      </c>
      <c r="B74" s="313">
        <f>'Components and Space Standards'!B79</f>
        <v>556.7497</v>
      </c>
      <c r="C74" s="313">
        <f>'Components and Space Standards'!C79</f>
        <v>5993</v>
      </c>
      <c r="D74" s="117" t="str">
        <f>'Components and Space Standards'!D79</f>
        <v>1/11th-mile, 3-lane Indoor Track </v>
      </c>
      <c r="E74" s="117" t="str">
        <f>'Components and Space Standards'!E79</f>
        <v>1/11th-mile, 3-lane Indoor Track (1440 linear ft.)</v>
      </c>
      <c r="F74" s="188"/>
      <c r="G74" s="216">
        <f t="shared" si="49"/>
        <v>0</v>
      </c>
      <c r="H74" s="190">
        <f t="shared" si="50"/>
        <v>0</v>
      </c>
      <c r="I74" s="190"/>
      <c r="J74" s="190">
        <f t="shared" si="51"/>
        <v>0</v>
      </c>
      <c r="K74" s="190">
        <f t="shared" si="52"/>
        <v>0</v>
      </c>
      <c r="L74" s="190"/>
      <c r="M74" s="190">
        <f t="shared" si="53"/>
        <v>0</v>
      </c>
      <c r="N74" s="190">
        <f t="shared" si="54"/>
        <v>0</v>
      </c>
      <c r="O74" s="190"/>
      <c r="P74" s="190">
        <f t="shared" si="55"/>
        <v>0</v>
      </c>
      <c r="Q74" s="190">
        <f t="shared" si="56"/>
        <v>0</v>
      </c>
      <c r="R74" s="188"/>
      <c r="S74" s="216">
        <f t="shared" si="57"/>
        <v>0</v>
      </c>
      <c r="T74" s="224">
        <f t="shared" si="58"/>
        <v>0</v>
      </c>
      <c r="U74" s="108"/>
      <c r="V74" s="4"/>
    </row>
    <row r="75" spans="1:22" s="2" customFormat="1" ht="12" customHeight="1">
      <c r="A75" s="293" t="str">
        <f>'Components and Space Standards'!A80</f>
        <v>1/8th-mile Indoor Track</v>
      </c>
      <c r="B75" s="313">
        <f>'Components and Space Standards'!B80</f>
        <v>989.1062999999999</v>
      </c>
      <c r="C75" s="313">
        <f>'Components and Space Standards'!C80</f>
        <v>10647</v>
      </c>
      <c r="D75" s="117" t="str">
        <f>'Components and Space Standards'!D80</f>
        <v>1/8th-mile, 4-lane Indoor Track </v>
      </c>
      <c r="E75" s="117" t="str">
        <f>'Components and Space Standards'!E80</f>
        <v>1/8th-mile, 4-lane Indoor Track (2640 linear ft.)</v>
      </c>
      <c r="F75" s="188"/>
      <c r="G75" s="216">
        <f t="shared" si="49"/>
        <v>0</v>
      </c>
      <c r="H75" s="190">
        <f t="shared" si="50"/>
        <v>0</v>
      </c>
      <c r="I75" s="190"/>
      <c r="J75" s="190">
        <f t="shared" si="51"/>
        <v>0</v>
      </c>
      <c r="K75" s="190">
        <f t="shared" si="52"/>
        <v>0</v>
      </c>
      <c r="L75" s="190"/>
      <c r="M75" s="190">
        <f t="shared" si="53"/>
        <v>0</v>
      </c>
      <c r="N75" s="190">
        <f t="shared" si="54"/>
        <v>0</v>
      </c>
      <c r="O75" s="190"/>
      <c r="P75" s="190">
        <f t="shared" si="55"/>
        <v>0</v>
      </c>
      <c r="Q75" s="190">
        <f t="shared" si="56"/>
        <v>0</v>
      </c>
      <c r="R75" s="188"/>
      <c r="S75" s="216">
        <f t="shared" si="57"/>
        <v>0</v>
      </c>
      <c r="T75" s="224">
        <f t="shared" si="58"/>
        <v>0</v>
      </c>
      <c r="U75" s="108"/>
      <c r="V75" s="4"/>
    </row>
    <row r="76" spans="1:22" s="2" customFormat="1" ht="12" customHeight="1">
      <c r="A76" s="23" t="str">
        <f>'Components and Space Standards'!A81</f>
        <v>Indoor track lobby</v>
      </c>
      <c r="B76" s="313">
        <f>'Components and Space Standards'!B81</f>
        <v>13.3776</v>
      </c>
      <c r="C76" s="313">
        <f>'Components and Space Standards'!C81</f>
        <v>144</v>
      </c>
      <c r="D76" s="117" t="str">
        <f>'Components and Space Standards'!D81</f>
        <v>Indoor track lobby(ies)</v>
      </c>
      <c r="E76" s="117" t="str">
        <f>'Components and Space Standards'!E81</f>
        <v>Access point to lobby from stair/elevator</v>
      </c>
      <c r="F76" s="188">
        <v>1</v>
      </c>
      <c r="G76" s="216">
        <f t="shared" si="49"/>
        <v>13.3776</v>
      </c>
      <c r="H76" s="190">
        <f t="shared" si="50"/>
        <v>144</v>
      </c>
      <c r="I76" s="190">
        <v>1.5</v>
      </c>
      <c r="J76" s="190">
        <f t="shared" si="51"/>
        <v>20.066399999999998</v>
      </c>
      <c r="K76" s="190">
        <f t="shared" si="52"/>
        <v>216</v>
      </c>
      <c r="L76" s="190">
        <v>1.5</v>
      </c>
      <c r="M76" s="190">
        <f t="shared" si="53"/>
        <v>20.066399999999998</v>
      </c>
      <c r="N76" s="190">
        <f t="shared" si="54"/>
        <v>216</v>
      </c>
      <c r="O76" s="190">
        <v>1.5</v>
      </c>
      <c r="P76" s="190">
        <f t="shared" si="55"/>
        <v>20.066399999999998</v>
      </c>
      <c r="Q76" s="190">
        <f t="shared" si="56"/>
        <v>216</v>
      </c>
      <c r="R76" s="188">
        <v>1.5</v>
      </c>
      <c r="S76" s="216">
        <f t="shared" si="57"/>
        <v>20.066399999999998</v>
      </c>
      <c r="T76" s="224">
        <f t="shared" si="58"/>
        <v>216</v>
      </c>
      <c r="U76" s="108"/>
      <c r="V76" s="4"/>
    </row>
    <row r="77" spans="1:22" s="2" customFormat="1" ht="12" customHeight="1">
      <c r="A77" s="19" t="str">
        <f>'Components and Space Standards'!A82</f>
        <v>Additional Group Exercise Room</v>
      </c>
      <c r="B77" s="313">
        <f>'Components and Space Standards'!B82</f>
        <v>116.125</v>
      </c>
      <c r="C77" s="313">
        <f>'Components and Space Standards'!C82</f>
        <v>1250</v>
      </c>
      <c r="D77" s="117" t="str">
        <f>'Components and Space Standards'!D82</f>
        <v>Additional Group Exercise Room</v>
      </c>
      <c r="E77" s="117" t="str">
        <f>'Components and Space Standards'!E82</f>
        <v>per room</v>
      </c>
      <c r="F77" s="188"/>
      <c r="G77" s="189">
        <f t="shared" si="49"/>
        <v>0</v>
      </c>
      <c r="H77" s="190">
        <f t="shared" si="50"/>
        <v>0</v>
      </c>
      <c r="I77" s="190"/>
      <c r="J77" s="190">
        <f t="shared" si="51"/>
        <v>0</v>
      </c>
      <c r="K77" s="190">
        <f t="shared" si="52"/>
        <v>0</v>
      </c>
      <c r="L77" s="190"/>
      <c r="M77" s="190">
        <f t="shared" si="53"/>
        <v>0</v>
      </c>
      <c r="N77" s="190">
        <f t="shared" si="54"/>
        <v>0</v>
      </c>
      <c r="O77" s="190"/>
      <c r="P77" s="190">
        <f t="shared" si="55"/>
        <v>0</v>
      </c>
      <c r="Q77" s="190">
        <f t="shared" si="56"/>
        <v>0</v>
      </c>
      <c r="R77" s="188"/>
      <c r="S77" s="216">
        <f t="shared" si="57"/>
        <v>0</v>
      </c>
      <c r="T77" s="224">
        <f t="shared" si="58"/>
        <v>0</v>
      </c>
      <c r="U77" s="108" t="s">
        <v>76</v>
      </c>
      <c r="V77" s="4"/>
    </row>
    <row r="78" spans="1:22" s="2" customFormat="1" ht="12" customHeight="1">
      <c r="A78" s="19" t="str">
        <f>'Components and Space Standards'!A83</f>
        <v>Massage Room</v>
      </c>
      <c r="B78" s="313">
        <f>'Components and Space Standards'!B83</f>
        <v>11.148</v>
      </c>
      <c r="C78" s="313">
        <f>'Components and Space Standards'!C83</f>
        <v>120</v>
      </c>
      <c r="D78" s="117" t="str">
        <f>'Components and Space Standards'!D83</f>
        <v>Massage Room(s)</v>
      </c>
      <c r="E78" s="117" t="str">
        <f>'Components and Space Standards'!E83</f>
        <v>per room</v>
      </c>
      <c r="F78" s="188"/>
      <c r="G78" s="189">
        <f t="shared" si="49"/>
        <v>0</v>
      </c>
      <c r="H78" s="190">
        <f t="shared" si="50"/>
        <v>0</v>
      </c>
      <c r="I78" s="190"/>
      <c r="J78" s="190">
        <f t="shared" si="51"/>
        <v>0</v>
      </c>
      <c r="K78" s="190">
        <f t="shared" si="52"/>
        <v>0</v>
      </c>
      <c r="L78" s="190"/>
      <c r="M78" s="190">
        <f t="shared" si="53"/>
        <v>0</v>
      </c>
      <c r="N78" s="190">
        <f t="shared" si="54"/>
        <v>0</v>
      </c>
      <c r="O78" s="190"/>
      <c r="P78" s="190">
        <f t="shared" si="55"/>
        <v>0</v>
      </c>
      <c r="Q78" s="190">
        <f t="shared" si="56"/>
        <v>0</v>
      </c>
      <c r="R78" s="188"/>
      <c r="S78" s="189">
        <f t="shared" si="57"/>
        <v>0</v>
      </c>
      <c r="T78" s="224">
        <f t="shared" si="58"/>
        <v>0</v>
      </c>
      <c r="U78" s="108"/>
      <c r="V78" s="4"/>
    </row>
    <row r="79" spans="1:22" s="2" customFormat="1" ht="12" customHeight="1">
      <c r="A79" s="19" t="str">
        <f>'Components and Space Standards'!A84</f>
        <v>Physical Therapy Training</v>
      </c>
      <c r="B79" s="313">
        <f>'Components and Space Standards'!B84</f>
        <v>11.612499999999999</v>
      </c>
      <c r="C79" s="313">
        <f>'Components and Space Standards'!C84</f>
        <v>125</v>
      </c>
      <c r="D79" s="117" t="str">
        <f>'Components and Space Standards'!D84</f>
        <v>Physical Therapy Training Room(s)</v>
      </c>
      <c r="E79" s="117" t="str">
        <f>'Components and Space Standards'!E84</f>
        <v>per room</v>
      </c>
      <c r="F79" s="188"/>
      <c r="G79" s="189">
        <f t="shared" si="49"/>
        <v>0</v>
      </c>
      <c r="H79" s="190">
        <f t="shared" si="50"/>
        <v>0</v>
      </c>
      <c r="I79" s="190"/>
      <c r="J79" s="190">
        <f t="shared" si="51"/>
        <v>0</v>
      </c>
      <c r="K79" s="190">
        <f t="shared" si="52"/>
        <v>0</v>
      </c>
      <c r="L79" s="190"/>
      <c r="M79" s="190">
        <f t="shared" si="53"/>
        <v>0</v>
      </c>
      <c r="N79" s="190">
        <f t="shared" si="54"/>
        <v>0</v>
      </c>
      <c r="O79" s="190"/>
      <c r="P79" s="190">
        <f t="shared" si="55"/>
        <v>0</v>
      </c>
      <c r="Q79" s="190">
        <f t="shared" si="56"/>
        <v>0</v>
      </c>
      <c r="R79" s="188"/>
      <c r="S79" s="189">
        <f t="shared" si="57"/>
        <v>0</v>
      </c>
      <c r="T79" s="224">
        <f t="shared" si="58"/>
        <v>0</v>
      </c>
      <c r="U79" s="108" t="s">
        <v>78</v>
      </c>
      <c r="V79" s="4"/>
    </row>
    <row r="80" spans="1:22" s="2" customFormat="1" ht="12" customHeight="1">
      <c r="A80" s="19" t="str">
        <f>'Components and Space Standards'!A85</f>
        <v>Expanded Retail 1</v>
      </c>
      <c r="B80" s="313">
        <f>'Components and Space Standards'!B85</f>
        <v>9.29</v>
      </c>
      <c r="C80" s="313">
        <f>'Components and Space Standards'!C85</f>
        <v>100</v>
      </c>
      <c r="D80" s="117" t="str">
        <f>'Components and Space Standards'!D85</f>
        <v>Expanded Retail Module(s)</v>
      </c>
      <c r="E80" s="117" t="str">
        <f>'Components and Space Standards'!E85</f>
        <v>per area</v>
      </c>
      <c r="F80" s="188"/>
      <c r="G80" s="189">
        <f t="shared" si="49"/>
        <v>0</v>
      </c>
      <c r="H80" s="190">
        <f t="shared" si="50"/>
        <v>0</v>
      </c>
      <c r="I80" s="190"/>
      <c r="J80" s="190">
        <f t="shared" si="51"/>
        <v>0</v>
      </c>
      <c r="K80" s="190">
        <f t="shared" si="52"/>
        <v>0</v>
      </c>
      <c r="L80" s="190"/>
      <c r="M80" s="190">
        <f t="shared" si="53"/>
        <v>0</v>
      </c>
      <c r="N80" s="190">
        <f t="shared" si="54"/>
        <v>0</v>
      </c>
      <c r="O80" s="190"/>
      <c r="P80" s="190">
        <f t="shared" si="55"/>
        <v>0</v>
      </c>
      <c r="Q80" s="190">
        <f t="shared" si="56"/>
        <v>0</v>
      </c>
      <c r="R80" s="188"/>
      <c r="S80" s="189">
        <f t="shared" si="57"/>
        <v>0</v>
      </c>
      <c r="T80" s="224">
        <f t="shared" si="58"/>
        <v>0</v>
      </c>
      <c r="U80" s="118" t="s">
        <v>123</v>
      </c>
      <c r="V80" s="4"/>
    </row>
    <row r="81" spans="1:22" s="2" customFormat="1" ht="12" customHeight="1">
      <c r="A81" s="19" t="str">
        <f>'Components and Space Standards'!A86</f>
        <v>Expanded Juice Bar 1</v>
      </c>
      <c r="B81" s="313">
        <f>'Components and Space Standards'!B86</f>
        <v>13.934999999999999</v>
      </c>
      <c r="C81" s="313">
        <f>'Components and Space Standards'!C86</f>
        <v>150</v>
      </c>
      <c r="D81" s="117" t="str">
        <f>'Components and Space Standards'!D86</f>
        <v>Expanded Juice Bar Module(s)</v>
      </c>
      <c r="E81" s="117" t="str">
        <f>'Components and Space Standards'!E86</f>
        <v>per area</v>
      </c>
      <c r="F81" s="188"/>
      <c r="G81" s="189">
        <f t="shared" si="49"/>
        <v>0</v>
      </c>
      <c r="H81" s="190">
        <f t="shared" si="50"/>
        <v>0</v>
      </c>
      <c r="I81" s="190"/>
      <c r="J81" s="190">
        <f t="shared" si="51"/>
        <v>0</v>
      </c>
      <c r="K81" s="190">
        <f t="shared" si="52"/>
        <v>0</v>
      </c>
      <c r="L81" s="190"/>
      <c r="M81" s="190">
        <f t="shared" si="53"/>
        <v>0</v>
      </c>
      <c r="N81" s="190">
        <f t="shared" si="54"/>
        <v>0</v>
      </c>
      <c r="O81" s="190"/>
      <c r="P81" s="190">
        <f t="shared" si="55"/>
        <v>0</v>
      </c>
      <c r="Q81" s="190">
        <f t="shared" si="56"/>
        <v>0</v>
      </c>
      <c r="R81" s="188"/>
      <c r="S81" s="189">
        <f t="shared" si="57"/>
        <v>0</v>
      </c>
      <c r="T81" s="224">
        <f t="shared" si="58"/>
        <v>0</v>
      </c>
      <c r="U81" s="118" t="s">
        <v>124</v>
      </c>
      <c r="V81" s="4"/>
    </row>
    <row r="82" spans="1:22" s="2" customFormat="1" ht="12" customHeight="1">
      <c r="A82" s="19" t="str">
        <f>'Components and Space Standards'!A87</f>
        <v>Expanded Juice Bar Seating</v>
      </c>
      <c r="B82" s="313">
        <f>'Components and Space Standards'!B87</f>
        <v>13.934999999999999</v>
      </c>
      <c r="C82" s="313">
        <f>'Components and Space Standards'!C87</f>
        <v>150</v>
      </c>
      <c r="D82" s="117" t="str">
        <f>'Components and Space Standards'!D87</f>
        <v>Two-table seating Module(s)</v>
      </c>
      <c r="E82" s="117" t="str">
        <f>'Components and Space Standards'!E87</f>
        <v>Two 4-top tables and seating area</v>
      </c>
      <c r="F82" s="188"/>
      <c r="G82" s="189">
        <f t="shared" si="49"/>
        <v>0</v>
      </c>
      <c r="H82" s="190">
        <f t="shared" si="50"/>
        <v>0</v>
      </c>
      <c r="I82" s="190"/>
      <c r="J82" s="190">
        <f t="shared" si="51"/>
        <v>0</v>
      </c>
      <c r="K82" s="190">
        <f t="shared" si="52"/>
        <v>0</v>
      </c>
      <c r="L82" s="190"/>
      <c r="M82" s="190">
        <f t="shared" si="53"/>
        <v>0</v>
      </c>
      <c r="N82" s="190">
        <f t="shared" si="54"/>
        <v>0</v>
      </c>
      <c r="O82" s="190"/>
      <c r="P82" s="190">
        <f t="shared" si="55"/>
        <v>0</v>
      </c>
      <c r="Q82" s="190">
        <f t="shared" si="56"/>
        <v>0</v>
      </c>
      <c r="R82" s="188"/>
      <c r="S82" s="189">
        <f t="shared" si="57"/>
        <v>0</v>
      </c>
      <c r="T82" s="224">
        <f t="shared" si="58"/>
        <v>0</v>
      </c>
      <c r="U82" s="118"/>
      <c r="V82" s="4"/>
    </row>
    <row r="83" spans="1:22" s="2" customFormat="1" ht="12" customHeight="1">
      <c r="A83" s="19" t="str">
        <f>'Components and Space Standards'!A88</f>
        <v>Family Changing Room</v>
      </c>
      <c r="B83" s="313">
        <f>'Components and Space Standards'!B88</f>
        <v>10.219</v>
      </c>
      <c r="C83" s="313">
        <f>'Components and Space Standards'!C88</f>
        <v>110</v>
      </c>
      <c r="D83" s="117" t="str">
        <f>'Components and Space Standards'!D88</f>
        <v>Family Changing Room(s)</v>
      </c>
      <c r="E83" s="117" t="str">
        <f>'Components and Space Standards'!E88</f>
        <v>per shower, wc, lav, changing, and locker</v>
      </c>
      <c r="F83" s="188">
        <v>1</v>
      </c>
      <c r="G83" s="189">
        <f t="shared" si="49"/>
        <v>10.219</v>
      </c>
      <c r="H83" s="190">
        <f t="shared" si="50"/>
        <v>110</v>
      </c>
      <c r="I83" s="190">
        <v>2</v>
      </c>
      <c r="J83" s="190">
        <f t="shared" si="51"/>
        <v>20.438</v>
      </c>
      <c r="K83" s="190">
        <f t="shared" si="52"/>
        <v>220</v>
      </c>
      <c r="L83" s="190">
        <v>3</v>
      </c>
      <c r="M83" s="190">
        <f t="shared" si="53"/>
        <v>30.656999999999996</v>
      </c>
      <c r="N83" s="190">
        <f t="shared" si="54"/>
        <v>330</v>
      </c>
      <c r="O83" s="190">
        <v>4</v>
      </c>
      <c r="P83" s="190">
        <f t="shared" si="55"/>
        <v>40.876</v>
      </c>
      <c r="Q83" s="190">
        <f t="shared" si="56"/>
        <v>440</v>
      </c>
      <c r="R83" s="188">
        <v>5</v>
      </c>
      <c r="S83" s="189">
        <f t="shared" si="57"/>
        <v>51.095</v>
      </c>
      <c r="T83" s="224">
        <f t="shared" si="58"/>
        <v>550</v>
      </c>
      <c r="U83" s="108" t="s">
        <v>197</v>
      </c>
      <c r="V83" s="4"/>
    </row>
    <row r="84" spans="1:22" s="2" customFormat="1" ht="12" customHeight="1">
      <c r="A84" s="19" t="str">
        <f>'Components and Space Standards'!A89</f>
        <v>Convertible Locker Space</v>
      </c>
      <c r="B84" s="313">
        <f>'Components and Space Standards'!B89</f>
        <v>69.675</v>
      </c>
      <c r="C84" s="313">
        <f>'Components and Space Standards'!C89</f>
        <v>750</v>
      </c>
      <c r="D84" s="117" t="str">
        <f>'Components and Space Standards'!D89</f>
        <v>Add'l male or female space</v>
      </c>
      <c r="E84" s="117" t="str">
        <f>'Components and Space Standards'!E89</f>
        <v>750 sf</v>
      </c>
      <c r="F84" s="188">
        <v>0</v>
      </c>
      <c r="G84" s="189">
        <f t="shared" si="49"/>
        <v>0</v>
      </c>
      <c r="H84" s="190">
        <f t="shared" si="50"/>
        <v>0</v>
      </c>
      <c r="I84" s="190">
        <v>0</v>
      </c>
      <c r="J84" s="190">
        <f t="shared" si="51"/>
        <v>0</v>
      </c>
      <c r="K84" s="190">
        <f t="shared" si="52"/>
        <v>0</v>
      </c>
      <c r="L84" s="190">
        <v>0</v>
      </c>
      <c r="M84" s="190">
        <f t="shared" si="53"/>
        <v>0</v>
      </c>
      <c r="N84" s="190">
        <f t="shared" si="54"/>
        <v>0</v>
      </c>
      <c r="O84" s="190">
        <v>1</v>
      </c>
      <c r="P84" s="190">
        <f t="shared" si="55"/>
        <v>69.675</v>
      </c>
      <c r="Q84" s="190">
        <f t="shared" si="56"/>
        <v>750</v>
      </c>
      <c r="R84" s="188">
        <v>1</v>
      </c>
      <c r="S84" s="189">
        <f t="shared" si="57"/>
        <v>69.675</v>
      </c>
      <c r="T84" s="224">
        <f t="shared" si="58"/>
        <v>750</v>
      </c>
      <c r="U84" s="633" t="s">
        <v>79</v>
      </c>
      <c r="V84" s="4"/>
    </row>
    <row r="85" spans="1:22" s="2" customFormat="1" ht="12" customHeight="1">
      <c r="A85" s="19" t="str">
        <f>'Components and Space Standards'!A90</f>
        <v>Female DV Locker Room *</v>
      </c>
      <c r="B85" s="313">
        <f>'Components and Space Standards'!B90</f>
        <v>23.224999999999998</v>
      </c>
      <c r="C85" s="313">
        <f>'Components and Space Standards'!C90</f>
        <v>250</v>
      </c>
      <c r="D85" s="117" t="str">
        <f>'Components and Space Standards'!D90</f>
        <v>Female DV Locker Room</v>
      </c>
      <c r="E85" s="117" t="str">
        <f>'Components and Space Standards'!E90</f>
        <v>250, 500, 750</v>
      </c>
      <c r="F85" s="188"/>
      <c r="G85" s="189">
        <f t="shared" si="49"/>
        <v>0</v>
      </c>
      <c r="H85" s="190">
        <f t="shared" si="50"/>
        <v>0</v>
      </c>
      <c r="I85" s="190"/>
      <c r="J85" s="190">
        <f t="shared" si="51"/>
        <v>0</v>
      </c>
      <c r="K85" s="190">
        <f t="shared" si="52"/>
        <v>0</v>
      </c>
      <c r="L85" s="190"/>
      <c r="M85" s="190">
        <f t="shared" si="53"/>
        <v>0</v>
      </c>
      <c r="N85" s="190">
        <f t="shared" si="54"/>
        <v>0</v>
      </c>
      <c r="O85" s="190"/>
      <c r="P85" s="190">
        <f t="shared" si="55"/>
        <v>0</v>
      </c>
      <c r="Q85" s="190">
        <f t="shared" si="56"/>
        <v>0</v>
      </c>
      <c r="R85" s="188"/>
      <c r="S85" s="189">
        <f t="shared" si="57"/>
        <v>0</v>
      </c>
      <c r="T85" s="224">
        <f t="shared" si="58"/>
        <v>0</v>
      </c>
      <c r="U85" s="634"/>
      <c r="V85" s="4"/>
    </row>
    <row r="86" spans="1:22" s="2" customFormat="1" ht="12" customHeight="1">
      <c r="A86" s="19" t="str">
        <f>'Components and Space Standards'!A91</f>
        <v>Child Play Area/Parent Child Area *</v>
      </c>
      <c r="B86" s="313">
        <f>'Components and Space Standards'!B91</f>
        <v>74.32</v>
      </c>
      <c r="C86" s="313">
        <f>'Components and Space Standards'!C91</f>
        <v>800</v>
      </c>
      <c r="D86" s="117" t="str">
        <f>'Components and Space Standards'!D91</f>
        <v>Parent/child Module(s)</v>
      </c>
      <c r="E86" s="117" t="str">
        <f>'Components and Space Standards'!E91</f>
        <v>400 sf play area (at 35 sf/child), 400 sf equip (50 sf/equip)</v>
      </c>
      <c r="F86" s="188">
        <v>0.5</v>
      </c>
      <c r="G86" s="189">
        <f t="shared" si="49"/>
        <v>37.16</v>
      </c>
      <c r="H86" s="190">
        <f t="shared" si="50"/>
        <v>400</v>
      </c>
      <c r="I86" s="190">
        <v>0.5</v>
      </c>
      <c r="J86" s="190">
        <f t="shared" si="51"/>
        <v>37.16</v>
      </c>
      <c r="K86" s="190">
        <f t="shared" si="52"/>
        <v>400</v>
      </c>
      <c r="L86" s="190">
        <v>0.5</v>
      </c>
      <c r="M86" s="190">
        <f t="shared" si="53"/>
        <v>37.16</v>
      </c>
      <c r="N86" s="190">
        <f t="shared" si="54"/>
        <v>400</v>
      </c>
      <c r="O86" s="190">
        <v>0.5</v>
      </c>
      <c r="P86" s="190">
        <f t="shared" si="55"/>
        <v>37.16</v>
      </c>
      <c r="Q86" s="190">
        <f t="shared" si="56"/>
        <v>400</v>
      </c>
      <c r="R86" s="188"/>
      <c r="S86" s="189">
        <f t="shared" si="57"/>
        <v>0</v>
      </c>
      <c r="T86" s="224">
        <f t="shared" si="58"/>
        <v>0</v>
      </c>
      <c r="U86" s="108"/>
      <c r="V86" s="4"/>
    </row>
    <row r="87" spans="1:22" s="2" customFormat="1" ht="12" customHeight="1">
      <c r="A87" s="19" t="str">
        <f>'Components and Space Standards'!A92</f>
        <v>HAWC Demonstration Kitchen</v>
      </c>
      <c r="B87" s="313">
        <f>'Components and Space Standards'!B92</f>
        <v>46.449999999999996</v>
      </c>
      <c r="C87" s="313">
        <f>'Components and Space Standards'!C92</f>
        <v>500</v>
      </c>
      <c r="D87" s="117" t="str">
        <f>'Components and Space Standards'!D92</f>
        <v>Kitchen Module(s)</v>
      </c>
      <c r="E87" s="117" t="str">
        <f>'Components and Space Standards'!E92</f>
        <v>per kitchen</v>
      </c>
      <c r="F87" s="188"/>
      <c r="G87" s="189">
        <f t="shared" si="49"/>
        <v>0</v>
      </c>
      <c r="H87" s="190">
        <f t="shared" si="50"/>
        <v>0</v>
      </c>
      <c r="I87" s="190"/>
      <c r="J87" s="190">
        <f t="shared" si="51"/>
        <v>0</v>
      </c>
      <c r="K87" s="190">
        <f t="shared" si="52"/>
        <v>0</v>
      </c>
      <c r="L87" s="190"/>
      <c r="M87" s="190">
        <v>1</v>
      </c>
      <c r="N87" s="190">
        <f t="shared" si="54"/>
        <v>0</v>
      </c>
      <c r="O87" s="190">
        <v>1</v>
      </c>
      <c r="P87" s="190">
        <f t="shared" si="55"/>
        <v>46.449999999999996</v>
      </c>
      <c r="Q87" s="190">
        <f t="shared" si="56"/>
        <v>500</v>
      </c>
      <c r="R87" s="188"/>
      <c r="S87" s="189">
        <f t="shared" si="57"/>
        <v>0</v>
      </c>
      <c r="T87" s="224">
        <f t="shared" si="58"/>
        <v>0</v>
      </c>
      <c r="U87" s="108" t="s">
        <v>56</v>
      </c>
      <c r="V87" s="4"/>
    </row>
    <row r="88" spans="1:22" s="2" customFormat="1" ht="12" customHeight="1">
      <c r="A88" s="354" t="str">
        <f>'Components and Space Standards'!A93</f>
        <v>HAWC Relaxation Room *</v>
      </c>
      <c r="B88" s="358">
        <f>'Components and Space Standards'!B93</f>
        <v>9.29</v>
      </c>
      <c r="C88" s="358">
        <f>'Components and Space Standards'!C93</f>
        <v>100</v>
      </c>
      <c r="D88" s="359" t="str">
        <f>'Components and Space Standards'!D93</f>
        <v>Relaxation Room(s)</v>
      </c>
      <c r="E88" s="359" t="str">
        <f>'Components and Space Standards'!E93</f>
        <v>per room</v>
      </c>
      <c r="F88" s="360"/>
      <c r="G88" s="361">
        <f t="shared" si="49"/>
        <v>0</v>
      </c>
      <c r="H88" s="362">
        <f t="shared" si="50"/>
        <v>0</v>
      </c>
      <c r="I88" s="362"/>
      <c r="J88" s="362">
        <f t="shared" si="51"/>
        <v>0</v>
      </c>
      <c r="K88" s="362">
        <f t="shared" si="52"/>
        <v>0</v>
      </c>
      <c r="L88" s="362"/>
      <c r="M88" s="362">
        <f>$B88*L88</f>
        <v>0</v>
      </c>
      <c r="N88" s="362">
        <f t="shared" si="54"/>
        <v>0</v>
      </c>
      <c r="O88" s="362"/>
      <c r="P88" s="362">
        <f t="shared" si="55"/>
        <v>0</v>
      </c>
      <c r="Q88" s="362">
        <f t="shared" si="56"/>
        <v>0</v>
      </c>
      <c r="R88" s="360"/>
      <c r="S88" s="361">
        <f t="shared" si="57"/>
        <v>0</v>
      </c>
      <c r="T88" s="363">
        <f t="shared" si="58"/>
        <v>0</v>
      </c>
      <c r="U88" s="357" t="s">
        <v>56</v>
      </c>
      <c r="V88" s="4"/>
    </row>
    <row r="89" spans="1:21" s="380" customFormat="1" ht="15.75" customHeight="1">
      <c r="A89" s="132" t="str">
        <f>'Components and Space Standards'!A94</f>
        <v>Site Spaces</v>
      </c>
      <c r="B89" s="372"/>
      <c r="C89" s="372"/>
      <c r="D89" s="373"/>
      <c r="E89" s="373"/>
      <c r="F89" s="375"/>
      <c r="G89" s="376"/>
      <c r="H89" s="377"/>
      <c r="I89" s="377"/>
      <c r="J89" s="377"/>
      <c r="K89" s="377"/>
      <c r="L89" s="377"/>
      <c r="M89" s="377"/>
      <c r="N89" s="377"/>
      <c r="O89" s="377"/>
      <c r="P89" s="377"/>
      <c r="Q89" s="377"/>
      <c r="R89" s="375"/>
      <c r="S89" s="376"/>
      <c r="T89" s="378"/>
      <c r="U89" s="379"/>
    </row>
    <row r="90" spans="1:21" s="2" customFormat="1" ht="12" customHeight="1">
      <c r="A90" s="128" t="str">
        <f>'Components and Space Standards'!A95</f>
        <v>Staff Parking</v>
      </c>
      <c r="B90" s="364">
        <f>'Components and Space Standards'!B95</f>
        <v>41.805</v>
      </c>
      <c r="C90" s="21">
        <f>'Components and Space Standards'!C95</f>
        <v>450</v>
      </c>
      <c r="D90" s="253" t="str">
        <f>'Components and Space Standards'!D95</f>
        <v>Parking Spaces</v>
      </c>
      <c r="E90" s="22" t="str">
        <f>'Components and Space Standards'!E95</f>
        <v>per space (including circulation)</v>
      </c>
      <c r="F90" s="225">
        <v>8</v>
      </c>
      <c r="G90" s="229">
        <f aca="true" t="shared" si="59" ref="G90:G95">F90*B90</f>
        <v>334.44</v>
      </c>
      <c r="H90" s="228">
        <f aca="true" t="shared" si="60" ref="H90:H95">F90*C90</f>
        <v>3600</v>
      </c>
      <c r="I90" s="228">
        <v>9</v>
      </c>
      <c r="J90" s="228">
        <f aca="true" t="shared" si="61" ref="J90:J95">$B90*I90</f>
        <v>376.245</v>
      </c>
      <c r="K90" s="228">
        <f aca="true" t="shared" si="62" ref="K90:K95">I90*$C90</f>
        <v>4050</v>
      </c>
      <c r="L90" s="228">
        <v>10</v>
      </c>
      <c r="M90" s="228">
        <f aca="true" t="shared" si="63" ref="M90:M95">$B90*L90</f>
        <v>418.05</v>
      </c>
      <c r="N90" s="228">
        <f aca="true" t="shared" si="64" ref="N90:N95">L90*$C90</f>
        <v>4500</v>
      </c>
      <c r="O90" s="228">
        <v>12</v>
      </c>
      <c r="P90" s="228">
        <f aca="true" t="shared" si="65" ref="P90:P95">$B90*O90</f>
        <v>501.65999999999997</v>
      </c>
      <c r="Q90" s="228">
        <f aca="true" t="shared" si="66" ref="Q90:Q95">O90*$C90</f>
        <v>5400</v>
      </c>
      <c r="R90" s="225"/>
      <c r="S90" s="229">
        <f aca="true" t="shared" si="67" ref="S90:S95">$B90*R90</f>
        <v>0</v>
      </c>
      <c r="T90" s="230">
        <f aca="true" t="shared" si="68" ref="T90:T95">R90*$C90</f>
        <v>0</v>
      </c>
      <c r="U90" s="129"/>
    </row>
    <row r="91" spans="1:21" s="2" customFormat="1" ht="12" customHeight="1">
      <c r="A91" s="128" t="str">
        <f>'Components and Space Standards'!A96</f>
        <v>Loading dock</v>
      </c>
      <c r="B91" s="16">
        <f>'Components and Space Standards'!B96</f>
        <v>8.360999999999999</v>
      </c>
      <c r="C91" s="21">
        <f>'Components and Space Standards'!C96</f>
        <v>90</v>
      </c>
      <c r="D91" s="253" t="str">
        <f>'Components and Space Standards'!D96</f>
        <v>Loading Dock</v>
      </c>
      <c r="E91" s="22" t="str">
        <f>'Components and Space Standards'!E96</f>
        <v>Per single-truck dock</v>
      </c>
      <c r="F91" s="225">
        <v>1</v>
      </c>
      <c r="G91" s="226">
        <f t="shared" si="59"/>
        <v>8.360999999999999</v>
      </c>
      <c r="H91" s="227">
        <f t="shared" si="60"/>
        <v>90</v>
      </c>
      <c r="I91" s="228">
        <v>1</v>
      </c>
      <c r="J91" s="228">
        <f t="shared" si="61"/>
        <v>8.360999999999999</v>
      </c>
      <c r="K91" s="228">
        <f t="shared" si="62"/>
        <v>90</v>
      </c>
      <c r="L91" s="228">
        <v>1</v>
      </c>
      <c r="M91" s="228">
        <f t="shared" si="63"/>
        <v>8.360999999999999</v>
      </c>
      <c r="N91" s="228">
        <f t="shared" si="64"/>
        <v>90</v>
      </c>
      <c r="O91" s="228">
        <v>1</v>
      </c>
      <c r="P91" s="228">
        <f t="shared" si="65"/>
        <v>8.360999999999999</v>
      </c>
      <c r="Q91" s="228">
        <f t="shared" si="66"/>
        <v>90</v>
      </c>
      <c r="R91" s="225"/>
      <c r="S91" s="229">
        <f t="shared" si="67"/>
        <v>0</v>
      </c>
      <c r="T91" s="230">
        <f t="shared" si="68"/>
        <v>0</v>
      </c>
      <c r="U91" s="129"/>
    </row>
    <row r="92" spans="1:21" s="2" customFormat="1" ht="12" customHeight="1">
      <c r="A92" s="128" t="str">
        <f>'Components and Space Standards'!A97</f>
        <v>Service Drive/trash</v>
      </c>
      <c r="B92" s="16">
        <f>'Components and Space Standards'!B97</f>
        <v>69.675</v>
      </c>
      <c r="C92" s="21">
        <f>'Components and Space Standards'!C97</f>
        <v>750</v>
      </c>
      <c r="D92" s="253" t="str">
        <f>'Components and Space Standards'!D97</f>
        <v>Service Drive Module</v>
      </c>
      <c r="E92" s="22" t="str">
        <f>'Components and Space Standards'!E97</f>
        <v>per area</v>
      </c>
      <c r="F92" s="225">
        <v>1</v>
      </c>
      <c r="G92" s="226">
        <f t="shared" si="59"/>
        <v>69.675</v>
      </c>
      <c r="H92" s="227">
        <f t="shared" si="60"/>
        <v>750</v>
      </c>
      <c r="I92" s="228">
        <v>1</v>
      </c>
      <c r="J92" s="228">
        <f t="shared" si="61"/>
        <v>69.675</v>
      </c>
      <c r="K92" s="228">
        <f t="shared" si="62"/>
        <v>750</v>
      </c>
      <c r="L92" s="228">
        <v>1</v>
      </c>
      <c r="M92" s="228">
        <f t="shared" si="63"/>
        <v>69.675</v>
      </c>
      <c r="N92" s="228">
        <f t="shared" si="64"/>
        <v>750</v>
      </c>
      <c r="O92" s="228">
        <v>1</v>
      </c>
      <c r="P92" s="228">
        <f t="shared" si="65"/>
        <v>69.675</v>
      </c>
      <c r="Q92" s="228">
        <f t="shared" si="66"/>
        <v>750</v>
      </c>
      <c r="R92" s="225"/>
      <c r="S92" s="229">
        <f t="shared" si="67"/>
        <v>0</v>
      </c>
      <c r="T92" s="230">
        <f t="shared" si="68"/>
        <v>0</v>
      </c>
      <c r="U92" s="129"/>
    </row>
    <row r="93" spans="1:21" s="2" customFormat="1" ht="12" customHeight="1">
      <c r="A93" s="19" t="str">
        <f>'Components and Space Standards'!A98</f>
        <v>Customer Parking</v>
      </c>
      <c r="B93" s="16">
        <f>'Components and Space Standards'!B98</f>
        <v>41.805</v>
      </c>
      <c r="C93" s="11">
        <f>'Components and Space Standards'!C98</f>
        <v>450</v>
      </c>
      <c r="D93" s="255" t="str">
        <f>'Components and Space Standards'!D98</f>
        <v>Parking Spaces</v>
      </c>
      <c r="E93" s="17" t="str">
        <f>'Components and Space Standards'!E98</f>
        <v>per space (including circulation)</v>
      </c>
      <c r="F93" s="188">
        <v>40</v>
      </c>
      <c r="G93" s="226">
        <f t="shared" si="59"/>
        <v>1672.2</v>
      </c>
      <c r="H93" s="227">
        <f t="shared" si="60"/>
        <v>18000</v>
      </c>
      <c r="I93" s="227">
        <v>80</v>
      </c>
      <c r="J93" s="227">
        <f t="shared" si="61"/>
        <v>3344.4</v>
      </c>
      <c r="K93" s="227">
        <f t="shared" si="62"/>
        <v>36000</v>
      </c>
      <c r="L93" s="227">
        <v>120</v>
      </c>
      <c r="M93" s="227">
        <f t="shared" si="63"/>
        <v>5016.6</v>
      </c>
      <c r="N93" s="227">
        <f t="shared" si="64"/>
        <v>54000</v>
      </c>
      <c r="O93" s="227">
        <v>160</v>
      </c>
      <c r="P93" s="227">
        <f t="shared" si="65"/>
        <v>6688.8</v>
      </c>
      <c r="Q93" s="227">
        <f t="shared" si="66"/>
        <v>72000</v>
      </c>
      <c r="R93" s="188"/>
      <c r="S93" s="226">
        <f t="shared" si="67"/>
        <v>0</v>
      </c>
      <c r="T93" s="231">
        <f t="shared" si="68"/>
        <v>0</v>
      </c>
      <c r="U93" s="108"/>
    </row>
    <row r="94" spans="1:21" s="2" customFormat="1" ht="12" customHeight="1">
      <c r="A94" s="19" t="str">
        <f>'Components and Space Standards'!A99</f>
        <v>Bicycle Rack Area</v>
      </c>
      <c r="B94" s="16">
        <f>'Components and Space Standards'!B99</f>
        <v>14.863999999999999</v>
      </c>
      <c r="C94" s="11">
        <f>'Components and Space Standards'!C99</f>
        <v>160</v>
      </c>
      <c r="D94" s="255" t="str">
        <f>'Components and Space Standards'!D99</f>
        <v>10-bike Rack(s)</v>
      </c>
      <c r="E94" s="17" t="str">
        <f>'Components and Space Standards'!E99</f>
        <v>per 10-bike Rack</v>
      </c>
      <c r="F94" s="188">
        <v>1</v>
      </c>
      <c r="G94" s="226">
        <f t="shared" si="59"/>
        <v>14.863999999999999</v>
      </c>
      <c r="H94" s="227">
        <f t="shared" si="60"/>
        <v>160</v>
      </c>
      <c r="I94" s="227">
        <v>2</v>
      </c>
      <c r="J94" s="227">
        <f t="shared" si="61"/>
        <v>29.727999999999998</v>
      </c>
      <c r="K94" s="227">
        <f t="shared" si="62"/>
        <v>320</v>
      </c>
      <c r="L94" s="227">
        <v>2</v>
      </c>
      <c r="M94" s="227">
        <f t="shared" si="63"/>
        <v>29.727999999999998</v>
      </c>
      <c r="N94" s="227">
        <f t="shared" si="64"/>
        <v>320</v>
      </c>
      <c r="O94" s="227">
        <v>3</v>
      </c>
      <c r="P94" s="227">
        <f t="shared" si="65"/>
        <v>44.592</v>
      </c>
      <c r="Q94" s="227">
        <f t="shared" si="66"/>
        <v>480</v>
      </c>
      <c r="R94" s="188"/>
      <c r="S94" s="226">
        <f t="shared" si="67"/>
        <v>0</v>
      </c>
      <c r="T94" s="231">
        <f t="shared" si="68"/>
        <v>0</v>
      </c>
      <c r="U94" s="108"/>
    </row>
    <row r="95" spans="1:21" s="312" customFormat="1" ht="12" customHeight="1">
      <c r="A95" s="217" t="str">
        <f>'Components and Space Standards'!A100</f>
        <v>Patio</v>
      </c>
      <c r="B95" s="218">
        <f>'Components and Space Standards'!B100</f>
        <v>2.3225</v>
      </c>
      <c r="C95" s="219">
        <f>'Components and Space Standards'!C100</f>
        <v>25</v>
      </c>
      <c r="D95" s="328" t="str">
        <f>'Components and Space Standards'!D100</f>
        <v>Patio Module(s)</v>
      </c>
      <c r="E95" s="18" t="str">
        <f>'Components and Space Standards'!E100</f>
        <v>per patio</v>
      </c>
      <c r="F95" s="210"/>
      <c r="G95" s="315">
        <f t="shared" si="59"/>
        <v>0</v>
      </c>
      <c r="H95" s="316">
        <f t="shared" si="60"/>
        <v>0</v>
      </c>
      <c r="I95" s="571"/>
      <c r="J95" s="316">
        <f t="shared" si="61"/>
        <v>0</v>
      </c>
      <c r="K95" s="316">
        <f t="shared" si="62"/>
        <v>0</v>
      </c>
      <c r="L95" s="571"/>
      <c r="M95" s="316">
        <f t="shared" si="63"/>
        <v>0</v>
      </c>
      <c r="N95" s="316">
        <f t="shared" si="64"/>
        <v>0</v>
      </c>
      <c r="O95" s="571"/>
      <c r="P95" s="316">
        <f t="shared" si="65"/>
        <v>0</v>
      </c>
      <c r="Q95" s="316">
        <f t="shared" si="66"/>
        <v>0</v>
      </c>
      <c r="R95" s="210"/>
      <c r="S95" s="315">
        <f t="shared" si="67"/>
        <v>0</v>
      </c>
      <c r="T95" s="317">
        <f t="shared" si="68"/>
        <v>0</v>
      </c>
      <c r="U95" s="318"/>
    </row>
    <row r="96" spans="1:21" s="2" customFormat="1" ht="12" customHeight="1" thickBot="1">
      <c r="A96" s="12" t="str">
        <f>'Components and Space Standards'!A101</f>
        <v>* Service-specific space.</v>
      </c>
      <c r="B96" s="13"/>
      <c r="C96" s="14"/>
      <c r="D96" s="14"/>
      <c r="E96" s="15"/>
      <c r="F96" s="232"/>
      <c r="G96" s="232"/>
      <c r="H96" s="232"/>
      <c r="I96" s="232"/>
      <c r="J96" s="232"/>
      <c r="K96" s="232"/>
      <c r="L96" s="232"/>
      <c r="M96" s="232"/>
      <c r="N96" s="232"/>
      <c r="O96" s="232"/>
      <c r="P96" s="232"/>
      <c r="Q96" s="232"/>
      <c r="R96" s="233"/>
      <c r="S96" s="234"/>
      <c r="T96" s="235"/>
      <c r="U96" s="113"/>
    </row>
    <row r="97" spans="1:21" s="2" customFormat="1" ht="12" customHeight="1">
      <c r="A97" s="4" t="str">
        <f>'Components and Space Standards'!A102</f>
        <v>1 If contract service, verify area with contractor. </v>
      </c>
      <c r="B97" s="5"/>
      <c r="C97" s="8"/>
      <c r="D97" s="8"/>
      <c r="E97" s="6"/>
      <c r="F97" s="236"/>
      <c r="G97" s="236"/>
      <c r="H97" s="236"/>
      <c r="I97" s="236"/>
      <c r="J97" s="236"/>
      <c r="K97" s="236"/>
      <c r="L97" s="236"/>
      <c r="M97" s="236"/>
      <c r="N97" s="236"/>
      <c r="O97" s="236"/>
      <c r="P97" s="236"/>
      <c r="Q97" s="236"/>
      <c r="R97" s="237"/>
      <c r="S97" s="238"/>
      <c r="T97" s="239"/>
      <c r="U97" s="113"/>
    </row>
    <row r="98" spans="1:21" s="2" customFormat="1" ht="12" customHeight="1">
      <c r="A98" s="4"/>
      <c r="B98" s="4"/>
      <c r="C98" s="4"/>
      <c r="D98" s="4"/>
      <c r="E98" s="4"/>
      <c r="F98" s="240"/>
      <c r="G98" s="240"/>
      <c r="H98" s="240"/>
      <c r="I98" s="240"/>
      <c r="J98" s="240"/>
      <c r="K98" s="240"/>
      <c r="L98" s="240"/>
      <c r="M98" s="240"/>
      <c r="N98" s="240"/>
      <c r="O98" s="240"/>
      <c r="P98" s="240"/>
      <c r="Q98" s="240"/>
      <c r="R98" s="240"/>
      <c r="S98" s="240"/>
      <c r="T98" s="240"/>
      <c r="U98" s="113"/>
    </row>
    <row r="99" spans="1:21" s="2" customFormat="1" ht="12" customHeight="1">
      <c r="A99" s="4"/>
      <c r="B99" s="4"/>
      <c r="C99" s="4"/>
      <c r="D99" s="4"/>
      <c r="E99" s="4"/>
      <c r="F99" s="240"/>
      <c r="G99" s="240"/>
      <c r="H99" s="240"/>
      <c r="I99" s="240"/>
      <c r="J99" s="240"/>
      <c r="K99" s="240"/>
      <c r="L99" s="240"/>
      <c r="M99" s="240"/>
      <c r="N99" s="240"/>
      <c r="O99" s="240"/>
      <c r="P99" s="240"/>
      <c r="Q99" s="240"/>
      <c r="R99" s="240"/>
      <c r="S99" s="240"/>
      <c r="T99" s="240"/>
      <c r="U99" s="113"/>
    </row>
    <row r="100" spans="1:20" ht="12" customHeight="1">
      <c r="A100" s="4"/>
      <c r="B100" s="4"/>
      <c r="C100" s="4"/>
      <c r="D100" s="4"/>
      <c r="E100" s="4"/>
      <c r="F100" s="240"/>
      <c r="G100" s="240"/>
      <c r="H100" s="240"/>
      <c r="I100" s="240"/>
      <c r="J100" s="240"/>
      <c r="K100" s="240"/>
      <c r="L100" s="240"/>
      <c r="M100" s="240"/>
      <c r="N100" s="240"/>
      <c r="O100" s="240"/>
      <c r="P100" s="240"/>
      <c r="Q100" s="240"/>
      <c r="R100" s="240"/>
      <c r="S100" s="240"/>
      <c r="T100" s="240"/>
    </row>
    <row r="101" spans="2:18" ht="12" customHeight="1">
      <c r="B101" s="20"/>
      <c r="C101" s="20"/>
      <c r="D101" s="20"/>
      <c r="R101" s="241"/>
    </row>
    <row r="102" spans="2:18" ht="12" customHeight="1">
      <c r="B102" s="20"/>
      <c r="C102" s="20"/>
      <c r="D102" s="20"/>
      <c r="R102" s="241"/>
    </row>
    <row r="103" spans="2:18" ht="12" customHeight="1">
      <c r="B103" s="20"/>
      <c r="C103" s="20"/>
      <c r="D103" s="20"/>
      <c r="R103" s="241"/>
    </row>
    <row r="104" spans="2:18" ht="12" customHeight="1">
      <c r="B104" s="20"/>
      <c r="C104" s="20"/>
      <c r="D104" s="20"/>
      <c r="R104" s="241"/>
    </row>
    <row r="105" spans="2:18" ht="12" customHeight="1">
      <c r="B105" s="20"/>
      <c r="C105" s="20"/>
      <c r="D105" s="20"/>
      <c r="R105" s="241"/>
    </row>
    <row r="106" spans="2:18" ht="12" customHeight="1">
      <c r="B106" s="20"/>
      <c r="C106" s="20"/>
      <c r="D106" s="20"/>
      <c r="R106" s="241"/>
    </row>
    <row r="107" spans="2:18" ht="12" customHeight="1">
      <c r="B107" s="20"/>
      <c r="C107" s="20"/>
      <c r="D107" s="20"/>
      <c r="R107" s="241"/>
    </row>
    <row r="108" spans="1:20" ht="12" customHeight="1">
      <c r="A108" s="9"/>
      <c r="B108" s="10"/>
      <c r="C108" s="8"/>
      <c r="D108" s="8"/>
      <c r="E108" s="4"/>
      <c r="F108" s="237"/>
      <c r="G108" s="242"/>
      <c r="H108" s="240"/>
      <c r="I108" s="240"/>
      <c r="J108" s="240"/>
      <c r="K108" s="240"/>
      <c r="L108" s="240"/>
      <c r="M108" s="240"/>
      <c r="N108" s="240"/>
      <c r="O108" s="240"/>
      <c r="P108" s="240"/>
      <c r="Q108" s="240"/>
      <c r="R108" s="237"/>
      <c r="S108" s="242"/>
      <c r="T108" s="243"/>
    </row>
    <row r="109" spans="1:20" ht="12" customHeight="1">
      <c r="A109" s="9"/>
      <c r="B109" s="10"/>
      <c r="C109" s="8"/>
      <c r="D109" s="8"/>
      <c r="E109" s="4"/>
      <c r="F109" s="237"/>
      <c r="G109" s="242"/>
      <c r="H109" s="240"/>
      <c r="I109" s="240"/>
      <c r="J109" s="240"/>
      <c r="K109" s="240"/>
      <c r="L109" s="240"/>
      <c r="M109" s="240"/>
      <c r="N109" s="240"/>
      <c r="O109" s="240"/>
      <c r="P109" s="240"/>
      <c r="Q109" s="240"/>
      <c r="R109" s="237"/>
      <c r="S109" s="242"/>
      <c r="T109" s="243"/>
    </row>
    <row r="110" spans="1:20" ht="12" customHeight="1">
      <c r="A110" s="9"/>
      <c r="B110" s="10"/>
      <c r="C110" s="8"/>
      <c r="D110" s="8"/>
      <c r="E110" s="4"/>
      <c r="F110" s="237"/>
      <c r="G110" s="242"/>
      <c r="H110" s="240"/>
      <c r="I110" s="240"/>
      <c r="J110" s="240"/>
      <c r="K110" s="240"/>
      <c r="L110" s="240"/>
      <c r="M110" s="240"/>
      <c r="N110" s="240"/>
      <c r="O110" s="240"/>
      <c r="P110" s="240"/>
      <c r="Q110" s="240"/>
      <c r="R110" s="237"/>
      <c r="S110" s="242"/>
      <c r="T110" s="243"/>
    </row>
    <row r="111" spans="1:20" ht="12" customHeight="1">
      <c r="A111" s="9"/>
      <c r="B111" s="10"/>
      <c r="C111" s="8"/>
      <c r="D111" s="8"/>
      <c r="E111" s="4"/>
      <c r="F111" s="237"/>
      <c r="G111" s="242"/>
      <c r="H111" s="240"/>
      <c r="I111" s="240"/>
      <c r="J111" s="240"/>
      <c r="K111" s="240"/>
      <c r="L111" s="240"/>
      <c r="M111" s="240"/>
      <c r="N111" s="240"/>
      <c r="O111" s="240"/>
      <c r="P111" s="240"/>
      <c r="Q111" s="240"/>
      <c r="R111" s="237"/>
      <c r="S111" s="242"/>
      <c r="T111" s="243"/>
    </row>
  </sheetData>
  <sheetProtection deleteColumns="0"/>
  <mergeCells count="17">
    <mergeCell ref="U1:U2"/>
    <mergeCell ref="R1:T1"/>
    <mergeCell ref="F1:H1"/>
    <mergeCell ref="B1:E1"/>
    <mergeCell ref="I1:K1"/>
    <mergeCell ref="L1:N1"/>
    <mergeCell ref="O1:Q1"/>
    <mergeCell ref="A69:E69"/>
    <mergeCell ref="A52:E52"/>
    <mergeCell ref="A3:E3"/>
    <mergeCell ref="A62:E62"/>
    <mergeCell ref="U84:U85"/>
    <mergeCell ref="U23:U28"/>
    <mergeCell ref="U13:U14"/>
    <mergeCell ref="U34:U35"/>
    <mergeCell ref="U48:U49"/>
    <mergeCell ref="U67:U68"/>
  </mergeCells>
  <dataValidations count="1">
    <dataValidation allowBlank="1" showErrorMessage="1" promptTitle="Note:" prompt="Testing" sqref="A1"/>
  </dataValidations>
  <printOptions horizontalCentered="1"/>
  <pageMargins left="0.4" right="0.4" top="0.5" bottom="0.5" header="0.5" footer="0.25"/>
  <pageSetup horizontalDpi="600" verticalDpi="600" orientation="landscape" paperSize="17" r:id="rId3"/>
  <legacyDrawing r:id="rId2"/>
</worksheet>
</file>

<file path=xl/worksheets/sheet8.xml><?xml version="1.0" encoding="utf-8"?>
<worksheet xmlns="http://schemas.openxmlformats.org/spreadsheetml/2006/main" xmlns:r="http://schemas.openxmlformats.org/officeDocument/2006/relationships">
  <sheetPr codeName="Sheet2"/>
  <dimension ref="A1:AO167"/>
  <sheetViews>
    <sheetView showZeros="0" tabSelected="1" zoomScalePageLayoutView="0" workbookViewId="0" topLeftCell="A1">
      <selection activeCell="D5" sqref="D5"/>
    </sheetView>
  </sheetViews>
  <sheetFormatPr defaultColWidth="9.140625" defaultRowHeight="12.75"/>
  <cols>
    <col min="1" max="1" width="2.28125" style="24" customWidth="1"/>
    <col min="2" max="2" width="25.7109375" style="24" customWidth="1"/>
    <col min="3" max="3" width="27.7109375" style="24" customWidth="1"/>
    <col min="4" max="4" width="12.7109375" style="24" customWidth="1"/>
    <col min="5" max="5" width="35.7109375" style="24" customWidth="1"/>
    <col min="6" max="6" width="2.28125" style="24" customWidth="1"/>
    <col min="7" max="8" width="9.7109375" style="24" customWidth="1"/>
    <col min="9" max="9" width="2.7109375" style="24" customWidth="1"/>
    <col min="10" max="10" width="2.7109375" style="569" hidden="1" customWidth="1"/>
    <col min="11" max="11" width="12.7109375" style="158" hidden="1" customWidth="1"/>
    <col min="12" max="12" width="12.7109375" style="157" hidden="1" customWidth="1"/>
    <col min="13" max="19" width="8.7109375" style="158" hidden="1" customWidth="1"/>
    <col min="20" max="20" width="9.28125" style="158" hidden="1" customWidth="1"/>
    <col min="21" max="21" width="8.7109375" style="157" hidden="1" customWidth="1"/>
    <col min="22" max="22" width="2.7109375" style="475" hidden="1" customWidth="1"/>
    <col min="23" max="23" width="60.7109375" style="24" customWidth="1"/>
    <col min="24" max="16384" width="8.8515625" style="24" customWidth="1"/>
  </cols>
  <sheetData>
    <row r="1" spans="1:23" ht="13.5" customHeight="1">
      <c r="A1" s="657" t="s">
        <v>341</v>
      </c>
      <c r="B1" s="657"/>
      <c r="C1" s="661" t="s">
        <v>7</v>
      </c>
      <c r="D1" s="661"/>
      <c r="E1" s="638"/>
      <c r="F1" s="639"/>
      <c r="G1" s="639"/>
      <c r="H1" s="639"/>
      <c r="J1" s="575"/>
      <c r="K1" s="576"/>
      <c r="L1" s="577"/>
      <c r="M1" s="576"/>
      <c r="N1" s="576"/>
      <c r="O1" s="576"/>
      <c r="P1" s="576"/>
      <c r="Q1" s="576"/>
      <c r="R1" s="576"/>
      <c r="S1" s="576"/>
      <c r="T1" s="576"/>
      <c r="U1" s="577"/>
      <c r="V1" s="575"/>
      <c r="W1" s="580" t="s">
        <v>345</v>
      </c>
    </row>
    <row r="2" spans="1:22" s="27" customFormat="1" ht="13.5" customHeight="1">
      <c r="A2" s="657"/>
      <c r="B2" s="657"/>
      <c r="C2" s="661"/>
      <c r="D2" s="661"/>
      <c r="E2" s="640"/>
      <c r="F2" s="640"/>
      <c r="G2" s="640"/>
      <c r="H2" s="640"/>
      <c r="I2" s="26"/>
      <c r="J2" s="579" t="s">
        <v>344</v>
      </c>
      <c r="K2" s="159"/>
      <c r="L2" s="160"/>
      <c r="M2" s="159"/>
      <c r="N2" s="159"/>
      <c r="O2" s="159"/>
      <c r="P2" s="159"/>
      <c r="Q2" s="159"/>
      <c r="R2" s="159"/>
      <c r="S2" s="159"/>
      <c r="T2" s="159"/>
      <c r="U2" s="160"/>
      <c r="V2" s="476"/>
    </row>
    <row r="3" spans="1:23" s="27" customFormat="1" ht="22.5" customHeight="1" thickBot="1">
      <c r="A3" s="674" t="str">
        <f>IF(E1=0,"Project Name and Information Here",E1)</f>
        <v>Project Name and Information Here</v>
      </c>
      <c r="B3" s="674"/>
      <c r="C3" s="674"/>
      <c r="D3" s="674"/>
      <c r="E3" s="674"/>
      <c r="F3" s="674"/>
      <c r="G3" s="674"/>
      <c r="H3" s="674"/>
      <c r="I3" s="26"/>
      <c r="J3" s="564"/>
      <c r="K3" s="161" t="s">
        <v>169</v>
      </c>
      <c r="L3" s="160"/>
      <c r="M3" s="652" t="s">
        <v>174</v>
      </c>
      <c r="N3" s="653"/>
      <c r="O3" s="653"/>
      <c r="P3" s="653"/>
      <c r="Q3" s="653"/>
      <c r="R3" s="653"/>
      <c r="S3" s="653"/>
      <c r="T3" s="653"/>
      <c r="U3" s="654"/>
      <c r="V3" s="476"/>
      <c r="W3" s="643" t="s">
        <v>346</v>
      </c>
    </row>
    <row r="4" spans="1:23" s="34" customFormat="1" ht="12" customHeight="1">
      <c r="A4" s="28"/>
      <c r="B4" s="29"/>
      <c r="C4" s="29"/>
      <c r="D4" s="30"/>
      <c r="E4" s="29"/>
      <c r="F4" s="31"/>
      <c r="G4" s="31"/>
      <c r="H4" s="32"/>
      <c r="I4" s="33"/>
      <c r="J4" s="565"/>
      <c r="K4" s="162"/>
      <c r="L4" s="163"/>
      <c r="M4" s="156"/>
      <c r="N4" s="156"/>
      <c r="O4" s="156"/>
      <c r="P4" s="156"/>
      <c r="Q4" s="156"/>
      <c r="R4" s="156"/>
      <c r="S4" s="156"/>
      <c r="T4" s="156"/>
      <c r="U4" s="163"/>
      <c r="V4" s="477"/>
      <c r="W4" s="643"/>
    </row>
    <row r="5" spans="1:23" s="34" customFormat="1" ht="12" customHeight="1">
      <c r="A5" s="35" t="str">
        <f>IF(D5=0,"1.  Select Service Branch:","Service Branch")</f>
        <v>1.  Select Service Branch:</v>
      </c>
      <c r="B5" s="267"/>
      <c r="C5" s="36"/>
      <c r="D5" s="87"/>
      <c r="E5" s="37"/>
      <c r="F5" s="38"/>
      <c r="G5" s="25"/>
      <c r="H5" s="39"/>
      <c r="I5" s="33"/>
      <c r="J5" s="565"/>
      <c r="K5" s="164"/>
      <c r="L5" s="590"/>
      <c r="M5" s="156"/>
      <c r="N5" s="156"/>
      <c r="O5" s="156"/>
      <c r="P5" s="156"/>
      <c r="Q5" s="156"/>
      <c r="R5" s="156"/>
      <c r="S5" s="156"/>
      <c r="T5" s="156"/>
      <c r="U5" s="163"/>
      <c r="V5" s="477"/>
      <c r="W5" s="308"/>
    </row>
    <row r="6" spans="1:23" s="34" customFormat="1" ht="12" customHeight="1" thickBot="1">
      <c r="A6" s="403"/>
      <c r="B6" s="404"/>
      <c r="C6" s="404"/>
      <c r="D6" s="405"/>
      <c r="E6" s="406"/>
      <c r="F6" s="382"/>
      <c r="G6" s="407"/>
      <c r="H6" s="408"/>
      <c r="I6" s="33"/>
      <c r="J6" s="565"/>
      <c r="K6" s="164" t="s">
        <v>9</v>
      </c>
      <c r="L6" s="590"/>
      <c r="M6" s="156"/>
      <c r="N6" s="156"/>
      <c r="O6" s="156"/>
      <c r="P6" s="156"/>
      <c r="Q6" s="156"/>
      <c r="R6" s="156"/>
      <c r="S6" s="156"/>
      <c r="T6" s="156"/>
      <c r="U6" s="163"/>
      <c r="V6" s="477"/>
      <c r="W6" s="493"/>
    </row>
    <row r="7" spans="1:23" s="34" customFormat="1" ht="12" customHeight="1">
      <c r="A7" s="409"/>
      <c r="B7" s="31"/>
      <c r="C7" s="31"/>
      <c r="D7" s="410"/>
      <c r="E7" s="31"/>
      <c r="F7" s="31"/>
      <c r="G7" s="31"/>
      <c r="H7" s="32"/>
      <c r="I7" s="33"/>
      <c r="J7" s="565"/>
      <c r="K7" s="164"/>
      <c r="L7" s="163"/>
      <c r="M7" s="156"/>
      <c r="N7" s="156"/>
      <c r="O7" s="156"/>
      <c r="P7" s="156"/>
      <c r="Q7" s="156"/>
      <c r="R7" s="156"/>
      <c r="S7" s="156"/>
      <c r="T7" s="156"/>
      <c r="U7" s="163"/>
      <c r="V7" s="477"/>
      <c r="W7" s="493"/>
    </row>
    <row r="8" spans="1:22" s="34" customFormat="1" ht="12" customHeight="1">
      <c r="A8" s="604">
        <f>IF(D5=0,,IF(SUM(L9:L14)=1,"Size of Facility:","2.  Select size of facility:"))</f>
        <v>0</v>
      </c>
      <c r="B8" s="268"/>
      <c r="C8" s="42"/>
      <c r="D8" s="655">
        <f>IF(D5=0,,"Check box next to appropriate facility size.")</f>
        <v>0</v>
      </c>
      <c r="E8" s="655"/>
      <c r="F8" s="655"/>
      <c r="G8" s="655"/>
      <c r="H8" s="656"/>
      <c r="I8" s="33"/>
      <c r="J8" s="565"/>
      <c r="K8" s="165" t="s">
        <v>10</v>
      </c>
      <c r="L8" s="163"/>
      <c r="M8" s="166"/>
      <c r="N8" s="156"/>
      <c r="O8" s="156"/>
      <c r="P8" s="156"/>
      <c r="Q8" s="156"/>
      <c r="R8" s="156"/>
      <c r="S8" s="156"/>
      <c r="T8" s="156"/>
      <c r="U8" s="163"/>
      <c r="V8" s="477"/>
    </row>
    <row r="9" spans="1:23" s="34" customFormat="1" ht="12" customHeight="1">
      <c r="A9" s="54"/>
      <c r="B9" s="675">
        <f>IF(D5=0,,IF(D5=K5,"Army size options are to the right.  Check box next to the appropriate size.  Refer to UFC Section 2.1 for population criteria.",IF(D5=K6,"Navy size options are to the right.  Check box next to appropriate size.  Refer to UFC Section 2.1 for population criteria.",IF(D5=K7,"Air Force facilities are sized using a separate Service-specific spreadsheet that may be found at http://www-p.afsv.af.mil/FC/DesignGuides.htm.  Refer to UFC Section 2.1 for more information.",IF(D5=K8,"Marine Corps size options are to the right.  Check box next to appropriate size.  Also enter actual total Installation population size in the space provided.  Refer to UFC Section 2.1 for reference to population criteria.",)))))</f>
        <v>0</v>
      </c>
      <c r="C9" s="675"/>
      <c r="D9" s="178">
        <f>IF($D$5=0,,IF($D$5=$K$5,"Extra Small",IF($D$5=$K$6,"Extra Small",IF($D$5=$K$7,,IF($D$5=$K$8,"Extra Small",)))))</f>
        <v>0</v>
      </c>
      <c r="E9" s="140">
        <f>IF($D$5=0,,IF($D$5=$K$5,"For populations of "&amp;'size classes'!C2,IF($D$5=$K$6,"For populations of "&amp;'size classes'!C10,IF($D$5='Interactive Worksheet'!$K$7,,IF($D$5='Interactive Worksheet'!$K$8,"For populations of "&amp;'size classes'!C25,)))))</f>
        <v>0</v>
      </c>
      <c r="F9" s="25"/>
      <c r="G9" s="71"/>
      <c r="H9" s="49"/>
      <c r="I9" s="33"/>
      <c r="J9" s="565"/>
      <c r="K9" s="167" t="b">
        <v>0</v>
      </c>
      <c r="L9" s="282">
        <f aca="true" t="shared" si="0" ref="L9:L14">IF(K9=TRUE,1,0)</f>
        <v>0</v>
      </c>
      <c r="M9" s="264">
        <f aca="true" t="shared" si="1" ref="M9:N13">D9</f>
        <v>0</v>
      </c>
      <c r="N9" s="263">
        <f t="shared" si="1"/>
        <v>0</v>
      </c>
      <c r="O9" s="176"/>
      <c r="P9" s="176"/>
      <c r="Q9" s="176"/>
      <c r="R9" s="176"/>
      <c r="S9" s="176"/>
      <c r="T9" s="264"/>
      <c r="U9" s="163"/>
      <c r="V9" s="477"/>
      <c r="W9" s="442"/>
    </row>
    <row r="10" spans="1:23" s="34" customFormat="1" ht="12" customHeight="1">
      <c r="A10" s="54"/>
      <c r="B10" s="675"/>
      <c r="C10" s="675"/>
      <c r="D10" s="178">
        <f>IF($D$5=0,,IF($D$5=$K$5,"Small",IF($D$5=$K$6,"Small",IF($D$5=$K$7,,IF($D$5=$K$8,"Small",)))))</f>
        <v>0</v>
      </c>
      <c r="E10" s="140">
        <f>IF($D$5=0,,IF($D$5=$K$5,"For populations of "&amp;'size classes'!C3,IF($D$5=$K$6,"For populations of "&amp;'size classes'!C11,IF($D$5='Interactive Worksheet'!$K$7,,IF($D$5='Interactive Worksheet'!$K$8,"For populations of "&amp;'size classes'!C26,)))))</f>
        <v>0</v>
      </c>
      <c r="F10" s="25"/>
      <c r="G10" s="71"/>
      <c r="H10" s="49"/>
      <c r="I10" s="33"/>
      <c r="J10" s="565"/>
      <c r="K10" s="167" t="b">
        <v>0</v>
      </c>
      <c r="L10" s="283">
        <f t="shared" si="0"/>
        <v>0</v>
      </c>
      <c r="M10" s="264">
        <f t="shared" si="1"/>
        <v>0</v>
      </c>
      <c r="N10" s="263">
        <f t="shared" si="1"/>
        <v>0</v>
      </c>
      <c r="O10" s="176"/>
      <c r="P10" s="176"/>
      <c r="Q10" s="176"/>
      <c r="R10" s="176"/>
      <c r="S10" s="176"/>
      <c r="T10" s="264"/>
      <c r="U10" s="163"/>
      <c r="V10" s="477"/>
      <c r="W10" s="442"/>
    </row>
    <row r="11" spans="1:23" s="34" customFormat="1" ht="12" customHeight="1">
      <c r="A11" s="54"/>
      <c r="B11" s="675"/>
      <c r="C11" s="675"/>
      <c r="D11" s="178">
        <f>IF($D$5=0,,IF($D$5=$K$5,"Medium",IF($D$5=$K$6,"Medium",IF($D$5=$K$7,,IF($D$5=$K$8,"Medium",)))))</f>
        <v>0</v>
      </c>
      <c r="E11" s="140">
        <f>IF($D$5=0,,IF($D$5=$K$5,"For populations of "&amp;'size classes'!C4,IF($D$5=$K$6,"For populations of "&amp;'size classes'!C12,IF($D$5='Interactive Worksheet'!$K$7,,IF($D$5='Interactive Worksheet'!$K$8,"For populations of "&amp;'size classes'!C27,)))))</f>
        <v>0</v>
      </c>
      <c r="F11" s="25"/>
      <c r="G11" s="71"/>
      <c r="H11" s="49"/>
      <c r="I11" s="33"/>
      <c r="J11" s="565"/>
      <c r="K11" s="167" t="b">
        <v>0</v>
      </c>
      <c r="L11" s="283">
        <f t="shared" si="0"/>
        <v>0</v>
      </c>
      <c r="M11" s="264">
        <f t="shared" si="1"/>
        <v>0</v>
      </c>
      <c r="N11" s="263">
        <f t="shared" si="1"/>
        <v>0</v>
      </c>
      <c r="O11" s="176"/>
      <c r="P11" s="176"/>
      <c r="Q11" s="176"/>
      <c r="R11" s="176"/>
      <c r="S11" s="176"/>
      <c r="T11" s="264"/>
      <c r="U11" s="163"/>
      <c r="V11" s="477"/>
      <c r="W11" s="442"/>
    </row>
    <row r="12" spans="1:23" s="34" customFormat="1" ht="12" customHeight="1">
      <c r="A12" s="54"/>
      <c r="B12" s="675"/>
      <c r="C12" s="675"/>
      <c r="D12" s="178">
        <f>IF($D$5=0,,IF($D$5=$K$5,"Large",IF($D$5=$K$6,"Large",IF($D$5=$K$7,,IF($D$5=$K$8,"Large",)))))</f>
        <v>0</v>
      </c>
      <c r="E12" s="140">
        <f>IF($D$5=0,,IF($D$5=$K$5,"For populations of "&amp;'size classes'!C5,IF($D$5=$K$6,"For populations of "&amp;'size classes'!C13,IF($D$5='Interactive Worksheet'!$K$7,,IF($D$5='Interactive Worksheet'!$K$8,"For populations of "&amp;'size classes'!C28,)))))</f>
        <v>0</v>
      </c>
      <c r="F12" s="25"/>
      <c r="G12" s="71"/>
      <c r="H12" s="49"/>
      <c r="I12" s="33"/>
      <c r="J12" s="565"/>
      <c r="K12" s="167" t="b">
        <v>0</v>
      </c>
      <c r="L12" s="283">
        <f t="shared" si="0"/>
        <v>0</v>
      </c>
      <c r="M12" s="264">
        <f t="shared" si="1"/>
        <v>0</v>
      </c>
      <c r="N12" s="263">
        <f t="shared" si="1"/>
        <v>0</v>
      </c>
      <c r="O12" s="176"/>
      <c r="P12" s="176"/>
      <c r="Q12" s="176"/>
      <c r="R12" s="176"/>
      <c r="S12" s="176"/>
      <c r="T12" s="264"/>
      <c r="U12" s="163"/>
      <c r="V12" s="477"/>
      <c r="W12" s="442"/>
    </row>
    <row r="13" spans="1:22" s="34" customFormat="1" ht="12" customHeight="1">
      <c r="A13" s="54"/>
      <c r="B13" s="675"/>
      <c r="C13" s="675"/>
      <c r="D13" s="178">
        <f>IF($D$5=0,,IF($D$5=$K$5,"Extra Large",IF($D$5=$K$6,"Extra Large",IF($D$5=$K$7,,IF($D$5=$K$8,"Extra Large",)))))</f>
        <v>0</v>
      </c>
      <c r="E13" s="140">
        <f>IF($D$5=0,,IF($D$5=$K$5,"For populations of "&amp;'size classes'!C6,IF($D$5=$K$6,"For populations of "&amp;'size classes'!C14,IF($D$5='Interactive Worksheet'!$K$7,,IF($D$5='Interactive Worksheet'!$K$8,"For populations of "&amp;'size classes'!C29,)))))</f>
        <v>0</v>
      </c>
      <c r="F13" s="25"/>
      <c r="G13" s="71"/>
      <c r="H13" s="49"/>
      <c r="I13" s="33"/>
      <c r="J13" s="565"/>
      <c r="K13" s="165" t="b">
        <v>0</v>
      </c>
      <c r="L13" s="273">
        <f t="shared" si="0"/>
        <v>0</v>
      </c>
      <c r="M13" s="264">
        <f t="shared" si="1"/>
        <v>0</v>
      </c>
      <c r="N13" s="263">
        <f t="shared" si="1"/>
        <v>0</v>
      </c>
      <c r="O13" s="176"/>
      <c r="P13" s="176"/>
      <c r="Q13" s="176"/>
      <c r="R13" s="176"/>
      <c r="S13" s="176"/>
      <c r="T13" s="264"/>
      <c r="U13" s="163"/>
      <c r="V13" s="477"/>
    </row>
    <row r="14" spans="1:22" s="34" customFormat="1" ht="12" customHeight="1">
      <c r="A14" s="54"/>
      <c r="B14" s="143"/>
      <c r="C14" s="143"/>
      <c r="D14" s="178">
        <f>IF($D$5=0,,IF($D$5=$K$5,,IF($D$5=$K$6,,IF($D$5=$K$7,,IF($D$5=$K$8,"Jumbo",)))))</f>
        <v>0</v>
      </c>
      <c r="E14" s="140">
        <f>IF($D$5=0,,IF($D$5='Interactive Worksheet'!$K$8,"For populations of "&amp;'size classes'!C30,))</f>
        <v>0</v>
      </c>
      <c r="F14" s="25"/>
      <c r="G14" s="71"/>
      <c r="H14" s="49"/>
      <c r="I14" s="33"/>
      <c r="J14" s="565"/>
      <c r="K14" s="165" t="b">
        <v>0</v>
      </c>
      <c r="L14" s="273">
        <f t="shared" si="0"/>
        <v>0</v>
      </c>
      <c r="M14" s="264">
        <f>IF(D5=K6,"Jumbo",D14)</f>
        <v>0</v>
      </c>
      <c r="N14" s="263">
        <f>IF(D5=K6,"For populations of &gt;30,000",E14)</f>
        <v>0</v>
      </c>
      <c r="O14" s="156"/>
      <c r="P14" s="156"/>
      <c r="Q14" s="156"/>
      <c r="R14" s="156"/>
      <c r="S14" s="156"/>
      <c r="T14" s="594"/>
      <c r="U14" s="163"/>
      <c r="V14" s="477"/>
    </row>
    <row r="15" spans="1:23" s="34" customFormat="1" ht="12" customHeight="1">
      <c r="A15" s="54"/>
      <c r="B15" s="268"/>
      <c r="C15" s="143"/>
      <c r="D15" s="178">
        <f>IF($D$5=0,,IF(AND($D$5=$K$5,K13=TRUE),"Additional",IF($D$5=$K$6,"Jumbo",IF($D$5=$K$7,"Additional",IF($D$5=$K$8,,)))))</f>
        <v>0</v>
      </c>
      <c r="E15" s="271">
        <f>IF(D5=0,,IF(AND($D$5=$K$5,K13=TRUE),"Enter additional population over 15,000",IF(D5=K6,"For populations over 30,000, enter  1  here:",)))</f>
        <v>0</v>
      </c>
      <c r="F15" s="25"/>
      <c r="G15" s="578"/>
      <c r="H15" s="142">
        <f>IF(AND($D$5=$K$5,$G$15&gt;0),"( = "&amp;(M17*5000)&amp;")",IF(AND($D$5=$K$7,$G$15&gt;0),"( = "&amp;Q17&amp;")",0))</f>
        <v>0</v>
      </c>
      <c r="I15" s="33"/>
      <c r="J15" s="566">
        <f>IF(G15&lt;&gt;0,"G",)</f>
        <v>0</v>
      </c>
      <c r="K15" s="167">
        <f>IF(SUM(L9:L14)&gt;1,"ERROR: Only select one facility size.  ",0)</f>
        <v>0</v>
      </c>
      <c r="L15" s="283">
        <f>IF(K15&lt;&gt;0,1,0)</f>
        <v>0</v>
      </c>
      <c r="M15" s="658" t="s">
        <v>8</v>
      </c>
      <c r="N15" s="658"/>
      <c r="O15" s="659" t="s">
        <v>9</v>
      </c>
      <c r="P15" s="659"/>
      <c r="Q15" s="660" t="s">
        <v>141</v>
      </c>
      <c r="R15" s="660"/>
      <c r="S15" s="665" t="s">
        <v>156</v>
      </c>
      <c r="T15" s="665"/>
      <c r="U15" s="641" t="s">
        <v>296</v>
      </c>
      <c r="V15" s="477"/>
      <c r="W15" s="442"/>
    </row>
    <row r="16" spans="1:23" s="34" customFormat="1" ht="12" customHeight="1">
      <c r="A16" s="54"/>
      <c r="B16" s="689">
        <f>IF(AND($D$5=$K$8,SUM(L9:L14)=0),"Check box AND enter total Installation population in space provided",0)</f>
        <v>0</v>
      </c>
      <c r="C16" s="689"/>
      <c r="D16" s="596">
        <f>IF(D5=0,,IF(AND(D5=K8,AND(K13&lt;&gt;TRUE,K14&lt;&gt;TRUE)),"Enter actual total population:",IF(AND(D5=K8,OR(K13=TRUE,K14=TRUE)),"For Extra Large or Jumbo populations program multiple, smaller facilities.",)))</f>
        <v>0</v>
      </c>
      <c r="F16" s="25"/>
      <c r="G16" s="177"/>
      <c r="H16" s="49"/>
      <c r="I16" s="33"/>
      <c r="J16" s="566">
        <f>IF(G16&lt;&gt;0,"G",)</f>
        <v>0</v>
      </c>
      <c r="K16" s="167">
        <f>IF(AND(D5=K6,SUM(L9:L13)=1,O18&gt;0),"  ERROR: Only select one facility size.  If 'Jumbo,' uncheck other boxes.  ",0)</f>
        <v>0</v>
      </c>
      <c r="L16" s="283">
        <f>IF(K16&lt;&gt;0,1,0)</f>
        <v>0</v>
      </c>
      <c r="M16" s="658"/>
      <c r="N16" s="658"/>
      <c r="O16" s="659"/>
      <c r="P16" s="659"/>
      <c r="Q16" s="660"/>
      <c r="R16" s="660"/>
      <c r="S16" s="665"/>
      <c r="T16" s="665"/>
      <c r="U16" s="642"/>
      <c r="V16" s="477"/>
      <c r="W16" s="442"/>
    </row>
    <row r="17" spans="1:23" s="34" customFormat="1" ht="12" customHeight="1">
      <c r="A17" s="270"/>
      <c r="B17" s="145"/>
      <c r="C17" s="145"/>
      <c r="D17" s="145"/>
      <c r="E17" s="689">
        <f>IF(AND(D5=K8,OR(K13=TRUE,K14=TRUE)),"Contact HQMC MRS/MRD for more information.",)</f>
        <v>0</v>
      </c>
      <c r="F17" s="689"/>
      <c r="G17" s="689"/>
      <c r="H17" s="690"/>
      <c r="I17" s="33"/>
      <c r="J17" s="565"/>
      <c r="K17" s="164">
        <f>IF(D5=K5,IF(AND(K13=FALSE,G15&gt;0),"  ERROR: Must select 'Extra Large' size before adding additional population.  ",),IF(D5=K7,IF(AND(K12=FALSE,G15&gt;0),"  ERROR: Must select 'Large' size before adding additional population.  ",0),0))</f>
        <v>0</v>
      </c>
      <c r="L17" s="283">
        <f>IF(K17&lt;&gt;0,1,0)</f>
        <v>0</v>
      </c>
      <c r="M17" s="500">
        <f>ROUNDUP((G15/5000),0)</f>
        <v>0</v>
      </c>
      <c r="N17" s="154">
        <f>15000+G15</f>
        <v>15000</v>
      </c>
      <c r="O17" s="264">
        <f>D15</f>
        <v>0</v>
      </c>
      <c r="P17" s="263" t="str">
        <f>"For populations of "&amp;'size classes'!C15</f>
        <v>For populations of &gt;30,000</v>
      </c>
      <c r="Q17" s="154">
        <f>ROUNDUP(G15,-3)</f>
        <v>0</v>
      </c>
      <c r="R17" s="154">
        <f>6000+G15</f>
        <v>6000</v>
      </c>
      <c r="S17" s="155">
        <f>IF($K$9=TRUE,1,IF($K$10=TRUE,501,IF($K$11=TRUE,3001,IF($K$12=TRUE,7001,IF($K$13=TRUE,14001,)))))</f>
        <v>0</v>
      </c>
      <c r="T17" s="155">
        <f>IF($K$9=TRUE,500,IF($K$10=TRUE,3000,IF($K$11=TRUE,7000,IF($K$12=TRUE,14000,IF($K$13=TRUE,30000,)))))</f>
        <v>0</v>
      </c>
      <c r="U17" s="431"/>
      <c r="V17" s="477"/>
      <c r="W17" s="442"/>
    </row>
    <row r="18" spans="1:23" s="34" customFormat="1" ht="12" customHeight="1">
      <c r="A18" s="691" t="str">
        <f>""&amp;K15&amp;""&amp;K16&amp;""&amp;K17&amp;""&amp;K18</f>
        <v>0000</v>
      </c>
      <c r="B18" s="692"/>
      <c r="C18" s="692"/>
      <c r="D18" s="692"/>
      <c r="E18" s="692"/>
      <c r="F18" s="692"/>
      <c r="G18" s="692"/>
      <c r="H18" s="693"/>
      <c r="I18" s="33"/>
      <c r="J18" s="565"/>
      <c r="K18" s="165">
        <f>IF(AND($D$5=$K$8,B16=0,$G$16&lt;&gt;0,OR($G$16&lt;$S$17,$G$16&gt;$T$17)),"  ERROR: Total population entered does not correspond to facility size selected.  Total population should be between "&amp;$S$17&amp;" and "&amp;$T$17,0)</f>
        <v>0</v>
      </c>
      <c r="L18" s="273">
        <f>IF(K18&lt;&gt;0,1,0)</f>
        <v>0</v>
      </c>
      <c r="M18" s="260"/>
      <c r="N18" s="154">
        <f>15000+(M17*5000)</f>
        <v>15000</v>
      </c>
      <c r="O18" s="154">
        <f>G15</f>
        <v>0</v>
      </c>
      <c r="P18" s="477"/>
      <c r="Q18" s="260"/>
      <c r="R18" s="154">
        <f>6000+Q17</f>
        <v>6000</v>
      </c>
      <c r="S18" s="156"/>
      <c r="T18" s="156"/>
      <c r="U18" s="163"/>
      <c r="V18" s="477"/>
      <c r="W18" s="442"/>
    </row>
    <row r="19" spans="1:23" s="34" customFormat="1" ht="12" customHeight="1" thickBot="1">
      <c r="A19" s="694"/>
      <c r="B19" s="695"/>
      <c r="C19" s="695"/>
      <c r="D19" s="695"/>
      <c r="E19" s="695"/>
      <c r="F19" s="695"/>
      <c r="G19" s="695"/>
      <c r="H19" s="696"/>
      <c r="I19" s="33"/>
      <c r="J19" s="565"/>
      <c r="K19" s="164"/>
      <c r="L19" s="156"/>
      <c r="M19" s="156"/>
      <c r="N19" s="156"/>
      <c r="O19" s="156"/>
      <c r="P19" s="163"/>
      <c r="Q19" s="163"/>
      <c r="R19" s="163"/>
      <c r="S19" s="163"/>
      <c r="T19" s="163"/>
      <c r="U19" s="163"/>
      <c r="V19" s="477"/>
      <c r="W19" s="442"/>
    </row>
    <row r="20" spans="1:22" s="34" customFormat="1" ht="12" customHeight="1">
      <c r="A20" s="40"/>
      <c r="B20" s="25"/>
      <c r="C20" s="25"/>
      <c r="E20" s="44"/>
      <c r="F20" s="25"/>
      <c r="G20" s="25"/>
      <c r="H20" s="39"/>
      <c r="I20" s="33"/>
      <c r="J20" s="565"/>
      <c r="K20" s="167"/>
      <c r="L20" s="163"/>
      <c r="M20" s="668" t="s">
        <v>323</v>
      </c>
      <c r="N20" s="669"/>
      <c r="O20" s="676" t="s">
        <v>329</v>
      </c>
      <c r="P20" s="677"/>
      <c r="Q20" s="712"/>
      <c r="R20" s="713"/>
      <c r="S20" s="646"/>
      <c r="T20" s="647"/>
      <c r="U20" s="169"/>
      <c r="V20" s="477"/>
    </row>
    <row r="21" spans="1:23" s="34" customFormat="1" ht="12" customHeight="1">
      <c r="A21" s="41">
        <f>IF(D5=0,,"Based on data entered above, facility size basis is:")</f>
        <v>0</v>
      </c>
      <c r="B21" s="53"/>
      <c r="C21" s="42"/>
      <c r="D21" s="151" t="e">
        <f>IF(AND(D5=K6,O18&gt;0),O17,VLOOKUP(TRUE,K9:M13,3,FALSE))</f>
        <v>#N/A</v>
      </c>
      <c r="E21" s="272" t="e">
        <f>IF(AND(D5=K6,O18&gt;0),P17,VLOOKUP(TRUE,K9:P13,4,FALSE))</f>
        <v>#N/A</v>
      </c>
      <c r="F21" s="25"/>
      <c r="G21" s="71"/>
      <c r="H21" s="49"/>
      <c r="I21" s="33"/>
      <c r="J21" s="565"/>
      <c r="K21" s="167" t="b">
        <f>ISERROR(D21)</f>
        <v>1</v>
      </c>
      <c r="L21" s="163"/>
      <c r="M21" s="670"/>
      <c r="N21" s="671"/>
      <c r="O21" s="678"/>
      <c r="P21" s="679"/>
      <c r="Q21" s="714"/>
      <c r="R21" s="715"/>
      <c r="S21" s="648"/>
      <c r="T21" s="649"/>
      <c r="U21" s="432"/>
      <c r="V21" s="477"/>
      <c r="W21" s="442"/>
    </row>
    <row r="22" spans="1:23" s="34" customFormat="1" ht="12" customHeight="1">
      <c r="A22" s="148"/>
      <c r="B22" s="44"/>
      <c r="C22" s="73"/>
      <c r="D22" s="149">
        <f>IF($D$5=0,,IF(AND($D$5=$K$5,$G$15&gt;0),"Additional population entered:",IF(AND($D$5=$K$5,K13=TRUE),"No additional population has been entered.",0)))</f>
        <v>0</v>
      </c>
      <c r="E22" s="144"/>
      <c r="F22" s="73"/>
      <c r="G22" s="146"/>
      <c r="H22" s="147"/>
      <c r="I22" s="33"/>
      <c r="J22" s="567"/>
      <c r="K22" s="167"/>
      <c r="L22" s="163"/>
      <c r="M22" s="670"/>
      <c r="N22" s="671"/>
      <c r="O22" s="678"/>
      <c r="P22" s="679"/>
      <c r="Q22" s="714"/>
      <c r="R22" s="715"/>
      <c r="S22" s="648"/>
      <c r="T22" s="649"/>
      <c r="U22" s="432"/>
      <c r="V22" s="477"/>
      <c r="W22" s="442"/>
    </row>
    <row r="23" spans="1:23" s="34" customFormat="1" ht="12" customHeight="1">
      <c r="A23" s="148"/>
      <c r="B23" s="44"/>
      <c r="C23" s="73"/>
      <c r="D23" s="140">
        <f>IF($D$5=0,,IF(AND($D$5=$K$5,$G$15&gt;0),"Total Installation population is   "&amp;N17,IF($D$5=$K$8,"Total Installation population is ",)))</f>
        <v>0</v>
      </c>
      <c r="E23" s="141"/>
      <c r="F23" s="73"/>
      <c r="G23" s="153"/>
      <c r="H23" s="150"/>
      <c r="I23" s="33"/>
      <c r="J23" s="567"/>
      <c r="K23" s="167"/>
      <c r="L23" s="163"/>
      <c r="M23" s="670"/>
      <c r="N23" s="671"/>
      <c r="O23" s="678"/>
      <c r="P23" s="679"/>
      <c r="Q23" s="714"/>
      <c r="R23" s="715"/>
      <c r="S23" s="648"/>
      <c r="T23" s="649"/>
      <c r="U23" s="432"/>
      <c r="V23" s="477"/>
      <c r="W23" s="80"/>
    </row>
    <row r="24" spans="1:23" s="34" customFormat="1" ht="12" customHeight="1">
      <c r="A24" s="40"/>
      <c r="B24" s="25"/>
      <c r="C24" s="75"/>
      <c r="D24" s="499">
        <f>IF($D$5=0,,IF(AND($D$5=$K$5,$G$15&gt;0),"Facility will be sized based on population of",))</f>
        <v>0</v>
      </c>
      <c r="E24" s="141"/>
      <c r="F24" s="75"/>
      <c r="G24" s="265">
        <f>IF($D$5=0,,IF(AND($D$5=$K$5,$G$15&gt;0),N18,0))</f>
        <v>0</v>
      </c>
      <c r="H24" s="266"/>
      <c r="I24" s="33"/>
      <c r="J24" s="567"/>
      <c r="K24" s="167"/>
      <c r="L24" s="163"/>
      <c r="M24" s="670"/>
      <c r="N24" s="671"/>
      <c r="O24" s="678"/>
      <c r="P24" s="679"/>
      <c r="Q24" s="714"/>
      <c r="R24" s="715"/>
      <c r="S24" s="648"/>
      <c r="T24" s="649"/>
      <c r="U24" s="163"/>
      <c r="V24" s="477"/>
      <c r="W24" s="80"/>
    </row>
    <row r="25" spans="1:23" s="34" customFormat="1" ht="12" customHeight="1">
      <c r="A25" s="40"/>
      <c r="B25" s="25"/>
      <c r="C25" s="75"/>
      <c r="D25" s="140"/>
      <c r="E25" s="141"/>
      <c r="F25" s="75"/>
      <c r="G25" s="75"/>
      <c r="H25" s="150"/>
      <c r="I25" s="33"/>
      <c r="J25" s="565"/>
      <c r="K25" s="167"/>
      <c r="L25" s="163"/>
      <c r="M25" s="670"/>
      <c r="N25" s="671"/>
      <c r="O25" s="678"/>
      <c r="P25" s="679"/>
      <c r="Q25" s="714"/>
      <c r="R25" s="715"/>
      <c r="S25" s="648"/>
      <c r="T25" s="649"/>
      <c r="U25" s="163"/>
      <c r="V25" s="477"/>
      <c r="W25" s="80"/>
    </row>
    <row r="26" spans="1:23" s="34" customFormat="1" ht="12" customHeight="1">
      <c r="A26" s="605">
        <f>IF(D5=0,,IF(AND(D5&lt;&gt;0,SUM(L9:L14)=1,D26=0),"3.  Confirm facility size basis is correct (yes or no):","Facility Size Confirmed:"))</f>
        <v>0</v>
      </c>
      <c r="B26" s="53"/>
      <c r="C26" s="75"/>
      <c r="D26" s="278"/>
      <c r="E26" s="708">
        <f>IF(D5=0,,IF(K26="No","Must check box next to appropriate size before indicating 'Yes.'",IF(K26="No ","Resolve error message(s) above before indicating 'Yes.'",IF(K26="No  ","Must check size box AND enter total Installation population in space provided before indicating 'Yes.'",))))</f>
        <v>0</v>
      </c>
      <c r="F26" s="708"/>
      <c r="G26" s="708"/>
      <c r="H26" s="709"/>
      <c r="I26" s="33"/>
      <c r="J26" s="566">
        <f>IF(D26&lt;&gt;0,"D",)</f>
        <v>0</v>
      </c>
      <c r="K26" s="164" t="str">
        <f>IF(D5=K7,"No",IF(AND(D5&lt;&gt;K6,SUM(L9:L13)&lt;1),"No",IF(AND(D5=K6,SUM(L9:L13)&lt;1,O18&lt;1),"No",IF(SUM(L15:L18)&gt;0,"No ",IF(B16&lt;&gt;0,"No  ","Yes")))))</f>
        <v>No</v>
      </c>
      <c r="L26" s="163"/>
      <c r="M26" s="672"/>
      <c r="N26" s="673"/>
      <c r="O26" s="680"/>
      <c r="P26" s="681"/>
      <c r="Q26" s="716"/>
      <c r="R26" s="717"/>
      <c r="S26" s="650"/>
      <c r="T26" s="651"/>
      <c r="U26" s="163"/>
      <c r="V26" s="477"/>
      <c r="W26" s="442"/>
    </row>
    <row r="27" spans="1:23" s="34" customFormat="1" ht="12" customHeight="1">
      <c r="A27" s="41"/>
      <c r="B27" s="53"/>
      <c r="C27" s="75"/>
      <c r="D27" s="274"/>
      <c r="E27" s="708"/>
      <c r="F27" s="708"/>
      <c r="G27" s="708"/>
      <c r="H27" s="709"/>
      <c r="I27" s="33"/>
      <c r="J27" s="565"/>
      <c r="K27" s="167" t="s">
        <v>11</v>
      </c>
      <c r="L27" s="163"/>
      <c r="M27" s="502"/>
      <c r="N27" s="502"/>
      <c r="O27" s="502"/>
      <c r="P27" s="502"/>
      <c r="Q27" s="502"/>
      <c r="R27" s="502"/>
      <c r="S27" s="502"/>
      <c r="T27" s="502"/>
      <c r="U27" s="502"/>
      <c r="V27" s="477"/>
      <c r="W27" s="443"/>
    </row>
    <row r="28" spans="1:23" s="34" customFormat="1" ht="12" customHeight="1" thickBot="1">
      <c r="A28" s="411"/>
      <c r="B28" s="397"/>
      <c r="C28" s="412"/>
      <c r="D28" s="413"/>
      <c r="E28" s="710"/>
      <c r="F28" s="710"/>
      <c r="G28" s="710"/>
      <c r="H28" s="711"/>
      <c r="I28" s="33"/>
      <c r="J28" s="565"/>
      <c r="K28" s="478"/>
      <c r="L28" s="163"/>
      <c r="M28" s="502"/>
      <c r="N28" s="502"/>
      <c r="O28" s="502"/>
      <c r="P28" s="502"/>
      <c r="Q28" s="502"/>
      <c r="R28" s="502"/>
      <c r="S28" s="502"/>
      <c r="T28" s="502"/>
      <c r="U28" s="502"/>
      <c r="V28" s="477"/>
      <c r="W28" s="443"/>
    </row>
    <row r="29" spans="1:22" s="34" customFormat="1" ht="12" customHeight="1">
      <c r="A29" s="40"/>
      <c r="B29" s="25"/>
      <c r="C29" s="25"/>
      <c r="D29" s="25"/>
      <c r="E29" s="44"/>
      <c r="F29" s="25"/>
      <c r="G29" s="25"/>
      <c r="H29" s="39"/>
      <c r="I29" s="33"/>
      <c r="J29" s="565"/>
      <c r="K29" s="167"/>
      <c r="L29" s="163"/>
      <c r="M29" s="156"/>
      <c r="N29" s="156"/>
      <c r="O29" s="156"/>
      <c r="P29" s="156"/>
      <c r="Q29" s="156"/>
      <c r="R29" s="156"/>
      <c r="S29" s="156"/>
      <c r="T29" s="156"/>
      <c r="U29" s="163"/>
      <c r="V29" s="477"/>
    </row>
    <row r="30" spans="1:23" s="34" customFormat="1" ht="12" customHeight="1">
      <c r="A30" s="697">
        <f>IF(D5=0,,IF(OR(D26&lt;&gt;"Yes",D26=0,K26&lt;&gt;"Yes"),"Must confirm facility size basis is correct (Yes) above before proceeding.  If facility size basis is not correct, or if 'Yes' is not an option, adjust the figures accordingly.  Refer to UFC Section 2-1 and its referenced documents for more information.","Many of the spaces below are determined by the size and/or population criteria confirmed above.  Where appropriate or necessary, modify each space or select the appropriate options to determine the total net facility size."))</f>
        <v>0</v>
      </c>
      <c r="B30" s="698"/>
      <c r="C30" s="698"/>
      <c r="D30" s="698"/>
      <c r="E30" s="698"/>
      <c r="F30" s="698"/>
      <c r="G30" s="698"/>
      <c r="H30" s="699"/>
      <c r="I30" s="33"/>
      <c r="J30" s="565"/>
      <c r="K30" s="167"/>
      <c r="L30" s="163"/>
      <c r="M30" s="477"/>
      <c r="N30" s="477"/>
      <c r="O30" s="477"/>
      <c r="P30" s="477"/>
      <c r="Q30" s="477"/>
      <c r="R30" s="477"/>
      <c r="S30" s="477"/>
      <c r="T30" s="477"/>
      <c r="U30" s="479"/>
      <c r="V30" s="477"/>
      <c r="W30" s="27"/>
    </row>
    <row r="31" spans="1:23" s="34" customFormat="1" ht="12" customHeight="1">
      <c r="A31" s="697"/>
      <c r="B31" s="698"/>
      <c r="C31" s="698"/>
      <c r="D31" s="698"/>
      <c r="E31" s="698"/>
      <c r="F31" s="698"/>
      <c r="G31" s="698"/>
      <c r="H31" s="699"/>
      <c r="I31" s="33"/>
      <c r="J31" s="565"/>
      <c r="K31" s="167"/>
      <c r="L31" s="163"/>
      <c r="M31" s="477"/>
      <c r="N31" s="477"/>
      <c r="O31" s="477"/>
      <c r="P31" s="477"/>
      <c r="Q31" s="477"/>
      <c r="R31" s="477"/>
      <c r="S31" s="477"/>
      <c r="T31" s="477"/>
      <c r="U31" s="479"/>
      <c r="V31" s="477"/>
      <c r="W31" s="27"/>
    </row>
    <row r="32" spans="1:23" s="34" customFormat="1" ht="12" customHeight="1" thickBot="1">
      <c r="A32" s="700"/>
      <c r="B32" s="701"/>
      <c r="C32" s="701"/>
      <c r="D32" s="701"/>
      <c r="E32" s="701"/>
      <c r="F32" s="701"/>
      <c r="G32" s="701"/>
      <c r="H32" s="702"/>
      <c r="I32" s="33"/>
      <c r="J32" s="565"/>
      <c r="K32" s="167"/>
      <c r="L32" s="163"/>
      <c r="M32" s="156"/>
      <c r="N32" s="156"/>
      <c r="O32" s="156"/>
      <c r="P32" s="156"/>
      <c r="Q32" s="156"/>
      <c r="R32" s="156"/>
      <c r="S32" s="156"/>
      <c r="T32" s="156"/>
      <c r="U32" s="163"/>
      <c r="V32" s="477"/>
      <c r="W32" s="27"/>
    </row>
    <row r="33" spans="1:23" s="34" customFormat="1" ht="24.75" customHeight="1">
      <c r="A33" s="305">
        <f>IF(OR(D26&lt;&gt;"Yes",D26=0,K26&lt;&gt;"Yes"),,'Components and Space Standards'!A3)</f>
        <v>0</v>
      </c>
      <c r="B33" s="306"/>
      <c r="C33" s="307"/>
      <c r="D33" s="47"/>
      <c r="E33" s="67" t="s">
        <v>218</v>
      </c>
      <c r="F33" s="25"/>
      <c r="G33" s="401" t="s">
        <v>17</v>
      </c>
      <c r="H33" s="402" t="s">
        <v>18</v>
      </c>
      <c r="I33" s="33"/>
      <c r="J33" s="565"/>
      <c r="K33" s="168">
        <v>0.0929</v>
      </c>
      <c r="L33" s="163"/>
      <c r="M33" s="502"/>
      <c r="N33" s="502"/>
      <c r="O33" s="502"/>
      <c r="P33" s="502"/>
      <c r="Q33" s="502"/>
      <c r="R33" s="502"/>
      <c r="S33" s="502"/>
      <c r="T33" s="502"/>
      <c r="U33" s="502"/>
      <c r="V33" s="477"/>
      <c r="W33" s="442"/>
    </row>
    <row r="34" spans="1:23" s="34" customFormat="1" ht="24.75" customHeight="1">
      <c r="A34" s="54">
        <f>IF(OR($D$26&lt;&gt;"Yes",$D$26=0,$K$26&lt;&gt;"Yes"),,'Components and Space Standards'!A4)</f>
        <v>0</v>
      </c>
      <c r="B34" s="268"/>
      <c r="C34" s="53"/>
      <c r="D34" s="47"/>
      <c r="E34" s="43"/>
      <c r="F34" s="25"/>
      <c r="G34" s="136"/>
      <c r="H34" s="137"/>
      <c r="I34" s="33"/>
      <c r="J34" s="565"/>
      <c r="K34" s="175"/>
      <c r="L34" s="163"/>
      <c r="M34" s="508" t="s">
        <v>203</v>
      </c>
      <c r="N34" s="509" t="s">
        <v>202</v>
      </c>
      <c r="O34" s="515" t="s">
        <v>203</v>
      </c>
      <c r="P34" s="516" t="s">
        <v>202</v>
      </c>
      <c r="Q34" s="262" t="s">
        <v>203</v>
      </c>
      <c r="R34" s="261" t="s">
        <v>202</v>
      </c>
      <c r="S34" s="518" t="s">
        <v>203</v>
      </c>
      <c r="T34" s="519" t="s">
        <v>202</v>
      </c>
      <c r="U34" s="261" t="s">
        <v>239</v>
      </c>
      <c r="V34" s="477"/>
      <c r="W34" s="442"/>
    </row>
    <row r="35" spans="1:23" s="34" customFormat="1" ht="15" customHeight="1">
      <c r="A35" s="246">
        <f>IF(OR($D$26&lt;&gt;"Yes",$D$26=0,$K$26&lt;&gt;"Yes"),,'Components and Space Standards'!A5)</f>
        <v>0</v>
      </c>
      <c r="B35" s="178"/>
      <c r="C35" s="247"/>
      <c r="D35" s="135"/>
      <c r="E35" s="252">
        <f>IF(OR($D$26&lt;&gt;"Yes",$D$26=0,$K$26&lt;&gt;"Yes"),,IF($D$5=$K$5,M35&amp;" "&amp;'Components and Space Standards'!D5&amp;".",IF($D$5=$K$6,O35&amp;" "&amp;'Components and Space Standards'!D5&amp;".",IF($D$5=$K$7,Q35&amp;" "&amp;'Components and Space Standards'!D5&amp;".",IF($D$5=$K$8,S35&amp;" "&amp;'Components and Space Standards'!D5&amp;".",)))))</f>
        <v>0</v>
      </c>
      <c r="F35" s="25"/>
      <c r="G35" s="250">
        <f>ROUND(H35*$K$33,2)</f>
        <v>0</v>
      </c>
      <c r="H35" s="45">
        <f>IF(OR($D$26&lt;&gt;"Yes",$D$26=0,$K$26&lt;&gt;"Yes"),,IF($D$5=$K$5,N35,IF($D$5=$K$6,P35,IF($D$5=$K$7,R35,IF($D$5=$K$8,T35,)))))</f>
        <v>0</v>
      </c>
      <c r="I35" s="33"/>
      <c r="J35" s="565"/>
      <c r="K35" s="172" t="str">
        <f>IF(H43=0,"Requires gym","Yes")</f>
        <v>Requires gym</v>
      </c>
      <c r="L35" s="163"/>
      <c r="M35" s="510" t="e">
        <f>IF($D35&lt;&gt;0,$D35,IF($D$21=$M$9,Army!$F5,IF($D$21=$M$10,Army!$I5,IF($D$21='Interactive Worksheet'!$M$11,Army!$L5,IF($D$21='Interactive Worksheet'!$M$12,Army!$O5,IF($D$21='Interactive Worksheet'!$M$13,IF($M$17=0,Army!$R5,($M$17*Army!U5)+Army!R5)))))))</f>
        <v>#N/A</v>
      </c>
      <c r="N35" s="510" t="e">
        <f>IF($D35&lt;&gt;0,$D35*'Components and Space Standards'!$C5,IF($D$21=$M$9,Army!$H5,IF($D$21=$M$10,Army!$K5,IF($D$21='Interactive Worksheet'!$M$11,Army!$N5,IF($D$21='Interactive Worksheet'!$M$12,Army!$Q5,IF($D$21='Interactive Worksheet'!$M$13,IF($M$17=0,Army!$T5,($M$17*Army!W5)+Army!T5)))))))</f>
        <v>#N/A</v>
      </c>
      <c r="O35" s="517" t="e">
        <f>IF($D$35&lt;&gt;0,$D$35,IF($D$21=$M$9,Navy!F5,IF($D$21=$M$10,Navy!I5,IF($D$21='Interactive Worksheet'!$M$11,Navy!L5,IF($D$21='Interactive Worksheet'!$M$12,Navy!O5,IF($D$21='Interactive Worksheet'!$M$13,Navy!R5,IF($O$18&gt;0,Navy!U5,)))))))</f>
        <v>#N/A</v>
      </c>
      <c r="P35" s="517" t="e">
        <f>IF($D$35&lt;&gt;0,$D$35*'Components and Space Standards'!C5,IF($D$21=$M$9,Navy!H5,IF($D$21=$M$10,Navy!K5,IF($D$21='Interactive Worksheet'!$M$11,Navy!N5,IF($D$21='Interactive Worksheet'!$M$12,Navy!Q5,IF($D$21='Interactive Worksheet'!$M$13,Navy!T5,IF($O$18&gt;0,Navy!W5,)))))))</f>
        <v>#N/A</v>
      </c>
      <c r="Q35" s="170" t="e">
        <f>IF(D35&lt;&gt;0,D35,IF($D$21=$M$10,'AF'!F5,IF($D$21=$M$11,'AF'!I5,IF($D$21='Interactive Worksheet'!$M$12,'AF'!L5,))))</f>
        <v>#N/A</v>
      </c>
      <c r="R35" s="170" t="e">
        <f>IF(D35&lt;&gt;0,D35*'Components and Space Standards'!C5,IF($D$21=$M$10,'AF'!H5,IF($D$21=$M$11,'AF'!K5,IF($D$21='Interactive Worksheet'!$M$12,'AF'!N5,))))</f>
        <v>#N/A</v>
      </c>
      <c r="S35" s="520" t="e">
        <f>IF($D35&lt;&gt;0,$D35,IF($D$21=$M$9,MC!F5,IF($D$21=$M$10,MC!I5,IF($D$21='Interactive Worksheet'!$M$11,MC!L5,IF($D$21='Interactive Worksheet'!$M$12,MC!O5,IF($D$21='Interactive Worksheet'!$M$13,MC!R5,))))))</f>
        <v>#N/A</v>
      </c>
      <c r="T35" s="520" t="e">
        <f>IF($D35&lt;&gt;0,$D35*'Components and Space Standards'!C5,IF($D$21=$M$9,MC!H5,IF($D$21=$M$10,MC!K5,IF($D$21='Interactive Worksheet'!$M$11,MC!N5,IF($D$21='Interactive Worksheet'!$M$12,MC!Q5,IF($D$21='Interactive Worksheet'!$M$13,MC!T5,))))))</f>
        <v>#N/A</v>
      </c>
      <c r="U35" s="514"/>
      <c r="V35" s="477"/>
      <c r="W35" s="442"/>
    </row>
    <row r="36" spans="1:23" s="34" customFormat="1" ht="15" customHeight="1">
      <c r="A36" s="246">
        <f>IF(OR($D$26&lt;&gt;"Yes",$D$26=0,$K$26&lt;&gt;"Yes"),,'Components and Space Standards'!A6)</f>
        <v>0</v>
      </c>
      <c r="B36" s="178"/>
      <c r="C36" s="248"/>
      <c r="D36" s="135"/>
      <c r="E36" s="252">
        <f>IF(OR($D$26&lt;&gt;"Yes",$D$26=0,$K$26&lt;&gt;"Yes"),,IF($D$5=$K$5,M36&amp;" "&amp;'Components and Space Standards'!D6&amp;".",IF($D$5=$K$6,O36&amp;" "&amp;'Components and Space Standards'!D6&amp;".",IF($D$5=$K$7,Q36&amp;" "&amp;'Components and Space Standards'!D6&amp;".",IF($D$5=$K$8,S36&amp;" "&amp;'Components and Space Standards'!D6&amp;".",)))))</f>
        <v>0</v>
      </c>
      <c r="F36" s="25"/>
      <c r="G36" s="250">
        <f aca="true" t="shared" si="2" ref="G36:G41">ROUND(H36*$K$33,2)</f>
        <v>0</v>
      </c>
      <c r="H36" s="45">
        <f aca="true" t="shared" si="3" ref="H36:H41">IF(OR($D$26&lt;&gt;"Yes",$D$26=0,$K$26&lt;&gt;"Yes"),,IF($D$5=$K$5,N36,IF($D$5=$K$6,P36,IF($D$5=$K$7,R36,IF($D$5=$K$8,T36,)))))</f>
        <v>0</v>
      </c>
      <c r="I36" s="33"/>
      <c r="J36" s="565"/>
      <c r="K36" s="172" t="s">
        <v>11</v>
      </c>
      <c r="L36" s="163"/>
      <c r="M36" s="510" t="e">
        <f>IF($D36&lt;&gt;0,$D36,IF($D$21=$M$9,Army!$F6,IF($D$21=$M$10,Army!$I6,IF($D$21='Interactive Worksheet'!$M$11,Army!$L6,IF($D$21='Interactive Worksheet'!$M$12,Army!$O6,IF($D$21='Interactive Worksheet'!$M$13,IF($M$17=0,Army!$R6,($M$17*Army!U6)+Army!R6)))))))</f>
        <v>#N/A</v>
      </c>
      <c r="N36" s="510" t="e">
        <f>IF($D36&lt;&gt;0,$D36*'Components and Space Standards'!$C6,IF($D$21=$M$9,Army!$H6,IF($D$21=$M$10,Army!$K6,IF($D$21='Interactive Worksheet'!$M$11,Army!$N6,IF($D$21='Interactive Worksheet'!$M$12,Army!$Q6,IF($D$21='Interactive Worksheet'!$M$13,IF($M$17=0,Army!$T6,($M$17*Army!W6)+Army!T6)))))))</f>
        <v>#N/A</v>
      </c>
      <c r="O36" s="517" t="e">
        <f>IF($D$35&lt;&gt;0,$D$35,IF($D$21=$M$9,Navy!F6,IF($D$21=$M$10,Navy!I6,IF($D$21='Interactive Worksheet'!$M$11,Navy!L6,IF($D$21='Interactive Worksheet'!$M$12,Navy!O6,IF($D$21='Interactive Worksheet'!$M$13,Navy!R6,IF($O$18&gt;0,Navy!U6,)))))))</f>
        <v>#N/A</v>
      </c>
      <c r="P36" s="517" t="e">
        <f>IF($D$35&lt;&gt;0,$D$35*'Components and Space Standards'!C6,IF($D$21=$M$9,Navy!H6,IF($D$21=$M$10,Navy!K6,IF($D$21='Interactive Worksheet'!$M$11,Navy!N6,IF($D$21='Interactive Worksheet'!$M$12,Navy!Q6,IF($D$21='Interactive Worksheet'!$M$13,Navy!T6,IF($O$18&gt;0,Navy!W6,)))))))</f>
        <v>#N/A</v>
      </c>
      <c r="Q36" s="170" t="e">
        <f>IF(D36&lt;&gt;0,D36,IF($D$21=$M$10,'AF'!F6,IF($D$21=$M$11,'AF'!I6,IF($D$21='Interactive Worksheet'!$M$12,'AF'!L6,))))</f>
        <v>#N/A</v>
      </c>
      <c r="R36" s="170" t="e">
        <f>IF(D36&lt;&gt;0,D36*'Components and Space Standards'!C6,IF($D$21=$M$10,'AF'!H6,IF($D$21=$M$11,'AF'!K6,IF($D$21='Interactive Worksheet'!$M$12,'AF'!N6,))))</f>
        <v>#N/A</v>
      </c>
      <c r="S36" s="520" t="e">
        <f>IF($D36&lt;&gt;0,$D36,IF($D$21=$M$9,MC!F6,IF($D$21=$M$10,MC!I6,IF($D$21='Interactive Worksheet'!$M$11,MC!L6,IF($D$21='Interactive Worksheet'!$M$12,MC!O6,IF($D$21='Interactive Worksheet'!$M$13,MC!R6,))))))</f>
        <v>#N/A</v>
      </c>
      <c r="T36" s="520" t="e">
        <f>IF($D36&lt;&gt;0,$D36*'Components and Space Standards'!C6,IF($D$21=$M$9,MC!H6,IF($D$21=$M$10,MC!K6,IF($D$21='Interactive Worksheet'!$M$11,MC!N6,IF($D$21='Interactive Worksheet'!$M$12,MC!Q6,IF($D$21='Interactive Worksheet'!$M$13,MC!T6,))))))</f>
        <v>#N/A</v>
      </c>
      <c r="U36" s="512">
        <v>2</v>
      </c>
      <c r="V36" s="477"/>
      <c r="W36" s="442"/>
    </row>
    <row r="37" spans="1:23" s="34" customFormat="1" ht="15" customHeight="1">
      <c r="A37" s="246">
        <f>IF(OR($D$26&lt;&gt;"Yes",$D$26=0,$K$26&lt;&gt;"Yes"),,'Components and Space Standards'!A7)</f>
        <v>0</v>
      </c>
      <c r="B37" s="178"/>
      <c r="C37" s="248"/>
      <c r="D37" s="135"/>
      <c r="E37" s="252">
        <f>IF(OR($D$26&lt;&gt;"Yes",$D$26=0,$K$26&lt;&gt;"Yes"),,IF($D$5=$K$5,M37&amp;" "&amp;'Components and Space Standards'!D7&amp;".",IF($D$5=$K$6,O37&amp;" "&amp;'Components and Space Standards'!D7&amp;".",IF($D$5=$K$7,Q37&amp;" "&amp;'Components and Space Standards'!D7&amp;".",IF($D$5=$K$8,S37&amp;" "&amp;'Components and Space Standards'!D7&amp;".",)))))</f>
        <v>0</v>
      </c>
      <c r="F37" s="86"/>
      <c r="G37" s="250">
        <f t="shared" si="2"/>
        <v>0</v>
      </c>
      <c r="H37" s="45">
        <f t="shared" si="3"/>
        <v>0</v>
      </c>
      <c r="I37" s="33"/>
      <c r="J37" s="565"/>
      <c r="K37" s="562"/>
      <c r="L37" s="163"/>
      <c r="M37" s="510" t="e">
        <f>IF($D37&lt;&gt;0,$D37,IF($D$21=$M$9,Army!$F7,IF($D$21=$M$10,Army!$I7,IF($D$21='Interactive Worksheet'!$M$11,Army!$L7,IF($D$21='Interactive Worksheet'!$M$12,Army!$O7,IF($D$21='Interactive Worksheet'!$M$13,IF($M$17=0,Army!$R7,($M$17*Army!U7)+Army!R7)))))))</f>
        <v>#N/A</v>
      </c>
      <c r="N37" s="510" t="e">
        <f>IF($D37&lt;&gt;0,$D37*'Components and Space Standards'!$C7,IF($D$21=$M$9,Army!$H7,IF($D$21=$M$10,Army!$K7,IF($D$21='Interactive Worksheet'!$M$11,Army!$N7,IF($D$21='Interactive Worksheet'!$M$12,Army!$Q7,IF($D$21='Interactive Worksheet'!$M$13,IF($M$17=0,Army!$T7,($M$17*Army!W7)+Army!T7)))))))</f>
        <v>#N/A</v>
      </c>
      <c r="O37" s="517" t="e">
        <f>IF($D$35&lt;&gt;0,$D$35,IF($D$21=$M$9,Navy!F7,IF($D$21=$M$10,Navy!I7,IF($D$21='Interactive Worksheet'!$M$11,Navy!L7,IF($D$21='Interactive Worksheet'!$M$12,Navy!O7,IF($D$21='Interactive Worksheet'!$M$13,Navy!R7,IF($O$18&gt;0,Navy!U7,)))))))</f>
        <v>#N/A</v>
      </c>
      <c r="P37" s="517" t="e">
        <f>IF($D$35&lt;&gt;0,$D$35*'Components and Space Standards'!C7,IF($D$21=$M$9,Navy!H7,IF($D$21=$M$10,Navy!K7,IF($D$21='Interactive Worksheet'!$M$11,Navy!N7,IF($D$21='Interactive Worksheet'!$M$12,Navy!Q7,IF($D$21='Interactive Worksheet'!$M$13,Navy!T7,IF($O$18&gt;0,Navy!W7,)))))))</f>
        <v>#N/A</v>
      </c>
      <c r="Q37" s="170" t="e">
        <f>IF(D37&lt;&gt;0,D37,IF($D$21=$M$10,'AF'!F7,IF($D$21=$M$11,'AF'!I7,IF($D$21='Interactive Worksheet'!$M$12,'AF'!L7,))))</f>
        <v>#N/A</v>
      </c>
      <c r="R37" s="170" t="e">
        <f>IF(D37&lt;&gt;0,D37*'Components and Space Standards'!C7,IF($D$21=$M$10,'AF'!H7,IF($D$21=$M$11,'AF'!K7,IF($D$21='Interactive Worksheet'!$M$12,'AF'!N7,))))</f>
        <v>#N/A</v>
      </c>
      <c r="S37" s="520" t="e">
        <f>IF($D37&lt;&gt;0,$D37,IF($D$21=$M$9,MC!F7,IF($D$21=$M$10,MC!I7,IF($D$21='Interactive Worksheet'!$M$11,MC!L7,IF($D$21='Interactive Worksheet'!$M$12,MC!O7,IF($D$21='Interactive Worksheet'!$M$13,MC!R7,))))))</f>
        <v>#N/A</v>
      </c>
      <c r="T37" s="520" t="e">
        <f>IF($D37&lt;&gt;0,$D37*'Components and Space Standards'!C7,IF($D$21=$M$9,MC!H7,IF($D$21=$M$10,MC!K7,IF($D$21='Interactive Worksheet'!$M$11,MC!N7,IF($D$21='Interactive Worksheet'!$M$12,MC!Q7,IF($D$21='Interactive Worksheet'!$M$13,MC!T7,))))))</f>
        <v>#N/A</v>
      </c>
      <c r="U37" s="160"/>
      <c r="V37" s="477"/>
      <c r="W37" s="442"/>
    </row>
    <row r="38" spans="1:23" s="34" customFormat="1" ht="15" customHeight="1">
      <c r="A38" s="246">
        <f>IF(OR($D$26&lt;&gt;"Yes",$D$26=0,$K$26&lt;&gt;"Yes"),,'Components and Space Standards'!A8)</f>
        <v>0</v>
      </c>
      <c r="B38" s="178"/>
      <c r="C38" s="252"/>
      <c r="D38" s="554"/>
      <c r="E38" s="252">
        <f>IF(OR($D$26&lt;&gt;"Yes",$D$26=0,$K$26&lt;&gt;"Yes"),,IF($D$5=$K$5,M38&amp;" "&amp;'Components and Space Standards'!D8&amp;".",IF($D$5=$K$6,O38&amp;" "&amp;'Components and Space Standards'!D8&amp;".",IF($D$5=$K$7,Q38&amp;" "&amp;'Components and Space Standards'!D8&amp;".",IF($D$5=$K$8,S38&amp;" "&amp;'Components and Space Standards'!D8&amp;".",)))))</f>
        <v>0</v>
      </c>
      <c r="F38" s="25"/>
      <c r="G38" s="250">
        <f t="shared" si="2"/>
        <v>0</v>
      </c>
      <c r="H38" s="45">
        <f t="shared" si="3"/>
        <v>0</v>
      </c>
      <c r="I38" s="33"/>
      <c r="J38" s="565"/>
      <c r="K38" s="563" t="str">
        <f>"1 unisex"</f>
        <v>1 unisex</v>
      </c>
      <c r="L38" s="163"/>
      <c r="M38" s="510" t="e">
        <f>IF($D38&lt;&gt;0,$D38,IF($D$21=$M$9,Army!$F8,IF($D$21=$M$10,Army!$I8,IF($D$21='Interactive Worksheet'!$M$11,Army!$L8,IF($D$21='Interactive Worksheet'!$M$12,Army!$O8,IF($D$21='Interactive Worksheet'!$M$13,IF($M$17=0,Army!$R8,($M$17*Army!U8)+Army!R8)))))))</f>
        <v>#N/A</v>
      </c>
      <c r="N38" s="510" t="e">
        <f>IF($D38&lt;&gt;0,$D38*'Components and Space Standards'!$C8,IF($D$21=$M$9,Army!$H8,IF($D$21=$M$10,Army!$K8,IF($D$21='Interactive Worksheet'!$M$11,Army!$N8,IF($D$21='Interactive Worksheet'!$M$12,Army!$Q8,IF($D$21='Interactive Worksheet'!$M$13,IF($M$17=0,Army!$T8,($M$17*Army!W8)+Army!T8)))))))</f>
        <v>#N/A</v>
      </c>
      <c r="O38" s="517" t="e">
        <f>IF($D$35&lt;&gt;0,$D$35,IF($D$21=$M$9,Navy!F8,IF($D$21=$M$10,Navy!I8,IF($D$21='Interactive Worksheet'!$M$11,Navy!L8,IF($D$21='Interactive Worksheet'!$M$12,Navy!O8,IF($D$21='Interactive Worksheet'!$M$13,Navy!R8,IF($O$18&gt;0,Navy!U8,)))))))</f>
        <v>#N/A</v>
      </c>
      <c r="P38" s="517" t="e">
        <f>IF($D$35&lt;&gt;0,$D$35*'Components and Space Standards'!C8,IF($D$21=$M$9,Navy!H8,IF($D$21=$M$10,Navy!K8,IF($D$21='Interactive Worksheet'!$M$11,Navy!N8,IF($D$21='Interactive Worksheet'!$M$12,Navy!Q8,IF($D$21='Interactive Worksheet'!$M$13,Navy!T8,IF($O$18&gt;0,Navy!W8,)))))))</f>
        <v>#N/A</v>
      </c>
      <c r="Q38" s="170" t="e">
        <f>IF(D38&lt;&gt;0,D38,IF($D$21=$M$10,'AF'!F8,IF($D$21=$M$11,'AF'!I8,IF($D$21='Interactive Worksheet'!$M$12,'AF'!L8,))))</f>
        <v>#N/A</v>
      </c>
      <c r="R38" s="170" t="e">
        <f>IF(D38&lt;&gt;0,D38*'Components and Space Standards'!C8,IF($D$21=$M$10,'AF'!H8,IF($D$21=$M$11,'AF'!K8,IF($D$21='Interactive Worksheet'!$M$12,'AF'!N8,))))</f>
        <v>#N/A</v>
      </c>
      <c r="S38" s="520" t="e">
        <f>IF($D38&lt;&gt;0,$D38,IF($D$21=$M$9,MC!F8,IF($D$21=$M$10,MC!I8,IF($D$21='Interactive Worksheet'!$M$11,MC!L8,IF($D$21='Interactive Worksheet'!$M$12,MC!O8,IF($D$21='Interactive Worksheet'!$M$13,MC!R8,))))))</f>
        <v>#N/A</v>
      </c>
      <c r="T38" s="520" t="e">
        <f>IF($D38&lt;&gt;0,$D38*'Components and Space Standards'!C8,IF($D$21=$M$9,MC!H8,IF($D$21=$M$10,MC!K8,IF($D$21='Interactive Worksheet'!$M$11,MC!N8,IF($D$21='Interactive Worksheet'!$M$12,MC!Q8,IF($D$21='Interactive Worksheet'!$M$13,MC!T8,))))))</f>
        <v>#N/A</v>
      </c>
      <c r="U38" s="160"/>
      <c r="V38" s="477"/>
      <c r="W38" s="442"/>
    </row>
    <row r="39" spans="1:23" s="34" customFormat="1" ht="15" customHeight="1">
      <c r="A39" s="246">
        <f>IF(OR($D$26&lt;&gt;"Yes",$D$26=0,$K$26&lt;&gt;"Yes"),,'Components and Space Standards'!A9)</f>
        <v>0</v>
      </c>
      <c r="B39" s="178"/>
      <c r="C39" s="249"/>
      <c r="D39" s="47"/>
      <c r="E39" s="252">
        <f>IF(OR($D$26&lt;&gt;"Yes",$D$26=0,$K$26&lt;&gt;"Yes"),,IF($D$5=$K$5,M39&amp;" "&amp;'Components and Space Standards'!D9&amp;".",IF($D$5=$K$6,O39&amp;" "&amp;'Components and Space Standards'!D9&amp;".",IF($D$5=$K$7,Q39&amp;" "&amp;'Components and Space Standards'!D9&amp;".",IF($D$5=$K$8,S39&amp;" "&amp;'Components and Space Standards'!D9&amp;".",)))))</f>
        <v>0</v>
      </c>
      <c r="F39" s="138"/>
      <c r="G39" s="250">
        <f t="shared" si="2"/>
        <v>0</v>
      </c>
      <c r="H39" s="45">
        <f>IF(OR($D$26&lt;&gt;"Yes",$D$26=0,$K$26&lt;&gt;"Yes"),,IF($D$5=$K$5,N39,IF($D$5=$K$6,P39,IF($D$5=$K$7,R39,IF($D$5=$K$8,T39,)))))</f>
        <v>0</v>
      </c>
      <c r="I39" s="33"/>
      <c r="J39" s="565"/>
      <c r="K39" s="283">
        <f>IF(OR((K50+L50)&gt;200,(AND(D5=K5,N17&gt;15000))),"1 male/ 1 female",0)</f>
        <v>0</v>
      </c>
      <c r="L39" s="163"/>
      <c r="M39" s="510" t="e">
        <f>IF($D39&lt;&gt;0,$D39,IF($D$21=$M$9,Army!$F9,IF($D$21=$M$10,Army!$I9,IF($D$21='Interactive Worksheet'!$M$11,Army!$L9,IF($D$21='Interactive Worksheet'!$M$12,Army!$O9,IF($D$21='Interactive Worksheet'!$M$13,IF($M$17=0,Army!$R9,($M$17*Army!U9)+Army!R9)))))))</f>
        <v>#N/A</v>
      </c>
      <c r="N39" s="510" t="e">
        <f>IF($D39&lt;&gt;0,$D39*'Components and Space Standards'!$C9,IF($D$21=$M$9,Army!$H9,IF($D$21=$M$10,Army!$K9,IF($D$21='Interactive Worksheet'!$M$11,Army!$N9,IF($D$21='Interactive Worksheet'!$M$12,Army!$Q9,IF($D$21='Interactive Worksheet'!$M$13,IF($M$17=0,Army!$T9,($M$17*Army!W9)+Army!T9)))))))</f>
        <v>#N/A</v>
      </c>
      <c r="O39" s="517" t="e">
        <f>IF($D$35&lt;&gt;0,$D$35,IF($D$21=$M$9,Navy!F9,IF($D$21=$M$10,Navy!I9,IF($D$21='Interactive Worksheet'!$M$11,Navy!L9,IF($D$21='Interactive Worksheet'!$M$12,Navy!O9,IF($D$21='Interactive Worksheet'!$M$13,Navy!R9,IF($O$18&gt;0,Navy!U9,)))))))</f>
        <v>#N/A</v>
      </c>
      <c r="P39" s="517" t="e">
        <f>IF($D$35&lt;&gt;0,$D$35*'Components and Space Standards'!C9,IF($D$21=$M$9,Navy!H9,IF($D$21=$M$10,Navy!K9,IF($D$21='Interactive Worksheet'!$M$11,Navy!N9,IF($D$21='Interactive Worksheet'!$M$12,Navy!Q9,IF($D$21='Interactive Worksheet'!$M$13,Navy!T9,IF($O$18&gt;0,Navy!W9,)))))))</f>
        <v>#N/A</v>
      </c>
      <c r="Q39" s="170" t="e">
        <f>IF(D39&lt;&gt;0,D39,IF($D$21=$M$10,'AF'!F9,IF($D$21=$M$11,'AF'!I9,IF($D$21='Interactive Worksheet'!$M$12,'AF'!L9,))))</f>
        <v>#N/A</v>
      </c>
      <c r="R39" s="170" t="e">
        <f>IF(D39&lt;&gt;0,D39*'Components and Space Standards'!C9,IF($D$21=$M$10,'AF'!H9,IF($D$21=$M$11,'AF'!K9,IF($D$21='Interactive Worksheet'!$M$12,'AF'!N9,))))</f>
        <v>#N/A</v>
      </c>
      <c r="S39" s="520" t="e">
        <f>IF($D39&lt;&gt;0,$D39,IF($D$21=$M$9,MC!F9,IF($D$21=$M$10,MC!I9,IF($D$21='Interactive Worksheet'!$M$11,MC!L9,IF($D$21='Interactive Worksheet'!$M$12,MC!O9,IF($D$21='Interactive Worksheet'!$M$13,MC!R9,))))))</f>
        <v>#N/A</v>
      </c>
      <c r="T39" s="520" t="e">
        <f>IF($D39&lt;&gt;0,$D39*'Components and Space Standards'!C9,IF($D$21=$M$9,MC!H9,IF($D$21=$M$10,MC!K9,IF($D$21='Interactive Worksheet'!$M$11,MC!N9,IF($D$21='Interactive Worksheet'!$M$12,MC!Q9,IF($D$21='Interactive Worksheet'!$M$13,MC!T9,))))))</f>
        <v>#N/A</v>
      </c>
      <c r="U39" s="160"/>
      <c r="V39" s="477"/>
      <c r="W39" s="443"/>
    </row>
    <row r="40" spans="1:23" s="34" customFormat="1" ht="15" customHeight="1">
      <c r="A40" s="246">
        <f>IF(OR($D$26&lt;&gt;"Yes",$D$26=0,$K$26&lt;&gt;"Yes"),,'Components and Space Standards'!A10)</f>
        <v>0</v>
      </c>
      <c r="B40" s="178"/>
      <c r="C40" s="252">
        <f>IF(OR($D$26&lt;&gt;"Yes",$D$26=0,$K$26&lt;&gt;"Yes"),,"For this option, select yes or no:")</f>
        <v>0</v>
      </c>
      <c r="D40" s="278"/>
      <c r="E40" s="252">
        <f>IF(OR($D$26&lt;&gt;"Yes",$D$26=0,$K$26&lt;&gt;"Yes"),,IF($D$5=$K$5,M40&amp;" "&amp;'Components and Space Standards'!D10&amp;".",IF($D$5=$K$6,O40&amp;" "&amp;'Components and Space Standards'!D10&amp;".",IF($D$5=$K$7,Q40&amp;" "&amp;'Components and Space Standards'!D10&amp;".",IF($D$5=$K$8,S40&amp;" "&amp;'Components and Space Standards'!D10&amp;".",)))))</f>
        <v>0</v>
      </c>
      <c r="F40" s="25"/>
      <c r="G40" s="250">
        <f t="shared" si="2"/>
        <v>0</v>
      </c>
      <c r="H40" s="45">
        <f>IF(OR($D$26&lt;&gt;"Yes",$D$26=0,$K$26&lt;&gt;"Yes"),,IF($D$5=$K$5,N40,IF($D$5=$K$6,P40,IF($D$5=$K$7,R40,IF($D$5=$K$8,T40,)))))</f>
        <v>0</v>
      </c>
      <c r="I40" s="33"/>
      <c r="J40" s="566">
        <f>IF(D40&lt;&gt;0,"D",)</f>
        <v>0</v>
      </c>
      <c r="K40" s="283">
        <f>IF(OR((K50+L50)&gt;400,(AND(D5=K5,N17&gt;15000))),"2 male/ 3 female",0)</f>
        <v>0</v>
      </c>
      <c r="L40" s="163"/>
      <c r="M40" s="281">
        <f>IF($D$40=$K$35,($K$50+$L$50)/200,0)</f>
        <v>0</v>
      </c>
      <c r="N40" s="281">
        <f>IF($D$40=$K$35,M$40*'Components and Space Standards'!$C$10,0)</f>
        <v>0</v>
      </c>
      <c r="O40" s="281">
        <f>IF($D$40=$K$35,($K$50+$L$50)/200,0)</f>
        <v>0</v>
      </c>
      <c r="P40" s="281">
        <f>IF($D$40=$K$35,O$40*'Components and Space Standards'!$C$10,0)</f>
        <v>0</v>
      </c>
      <c r="Q40" s="281">
        <f>IF($D$40=$K$35,($K$50+$L$50)/200,0)</f>
        <v>0</v>
      </c>
      <c r="R40" s="281">
        <f>IF($D$40=$K$35,Q$40*'Components and Space Standards'!$C$10,0)</f>
        <v>0</v>
      </c>
      <c r="S40" s="281">
        <f>IF($D$40=$K$35,($K$50+$L$50)/200,0)</f>
        <v>0</v>
      </c>
      <c r="T40" s="281">
        <f>IF($D$40=$K$35,S$40*'Components and Space Standards'!$C$10,0)</f>
        <v>0</v>
      </c>
      <c r="U40" s="160"/>
      <c r="V40" s="477"/>
      <c r="W40" s="581" t="s">
        <v>348</v>
      </c>
    </row>
    <row r="41" spans="1:23" s="34" customFormat="1" ht="15" customHeight="1" thickBot="1">
      <c r="A41" s="246">
        <f>IF(OR($D$26&lt;&gt;"Yes",$D$26=0,$K$26&lt;&gt;"Yes"),,'Components and Space Standards'!A11)</f>
        <v>0</v>
      </c>
      <c r="B41" s="178"/>
      <c r="C41" s="252">
        <f>IF(OR($D$26&lt;&gt;"Yes",$D$26=0,$K$26&lt;&gt;"Yes"),,"For this option, select size of restroom:")</f>
        <v>0</v>
      </c>
      <c r="D41" s="570"/>
      <c r="E41" s="252">
        <f>IF(OR($D$26&lt;&gt;"Yes",$D$26=0,$K$26&lt;&gt;"Yes"),,IF($D$5=$K$5,M41&amp;" "&amp;'Components and Space Standards'!D11&amp;".",IF($D$5=$K$6,O41&amp;" "&amp;'Components and Space Standards'!D11&amp;".",IF($D$5=$K$7,Q41&amp;" "&amp;'Components and Space Standards'!D11&amp;".",IF($D$5=$K$8,S41&amp;" "&amp;'Components and Space Standards'!D11&amp;".",)))))</f>
        <v>0</v>
      </c>
      <c r="F41" s="25"/>
      <c r="G41" s="250">
        <f t="shared" si="2"/>
        <v>0</v>
      </c>
      <c r="H41" s="45">
        <f t="shared" si="3"/>
        <v>0</v>
      </c>
      <c r="I41" s="33"/>
      <c r="J41" s="566">
        <f>IF(D41&lt;&gt;0,"D",)</f>
        <v>0</v>
      </c>
      <c r="K41" s="283">
        <f>IF(OR((K50+L50)&gt;600,(AND(D5=K5,N17&gt;15000))),"4 male/ 6 female",0)</f>
        <v>0</v>
      </c>
      <c r="L41" s="163"/>
      <c r="M41" s="561">
        <f>$D$41</f>
        <v>0</v>
      </c>
      <c r="N41" s="561">
        <f>IF($D$41=0,0,IF($D$41=$K$38,48,IF($D$41=$K$39,(48+48),IF($D$41=$K$40,((45*2)+(45*3)),IF($D$41=$K$41,((45*4)+(45*6)),0)))))</f>
        <v>0</v>
      </c>
      <c r="O41" s="561">
        <f>$D$41</f>
        <v>0</v>
      </c>
      <c r="P41" s="561">
        <f>IF($D$41=0,0,IF($D$41=$K$38,48,IF($D$41=$K$39,(48+48),IF($D$41=$K$40,((45*2)+(45*3)),IF($D$41=$K$41,((45*4)+(45*6)),0)))))</f>
        <v>0</v>
      </c>
      <c r="Q41" s="561">
        <f>$D$41</f>
        <v>0</v>
      </c>
      <c r="R41" s="561">
        <f>IF($D$41=0,0,IF($D$41=$K$38,48,IF($D$41=$K$39,(48+48),IF($D$41=$K$40,((45*2)+(45*3)),IF($D$41=$K$41,((45*4)+(45*6)),0)))))</f>
        <v>0</v>
      </c>
      <c r="S41" s="561">
        <f>$D$41</f>
        <v>0</v>
      </c>
      <c r="T41" s="561">
        <f>IF($D$41=0,0,IF($D$41=$K$38,48,IF($D$41=$K$39,(48+48),IF($D$41=$K$40,((45*2)+(45*3)),IF($D$41=$K$41,((45*4)+(45*6)),0)))))</f>
        <v>0</v>
      </c>
      <c r="U41" s="433"/>
      <c r="V41" s="477"/>
      <c r="W41" s="644" t="s">
        <v>349</v>
      </c>
    </row>
    <row r="42" spans="1:23" s="34" customFormat="1" ht="24.75" customHeight="1" thickTop="1">
      <c r="A42" s="251">
        <f>IF(OR($D$26&lt;&gt;"Yes",$D$26=0,$K$26&lt;&gt;"Yes"),,'Components and Space Standards'!A12)</f>
        <v>0</v>
      </c>
      <c r="B42" s="269"/>
      <c r="C42" s="53"/>
      <c r="D42" s="47"/>
      <c r="E42" s="67" t="s">
        <v>218</v>
      </c>
      <c r="F42" s="25"/>
      <c r="G42" s="401" t="s">
        <v>17</v>
      </c>
      <c r="H42" s="402" t="s">
        <v>18</v>
      </c>
      <c r="I42" s="33"/>
      <c r="J42" s="565"/>
      <c r="K42" s="666" t="s">
        <v>337</v>
      </c>
      <c r="L42" s="667"/>
      <c r="M42" s="667"/>
      <c r="N42" s="667"/>
      <c r="O42" s="667"/>
      <c r="P42" s="667"/>
      <c r="Q42" s="667"/>
      <c r="R42" s="667"/>
      <c r="S42" s="667"/>
      <c r="T42" s="667"/>
      <c r="U42" s="574">
        <f>S45*20</f>
        <v>0</v>
      </c>
      <c r="V42" s="477"/>
      <c r="W42" s="643"/>
    </row>
    <row r="43" spans="1:23" s="34" customFormat="1" ht="15" customHeight="1">
      <c r="A43" s="246">
        <f>IF(OR($D$26&lt;&gt;"Yes",$D$26=0,$K$26&lt;&gt;"Yes"),,'Components and Space Standards'!A13)</f>
        <v>0</v>
      </c>
      <c r="B43" s="178"/>
      <c r="C43" s="252">
        <f>IF(OR($D$26&lt;&gt;"Yes",$D$26=0,$K$26&lt;&gt;"Yes"),,"Select size:")</f>
        <v>0</v>
      </c>
      <c r="D43" s="279"/>
      <c r="E43" s="706">
        <f>IF(AND($D$43&lt;&gt;0,D5=K8),$Q$44,IF(AND(D5=K5,N17&gt;15000),"For populations over 30K, use the Army Quantity Questionnaire (see UFC 2-1.1) to determine gym needs on an Installation-wide basis.",IF(H43='Components and Space Standards'!C13,L43,IF(H43='Components and Space Standards'!C14,L48,IF(H43='Components and Space Standards'!C15,L49,IF(H43=('Components and Space Standards'!C13+'Components and Space Standards'!C15),L43&amp;" and "&amp;L49,IF(H43=('Components and Space Standards'!C14+'Components and Space Standards'!C15),L48&amp;" and "&amp;L49,IF(H43=('Components and Space Standards'!C13+'Components and Space Standards'!C14+'Components and Space Standards'!C15),Q45,Q45))))))))</f>
        <v>0</v>
      </c>
      <c r="F43" s="25"/>
      <c r="G43" s="250">
        <f>ROUND(H43*$K$33,2)</f>
        <v>0</v>
      </c>
      <c r="H43" s="45">
        <f>IF(AND(D5=K8,$D$43&lt;&gt;0),$R$44,IF(AND(D5=K5,N17&gt;15000),0,(K43+K48+K49)))</f>
        <v>0</v>
      </c>
      <c r="I43" s="33"/>
      <c r="J43" s="566">
        <f>IF(D43&lt;&gt;0,"D",)</f>
        <v>0</v>
      </c>
      <c r="K43" s="480">
        <f>IF(OR($D$26&lt;&gt;"Yes",$D$26=0,$K$26&lt;&gt;"Yes"),,IF($D$5=$K$5,N43,IF($D$5=$K$6,P43,IF($D$5=$K$7,R43,IF($D$5=$K$8,T43,)))))</f>
        <v>0</v>
      </c>
      <c r="L43" s="481">
        <f>IF(OR($D$26&lt;&gt;"Yes",$D$26=0,$K$26&lt;&gt;"Yes"),,IF($D$5=$K$5,$M43&amp;" "&amp;'Components and Space Standards'!$D13&amp;".",IF($D$5=$K$6,$O43&amp;" "&amp;'Components and Space Standards'!$D13&amp;".",IF($D$5=$K$7,$Q43&amp;" "&amp;'Components and Space Standards'!$D13&amp;".",IF($D$5=$K$8,$S43&amp;" "&amp;'Components and Space Standards'!$D13&amp;".",)))))</f>
        <v>0</v>
      </c>
      <c r="M43" s="281" t="e">
        <f>IF($D$21=$M$9,Army!$F13,IF($D$21=$M$10,Army!$I13,IF($D$21='Interactive Worksheet'!$M$11,Army!$L13,IF($D$21='Interactive Worksheet'!$M$12,Army!$O13,IF($D$21='Interactive Worksheet'!$M$13,Army!$R13,)))))</f>
        <v>#N/A</v>
      </c>
      <c r="N43" s="281" t="e">
        <f>IF($D$21=$M$9,Army!$H13,IF($D$21=$M$10,Army!$K13,IF($D$21='Interactive Worksheet'!$M$11,Army!$N13,IF($D$21='Interactive Worksheet'!$M$12,Army!$Q13,IF($D$21='Interactive Worksheet'!$M$13,Army!$T13,)))))</f>
        <v>#N/A</v>
      </c>
      <c r="O43" s="281" t="e">
        <f>IF($D$21=$M$9,Navy!$F13,IF($D$21=$M$10,Navy!$I13,IF($D$21='Interactive Worksheet'!$M$11,Navy!$L13,IF($D$21='Interactive Worksheet'!$M$12,Navy!$O13,IF($D$21='Interactive Worksheet'!$M$13,Navy!$R13,IF($O$18&gt;0,Navy!U13,))))))</f>
        <v>#N/A</v>
      </c>
      <c r="P43" s="281" t="e">
        <f>IF($D$21=$M$9,Navy!$H13,IF($D$21=$M$10,Navy!$K13,IF($D$21=$M$11,Navy!$N13,IF($D$21=$M$12,Navy!$Q13,IF($D$21=$M$13,Navy!$T13,IF($O$18&gt;0,Navy!W13,))))))</f>
        <v>#N/A</v>
      </c>
      <c r="Q43" s="281" t="e">
        <f>IF(D43&lt;&gt;0,"See E45",IF($D$21=$M$10,'AF'!F13,IF($D$21=$M$11,'AF'!I13,IF($D$21='Interactive Worksheet'!$M$12,'AF'!L13,))))</f>
        <v>#N/A</v>
      </c>
      <c r="R43" s="281" t="e">
        <f>IF($D$43&lt;&gt;0,"See E45",IF($D$21=$M$10,'AF'!H13,IF($D$21=$M$11,'AF'!K13,IF($D$21=$M$12,'AF'!N13,))))</f>
        <v>#N/A</v>
      </c>
      <c r="S43" s="281"/>
      <c r="T43" s="300"/>
      <c r="U43" s="433"/>
      <c r="V43" s="477"/>
      <c r="W43" s="34" t="s">
        <v>347</v>
      </c>
    </row>
    <row r="44" spans="1:22" s="34" customFormat="1" ht="15" customHeight="1">
      <c r="A44" s="704">
        <f>IF(OR($D$26&lt;&gt;"Yes",$D$26=0,$K$26&lt;&gt;"Yes"),,"Select the Basketball/volleyball Court size.  The selected size will be described to the right.")</f>
        <v>0</v>
      </c>
      <c r="B44" s="705"/>
      <c r="C44" s="705"/>
      <c r="D44" s="705"/>
      <c r="E44" s="707"/>
      <c r="F44" s="25"/>
      <c r="G44" s="284"/>
      <c r="H44" s="285"/>
      <c r="I44" s="33"/>
      <c r="J44" s="568"/>
      <c r="K44" s="482" t="s">
        <v>224</v>
      </c>
      <c r="L44" s="294" t="str">
        <f>"1 "&amp;'Components and Space Standards'!D13</f>
        <v>1 One-court/200-seat Module(s)</v>
      </c>
      <c r="M44" s="295"/>
      <c r="N44" s="295"/>
      <c r="O44" s="296"/>
      <c r="P44" s="297">
        <f>'Components and Space Standards'!C13</f>
        <v>8892</v>
      </c>
      <c r="Q44" s="299">
        <f>IF($D$43=K44,L44,IF(D43=K45,L45,IF(D43=K46,L46,IF(D43=K47,L47,))))</f>
        <v>0</v>
      </c>
      <c r="R44" s="299">
        <f>IF($D$43=K44,P44,IF(D43=K45,P45,IF(D43=K46,P46,IF(D43=K47,P47,))))</f>
        <v>0</v>
      </c>
      <c r="S44" s="288"/>
      <c r="T44" s="301"/>
      <c r="U44" s="433"/>
      <c r="V44" s="477"/>
    </row>
    <row r="45" spans="1:23" s="34" customFormat="1" ht="15" customHeight="1">
      <c r="A45" s="704"/>
      <c r="B45" s="705"/>
      <c r="C45" s="705"/>
      <c r="D45" s="705"/>
      <c r="E45" s="707"/>
      <c r="F45" s="25"/>
      <c r="G45" s="71"/>
      <c r="H45" s="49"/>
      <c r="I45" s="33"/>
      <c r="J45" s="568"/>
      <c r="K45" s="483" t="s">
        <v>225</v>
      </c>
      <c r="L45" s="298" t="str">
        <f>"1 "&amp;'Components and Space Standards'!D14</f>
        <v>1 Two-court/200-seat Module(s)</v>
      </c>
      <c r="M45" s="295"/>
      <c r="N45" s="295"/>
      <c r="O45" s="296"/>
      <c r="P45" s="297">
        <f>'Components and Space Standards'!C14</f>
        <v>17556</v>
      </c>
      <c r="Q45" s="281">
        <f>IF(H43=('Components and Space Standards'!C13+'Components and Space Standards'!C14+'Components and Space Standards'!C15),L43&amp;" and "&amp;L48&amp;" and "&amp;L49,IF(H43=('Components and Space Standards'!C13+'Components and Space Standards'!C14),L43&amp;" and "&amp;L48,IF(H43='Components and Space Standards'!C14*2,L48,IF(H43='Components and Space Standards'!C14*3,L48,))))</f>
        <v>0</v>
      </c>
      <c r="R45" s="159"/>
      <c r="S45" s="572">
        <f>IF(H43='Components and Space Standards'!C13,1,IF(H43='Components and Space Standards'!C14,2,IF(H43='Components and Space Standards'!C15,2,IF(H43=('Components and Space Standards'!C13+'Components and Space Standards'!C15),3,IF(H43=('Components and Space Standards'!C14+'Components and Space Standards'!C15),4,IF(H43=('Components and Space Standards'!C13+'Components and Space Standards'!C14+'Components and Space Standards'!C15),T45,T45))))))</f>
        <v>0</v>
      </c>
      <c r="T45" s="573">
        <f>IF(H43=('Components and Space Standards'!C13+'Components and Space Standards'!C14+'Components and Space Standards'!C15),5,IF(H43=('Components and Space Standards'!C13+'Components and Space Standards'!C14),3,IF(H43='Components and Space Standards'!C14*2,4,IF(H43='Components and Space Standards'!C14*3,6,))))</f>
        <v>0</v>
      </c>
      <c r="U45" s="433"/>
      <c r="V45" s="477"/>
      <c r="W45" s="558"/>
    </row>
    <row r="46" spans="1:23" s="34" customFormat="1" ht="15" customHeight="1" hidden="1">
      <c r="A46" s="704"/>
      <c r="B46" s="705"/>
      <c r="C46" s="705"/>
      <c r="D46" s="705"/>
      <c r="E46" s="252"/>
      <c r="F46" s="25"/>
      <c r="G46" s="71"/>
      <c r="H46" s="49"/>
      <c r="I46" s="33"/>
      <c r="J46" s="568"/>
      <c r="K46" s="483" t="s">
        <v>336</v>
      </c>
      <c r="L46" s="298" t="str">
        <f>"1 "&amp;'Components and Space Standards'!D15</f>
        <v>1 Arena-style Two-Court Module(s)</v>
      </c>
      <c r="M46" s="295"/>
      <c r="N46" s="295"/>
      <c r="O46" s="296"/>
      <c r="P46" s="297">
        <f>'Components and Space Standards'!C15</f>
        <v>18392</v>
      </c>
      <c r="Q46" s="289"/>
      <c r="R46" s="159"/>
      <c r="S46" s="159"/>
      <c r="T46" s="302"/>
      <c r="U46" s="433"/>
      <c r="V46" s="477"/>
      <c r="W46" s="558"/>
    </row>
    <row r="47" spans="1:23" s="34" customFormat="1" ht="15" customHeight="1" hidden="1">
      <c r="A47" s="704"/>
      <c r="B47" s="705"/>
      <c r="C47" s="705"/>
      <c r="D47" s="705"/>
      <c r="E47" s="252"/>
      <c r="F47" s="25"/>
      <c r="G47" s="286"/>
      <c r="H47" s="287"/>
      <c r="I47" s="33"/>
      <c r="J47" s="568"/>
      <c r="K47" s="483" t="s">
        <v>226</v>
      </c>
      <c r="L47" s="298" t="str">
        <f>"2 "&amp;'Components and Space Standards'!D14</f>
        <v>2 Two-court/200-seat Module(s)</v>
      </c>
      <c r="M47" s="295"/>
      <c r="N47" s="295"/>
      <c r="O47" s="296"/>
      <c r="P47" s="297">
        <f>2*'Components and Space Standards'!C14</f>
        <v>35112</v>
      </c>
      <c r="Q47" s="290"/>
      <c r="R47" s="291"/>
      <c r="S47" s="291"/>
      <c r="T47" s="555">
        <f>IF(H43=('Components and Space Standards'!C13+'Components and Space Standards'!C14+'Components and Space Standards'!C15),(200+200+1200),IF(H43=('Components and Space Standards'!C13+'Components and Space Standards'!C14),400,IF(H43='Components and Space Standards'!C14*2,400,IF(H43='Components and Space Standards'!C14*3,600,))))</f>
        <v>0</v>
      </c>
      <c r="U47" s="433"/>
      <c r="V47" s="477"/>
      <c r="W47" s="443"/>
    </row>
    <row r="48" spans="1:22" s="34" customFormat="1" ht="15" customHeight="1" hidden="1">
      <c r="A48" s="246">
        <f>IF(OR($D$26&lt;&gt;"Yes",$D$26=0,$K$26&lt;&gt;"Yes"),,'Components and Space Standards'!A14)</f>
        <v>0</v>
      </c>
      <c r="B48" s="292"/>
      <c r="C48" s="292"/>
      <c r="D48" s="47"/>
      <c r="E48" s="252">
        <f>IF(OR($D$26&lt;&gt;"Yes",$D$26=0,$K$26&lt;&gt;"Yes"),,IF($D$5=$K$5,$M48&amp;" "&amp;'Components and Space Standards'!$D14&amp;".",IF($D$5=$K$6,$O48&amp;" "&amp;'Components and Space Standards'!$D14&amp;".",IF($D$5=$K$7,$Q48&amp;" "&amp;'Components and Space Standards'!$D14&amp;".",IF($D$5=$K$8,$S48&amp;" "&amp;'Components and Space Standards'!$D14&amp;".",)))))</f>
        <v>0</v>
      </c>
      <c r="F48" s="25"/>
      <c r="G48" s="250">
        <f>ROUND(H48*$K$33,2)</f>
        <v>0</v>
      </c>
      <c r="H48" s="471"/>
      <c r="I48" s="33"/>
      <c r="J48" s="565"/>
      <c r="K48" s="480">
        <f>IF(OR($D$26&lt;&gt;"Yes",$D$26=0,$K$26&lt;&gt;"Yes"),,IF($D$5=$K$5,N48,IF($D$5=$K$6,P48,IF($D$5=$K$7,R48,IF($D$5=$K$8,T48,)))))</f>
        <v>0</v>
      </c>
      <c r="L48" s="481">
        <f>IF(OR($D$26&lt;&gt;"Yes",$D$26=0,$K$26&lt;&gt;"Yes"),,IF($D$5=$K$5,$M48&amp;" "&amp;'Components and Space Standards'!D14&amp;".",IF($D$5=$K$6,$O48&amp;" "&amp;'Components and Space Standards'!D14&amp;".",IF($D$5=$K$7,$Q48&amp;" "&amp;'Components and Space Standards'!D14&amp;".",IF($D$5=$K$8,$S48&amp;" "&amp;'Components and Space Standards'!D14&amp;".",)))))</f>
        <v>0</v>
      </c>
      <c r="M48" s="281" t="e">
        <f>IF($D$21=$M$9,Army!$F14,IF($D$21=$M$10,Army!$I14,IF($D$21='Interactive Worksheet'!$M$11,Army!$L14,IF($D$21='Interactive Worksheet'!$M$12,Army!$O14,IF($D$21='Interactive Worksheet'!$M$13,Army!$R14,)))))</f>
        <v>#N/A</v>
      </c>
      <c r="N48" s="281" t="e">
        <f>IF($D$21=$M$9,Army!$H14,IF($D$21=$M$10,Army!$K14,IF($D$21='Interactive Worksheet'!$M$11,Army!$N14,IF($D$21='Interactive Worksheet'!$M$12,Army!$Q14,IF($D$21='Interactive Worksheet'!$M$13,Army!$T14,)))))</f>
        <v>#N/A</v>
      </c>
      <c r="O48" s="281" t="e">
        <f>IF($D$21=$M$9,Navy!$F14,IF($D$21=$M$10,Navy!$I14,IF($D$21='Interactive Worksheet'!$M$11,Navy!$L14,IF($D$21='Interactive Worksheet'!$M$12,Navy!$O14,IF($D$21='Interactive Worksheet'!$M$13,Navy!$R14,IF($O$18&gt;0,Navy!U14,))))))</f>
        <v>#N/A</v>
      </c>
      <c r="P48" s="281" t="e">
        <f>IF($D$21=$M$9,Navy!$H14,IF($D$21=$M$10,Navy!$K14,IF($D$21='Interactive Worksheet'!$M$11,Navy!$N14,IF($D$21='Interactive Worksheet'!$M$12,Navy!$Q14,IF($D$21='Interactive Worksheet'!$M$13,Navy!$T14,IF($O$18&gt;0,Navy!W14,))))))</f>
        <v>#N/A</v>
      </c>
      <c r="Q48" s="281" t="e">
        <f>IF($D$43&lt;&gt;0,"See E45",IF($D$21=$M$10,'AF'!F14,IF($D$21=$M$11,'AF'!I14,IF($D$21='Interactive Worksheet'!$M$12,'AF'!L14,))))</f>
        <v>#N/A</v>
      </c>
      <c r="R48" s="281" t="e">
        <f>IF($D$43&lt;&gt;0,"See E45",IF($D$21=$M$10,'AF'!H14,IF($D$21=$M$11,'AF'!K14,IF($D$21='Interactive Worksheet'!$M$12,'AF'!N14,))))</f>
        <v>#N/A</v>
      </c>
      <c r="S48" s="281"/>
      <c r="T48" s="300"/>
      <c r="U48" s="433"/>
      <c r="V48" s="477"/>
    </row>
    <row r="49" spans="1:22" s="34" customFormat="1" ht="15" customHeight="1" hidden="1" thickBot="1">
      <c r="A49" s="246">
        <f>IF(OR($D$26&lt;&gt;"Yes",$D$26=0,$K$26&lt;&gt;"Yes"),,'Components and Space Standards'!A15)</f>
        <v>0</v>
      </c>
      <c r="B49" s="292"/>
      <c r="C49" s="292"/>
      <c r="D49" s="47"/>
      <c r="E49" s="252">
        <f>IF(OR($D$26&lt;&gt;"Yes",$D$26=0,$K$26&lt;&gt;"Yes"),,IF($D$5=$K$5,$M49&amp;" "&amp;'Components and Space Standards'!$D15&amp;".",IF($D$5=$K$6,$O49&amp;" "&amp;'Components and Space Standards'!$D15&amp;".",IF($D$5=$K$7,$Q49&amp;" "&amp;'Components and Space Standards'!$D15&amp;".",IF($D$5=$K$8,$S49&amp;" "&amp;'Components and Space Standards'!$D15&amp;".",)))))</f>
        <v>0</v>
      </c>
      <c r="F49" s="25"/>
      <c r="G49" s="250">
        <f>ROUND(H49*$K$33,2)</f>
        <v>0</v>
      </c>
      <c r="H49" s="471"/>
      <c r="I49" s="33"/>
      <c r="J49" s="565"/>
      <c r="K49" s="484">
        <f>IF(OR($D$26&lt;&gt;"Yes",$D$26=0,$K$26&lt;&gt;"Yes"),,IF($D$5=$K$5,N49,IF($D$5=$K$6,P49,IF($D$5=$K$7,R49,IF($D$5=$K$8,T49,)))))</f>
        <v>0</v>
      </c>
      <c r="L49" s="485">
        <f>IF(OR($D$26&lt;&gt;"Yes",$D$26=0,$K$26&lt;&gt;"Yes"),,IF($D$5=$K$5,$M49&amp;" "&amp;'Components and Space Standards'!D15&amp;".",IF($D$5=$K$6,$O49&amp;" "&amp;'Components and Space Standards'!D15&amp;".",IF($D$5=$K$7,$Q49&amp;" "&amp;'Components and Space Standards'!D15&amp;".",IF($D$5=$K$8,$S49&amp;" "&amp;'Components and Space Standards'!D15&amp;".",)))))</f>
        <v>0</v>
      </c>
      <c r="M49" s="303" t="e">
        <f>IF($D$21=$M$9,Army!$F15,IF($D$21=$M$10,Army!$I15,IF($D$21='Interactive Worksheet'!$M$11,Army!$L15,IF($D$21='Interactive Worksheet'!$M$12,Army!$O15,IF($D$21='Interactive Worksheet'!$M$13,Army!$R15,)))))</f>
        <v>#N/A</v>
      </c>
      <c r="N49" s="303" t="e">
        <f>IF($D$21=$M$9,Army!$H15,IF($D$21=$M$10,Army!$K15,IF($D$21='Interactive Worksheet'!$M$11,Army!$N15,IF($D$21='Interactive Worksheet'!$M$12,Army!$Q15,IF($D$21='Interactive Worksheet'!$M$13,Army!$T15,)))))</f>
        <v>#N/A</v>
      </c>
      <c r="O49" s="303" t="e">
        <f>IF($D$21=$M$9,Navy!$F15,IF($D$21=$M$10,Navy!$I15,IF($D$21='Interactive Worksheet'!$M$11,Navy!$L15,IF($D$21='Interactive Worksheet'!$M$12,Navy!$O15,IF($D$21='Interactive Worksheet'!$M$13,Navy!$R15,IF($O$18&gt;0,Navy!U15,))))))</f>
        <v>#N/A</v>
      </c>
      <c r="P49" s="303" t="e">
        <f>IF($D$21=$M$9,Navy!$H15,IF($D$21=$M$10,Navy!$K15,IF($D$21='Interactive Worksheet'!$M$11,Navy!$N15,IF($D$21='Interactive Worksheet'!$M$12,Navy!$Q15,IF($D$21='Interactive Worksheet'!$M$13,Navy!$T15,IF($O$18&gt;0,Navy!W15,))))))</f>
        <v>#N/A</v>
      </c>
      <c r="Q49" s="303" t="e">
        <f>IF($D$43&lt;&gt;0,"See E45",IF($D$21=$M$10,'AF'!F15,IF($D$21=$M$11,'AF'!I15,IF($D$21='Interactive Worksheet'!$M$12,'AF'!L15,))))</f>
        <v>#N/A</v>
      </c>
      <c r="R49" s="303" t="e">
        <f>IF($D$43&lt;&gt;0,"See E45",IF($D$21=$M$10,'AF'!H15,IF($D$21=$M$11,'AF'!K15,IF($D$21='Interactive Worksheet'!$M$12,'AF'!N15,))))</f>
        <v>#N/A</v>
      </c>
      <c r="S49" s="303"/>
      <c r="T49" s="304"/>
      <c r="U49" s="433"/>
      <c r="V49" s="477"/>
    </row>
    <row r="50" spans="1:23" s="34" customFormat="1" ht="15" customHeight="1">
      <c r="A50" s="246">
        <f>IF(OR($D$26&lt;&gt;"Yes",$D$26=0,$K$26&lt;&gt;"Yes"),,'Components and Space Standards'!A16)</f>
        <v>0</v>
      </c>
      <c r="B50" s="321"/>
      <c r="C50" s="252">
        <f>IF(OR($D$26&lt;&gt;"Yes",$D$26=0,$K$26&lt;&gt;"Yes"),,"To change default, enter new quantity:")</f>
        <v>0</v>
      </c>
      <c r="D50" s="279">
        <v>0</v>
      </c>
      <c r="E50" s="252">
        <f>IF(OR($D$26&lt;&gt;"Yes",$D$26=0,$K$26&lt;&gt;"Yes"),,IF(AND(D5=K5,N17&gt;15000),"For populations over 30K, use the Army Quantity Questionnaire.",IF($D$5=$K$5,$M50&amp;" "&amp;'Components and Space Standards'!$D16&amp;". "&amp;K50+L50&amp;" total seats.",IF($D$5=$K$6,$O50&amp;" "&amp;'Components and Space Standards'!$D16&amp;". "&amp;K50+L50&amp;" total seats.",IF($D$5=$K$7,$Q50&amp;" "&amp;'Components and Space Standards'!$D16&amp;". "&amp;K50+L50&amp;" total seats.",IF($D$5=$K$8,$S50&amp;" "&amp;'Components and Space Standards'!$D16&amp;". "&amp;K50+L50&amp;" total seats.",))))))</f>
        <v>0</v>
      </c>
      <c r="F50" s="25"/>
      <c r="G50" s="250">
        <f>ROUND(H50*$K$33,2)</f>
        <v>0</v>
      </c>
      <c r="H50" s="45">
        <f>IF(OR($D$26&lt;&gt;"Yes",$D$26=0,$K$26&lt;&gt;"Yes"),,IF($D$5=$K$5,N50,IF($D$5=$K$6,P50,IF($D$5=$K$7,R50,IF($D$5=$K$8,T50,)))))</f>
        <v>0</v>
      </c>
      <c r="I50" s="33"/>
      <c r="J50" s="566">
        <f>IF(D50&lt;&gt;0,"D",)</f>
        <v>0</v>
      </c>
      <c r="K50" s="486">
        <f>IF(AND(D5=K5,N17&gt;15000),0,IF(H43='Components and Space Standards'!C13,200,IF(H43='Components and Space Standards'!C14,200,IF(H43='Components and Space Standards'!C15,1200,IF(H43=('Components and Space Standards'!C13+'Components and Space Standards'!C15),(200+1200),IF(H43=('Components and Space Standards'!C14+'Components and Space Standards'!C15),(200+1200),IF(H43=('Components and Space Standards'!C13+'Components and Space Standards'!C14+'Components and Space Standards'!C15),T47,T47)))))))</f>
        <v>0</v>
      </c>
      <c r="L50" s="477">
        <f>ROUND((H50/912)*200,0)</f>
        <v>0</v>
      </c>
      <c r="M50" s="281" t="e">
        <f>IF($D50&lt;&gt;0,"Error",IF($D$21=$M$9,Army!$F16,IF($D$21=$M$10,Army!$I16,IF($D$21='Interactive Worksheet'!$M$11,Army!$L16,IF($D$21='Interactive Worksheet'!$M$12,Army!$O16,IF($D$21='Interactive Worksheet'!$M$13,IF($M$17=0,Army!$R16,($M$17*Army!U16)+Army!R16)))))))</f>
        <v>#N/A</v>
      </c>
      <c r="N50" s="281" t="e">
        <f>IF($D50&lt;&gt;0,"Error",IF($D$21=$M$9,Army!$H16,IF($D$21=$M$10,Army!$K16,IF($D$21='Interactive Worksheet'!$M$11,Army!$N16,IF($D$21='Interactive Worksheet'!$M$12,Army!$Q16,IF($D$21='Interactive Worksheet'!$M$13,IF($M$17=0,Army!$T16,($M$17*Army!W16)+Army!T16)))))))</f>
        <v>#N/A</v>
      </c>
      <c r="O50" s="522" t="e">
        <f>IF(D50&lt;&gt;0,D50,IF($D$21=$M$9,Navy!F16,IF($D$21=$M$10,Navy!I16,IF($D$21='Interactive Worksheet'!$M$11,Navy!L16,IF($D$21='Interactive Worksheet'!$M$12,Navy!O16,IF($D$21='Interactive Worksheet'!$M$13,Navy!R16,IF($O$18&gt;0,Navy!U16,)))))))</f>
        <v>#N/A</v>
      </c>
      <c r="P50" s="522" t="e">
        <f>IF(D50&lt;&gt;0,D50*'Components and Space Standards'!C16,IF($D$21=$M$9,Navy!H16,IF($D$21=$M$10,Navy!K16,IF($D$21='Interactive Worksheet'!$M$11,Navy!N16,IF($D$21='Interactive Worksheet'!$M$12,Navy!Q16,IF($D$21='Interactive Worksheet'!$M$13,Navy!T16,IF($O$18&gt;0,Navy!W16,)))))))</f>
        <v>#N/A</v>
      </c>
      <c r="Q50" s="165" t="e">
        <f>IF(D50&lt;&gt;0,D50,IF($D$21=$M$10,'AF'!F16,IF($D$21=$M$11,'AF'!I16,IF($D$21='Interactive Worksheet'!$M$12,'AF'!L16,))))</f>
        <v>#N/A</v>
      </c>
      <c r="R50" s="165" t="e">
        <f>IF(D50&lt;&gt;0,D50*'Components and Space Standards'!C16,IF($D$21=$M$10,'AF'!H16,IF($D$21=$M$11,'AF'!K16,IF($D$21='Interactive Worksheet'!$M$12,'AF'!N16,))))</f>
        <v>#N/A</v>
      </c>
      <c r="S50" s="520" t="e">
        <f>IF($D50&lt;&gt;0,IF($D$50&gt;3,3,$D$50),IF($D$21=$M$9,MC!F16,IF($D$21=$M$10,MC!I16,IF($D$21='Interactive Worksheet'!$M$11,MC!L16,IF($D$21='Interactive Worksheet'!$M$12,MC!O16,IF($D$21='Interactive Worksheet'!$M$13,MC!R16,))))))</f>
        <v>#N/A</v>
      </c>
      <c r="T50" s="520" t="e">
        <f>IF($D50&lt;&gt;0,(IF($D$50&gt;3,3,$D$50)*'Components and Space Standards'!C16),IF($D$21=$M$9,MC!H16,IF($D$21=$M$10,MC!K16,IF($D$21='Interactive Worksheet'!$M$11,MC!N16,IF($D$21='Interactive Worksheet'!$M$12,MC!Q16,IF($D$21='Interactive Worksheet'!$M$13,MC!T16,))))))</f>
        <v>#N/A</v>
      </c>
      <c r="U50" s="160"/>
      <c r="V50" s="477"/>
      <c r="W50" s="391"/>
    </row>
    <row r="51" spans="1:23" s="34" customFormat="1" ht="15" customHeight="1">
      <c r="A51" s="246">
        <f>IF(OR($D$26&lt;&gt;"Yes",$D$26=0,$K$26&lt;&gt;"Yes"),,'Components and Space Standards'!A17)</f>
        <v>0</v>
      </c>
      <c r="B51" s="178"/>
      <c r="C51" s="83"/>
      <c r="D51" s="83"/>
      <c r="E51" s="252">
        <f>IF(OR($D$26&lt;&gt;"Yes",$D$26=0,$K$26&lt;&gt;"Yes"),,IF($D$5=$K$5,$M51&amp;" "&amp;'Components and Space Standards'!$D17&amp;".",IF($D$5=$K$6,$O51&amp;" "&amp;'Components and Space Standards'!$D17&amp;".",IF($D$5=$K$7,$Q51&amp;" "&amp;'Components and Space Standards'!$D17&amp;".",IF($D$5=$K$8,ROUND(H51/700,0)&amp;" "&amp;'Components and Space Standards'!$D17&amp;".",)))))</f>
        <v>0</v>
      </c>
      <c r="F51" s="25"/>
      <c r="G51" s="250">
        <f>ROUND(H51*$K$33,2)</f>
        <v>0</v>
      </c>
      <c r="H51" s="45">
        <f>IF(OR($D$26&lt;&gt;"Yes",$D$26=0,$K$26&lt;&gt;"Yes"),,IF($D$5=$K$5,N51,IF($D$5=$K$6,P51,IF($D$5=$K$7,R51,IF($D$5=$K$8,0.08*H43,)))))</f>
        <v>0</v>
      </c>
      <c r="I51" s="33"/>
      <c r="J51" s="565"/>
      <c r="K51" s="486"/>
      <c r="L51" s="477"/>
      <c r="M51" s="510" t="e">
        <f>IF($D51&lt;&gt;0,$D51,IF($D$21=$M$9,Army!$F17,IF($D$21=$M$10,Army!$I17,IF($D$21='Interactive Worksheet'!$M$11,Army!$L17,IF($D$21='Interactive Worksheet'!$M$12,Army!$O17,IF($D$21='Interactive Worksheet'!$M$13,IF($M$17=0,Army!$R17,($M$17*Army!U17)+Army!R17)))))))</f>
        <v>#N/A</v>
      </c>
      <c r="N51" s="510" t="e">
        <f>IF($D51&lt;&gt;0,$D51*'Components and Space Standards'!$C17,IF($D$21=$M$9,Army!$H17,IF($D$21=$M$10,Army!$K17,IF($D$21='Interactive Worksheet'!$M$11,Army!$N17,IF($D$21='Interactive Worksheet'!$M$12,Army!$Q17,IF($D$21='Interactive Worksheet'!$M$13,IF($M$17=0,Army!$T17,($M$17*Army!W17)+Army!T17)))))))</f>
        <v>#N/A</v>
      </c>
      <c r="O51" s="522" t="e">
        <f>IF(D51&lt;&gt;0,D51,IF($D$21=$M$9,Navy!F17,IF($D$21=$M$10,Navy!I17,IF($D$21='Interactive Worksheet'!$M$11,Navy!L17,IF($D$21='Interactive Worksheet'!$M$12,Navy!O17,IF($D$21='Interactive Worksheet'!$M$13,Navy!R17,IF($O$18&gt;0,Navy!U17,)))))))</f>
        <v>#N/A</v>
      </c>
      <c r="P51" s="522" t="e">
        <f>IF(D51&lt;&gt;0,D51*'Components and Space Standards'!C17,IF($D$21=$M$9,Navy!H17,IF($D$21=$M$10,Navy!K17,IF($D$21='Interactive Worksheet'!$M$11,Navy!N17,IF($D$21='Interactive Worksheet'!$M$12,Navy!Q17,IF($D$21='Interactive Worksheet'!$M$13,Navy!T17,IF($O$18&gt;0,Navy!W17,)))))))</f>
        <v>#N/A</v>
      </c>
      <c r="Q51" s="170" t="e">
        <f>IF(D51&lt;&gt;0,D51,IF($D$21=$M$10,'AF'!F17,IF($D$21=$M$11,'AF'!I17,IF($D$21='Interactive Worksheet'!$M$12,'AF'!L17,))))</f>
        <v>#N/A</v>
      </c>
      <c r="R51" s="170" t="e">
        <f>IF(D51&lt;&gt;0,D51*'Components and Space Standards'!C17,IF($D$21=$M$10,'AF'!H17,IF($D$21=$M$11,'AF'!K17,IF($D$21='Interactive Worksheet'!$M$12,'AF'!N17,))))</f>
        <v>#N/A</v>
      </c>
      <c r="S51" s="520" t="e">
        <f>IF($D51&lt;&gt;0,$D51,IF($D$21=$M$9,MC!F17,IF($D$21=$M$10,MC!I17,IF($D$21='Interactive Worksheet'!$M$11,MC!L17,IF($D$21='Interactive Worksheet'!$M$12,MC!O17,IF($D$21='Interactive Worksheet'!$M$13,MC!R17,))))))</f>
        <v>#N/A</v>
      </c>
      <c r="T51" s="520" t="e">
        <f>IF($D51&lt;&gt;0,$D51*'Components and Space Standards'!C17,IF($D$21=$M$9,MC!H17,IF($D$21=$M$10,MC!K17,IF($D$21='Interactive Worksheet'!$M$11,MC!N17,IF($D$21='Interactive Worksheet'!$M$12,MC!Q17,IF($D$21='Interactive Worksheet'!$M$13,MC!T17,))))))</f>
        <v>#N/A</v>
      </c>
      <c r="U51" s="160"/>
      <c r="V51" s="477"/>
      <c r="W51" s="27"/>
    </row>
    <row r="52" spans="1:23" s="34" customFormat="1" ht="15" customHeight="1">
      <c r="A52" s="246">
        <f>IF(OR($D$26&lt;&gt;"Yes",$D$26=0,$K$26&lt;&gt;"Yes"),,'Components and Space Standards'!A18)</f>
        <v>0</v>
      </c>
      <c r="B52" s="178"/>
      <c r="C52" s="42"/>
      <c r="D52" s="72"/>
      <c r="E52" s="252">
        <f>IF(OR($D$26&lt;&gt;"Yes",$D$26=0,$K$26&lt;&gt;"Yes"),,IF($D$5=$K$5,$M52&amp;" "&amp;'Components and Space Standards'!$D18&amp;".",IF($D$5=$K$6,$O52&amp;" "&amp;'Components and Space Standards'!$D18&amp;".",IF($D$5=$K$7,$Q52&amp;" "&amp;'Components and Space Standards'!$D18&amp;".",IF($D$5=$K$8,$S52&amp;" "&amp;'Components and Space Standards'!$D18&amp;".",)))))</f>
        <v>0</v>
      </c>
      <c r="F52" s="73"/>
      <c r="G52" s="250">
        <f>ROUND(H52*$K$33,2)</f>
        <v>0</v>
      </c>
      <c r="H52" s="45">
        <f>IF(OR($D$26&lt;&gt;"Yes",$D$26=0,$K$26&lt;&gt;"Yes"),,IF($D$5=$K$5,N52,IF($D$5=$K$6,P52,IF($D$5=$K$7,R52,IF($D$5=$K$8,T52,)))))</f>
        <v>0</v>
      </c>
      <c r="I52" s="33"/>
      <c r="J52" s="565"/>
      <c r="K52" s="486"/>
      <c r="L52" s="477"/>
      <c r="M52" s="510" t="e">
        <f>IF($D52&lt;&gt;0,$D52,IF($D$21=$M$9,Army!$F18,IF($D$21=$M$10,Army!$I18,IF($D$21='Interactive Worksheet'!$M$11,Army!$L18,IF($D$21='Interactive Worksheet'!$M$12,Army!$O18,IF($D$21='Interactive Worksheet'!$M$13,IF($M$17=0,Army!$R18,($M$17*Army!U18)+Army!R18)))))))</f>
        <v>#N/A</v>
      </c>
      <c r="N52" s="510" t="e">
        <f>IF($D52&lt;&gt;0,$D52*'Components and Space Standards'!$C18,IF($D$21=$M$9,Army!$H18,IF($D$21=$M$10,Army!$K18,IF($D$21='Interactive Worksheet'!$M$11,Army!$N18,IF($D$21='Interactive Worksheet'!$M$12,Army!$Q18,IF($D$21='Interactive Worksheet'!$M$13,IF($M$17=0,Army!$T18,($M$17*Army!W18)+Army!T18)))))))</f>
        <v>#N/A</v>
      </c>
      <c r="O52" s="522" t="e">
        <f>IF(D52&lt;&gt;0,D52,IF($D$21=$M$9,Navy!F18,IF($D$21=$M$10,Navy!I18,IF($D$21='Interactive Worksheet'!$M$11,Navy!L18,IF($D$21='Interactive Worksheet'!$M$12,Navy!O18,IF($D$21='Interactive Worksheet'!$M$13,Navy!R18,IF($O$18&gt;0,Navy!U18,)))))))</f>
        <v>#N/A</v>
      </c>
      <c r="P52" s="522" t="e">
        <f>IF(D52&lt;&gt;0,D52*'Components and Space Standards'!C18,IF($D$21=$M$9,Navy!H18,IF($D$21=$M$10,Navy!K18,IF($D$21='Interactive Worksheet'!$M$11,Navy!N18,IF($D$21='Interactive Worksheet'!$M$12,Navy!Q18,IF($D$21='Interactive Worksheet'!$M$13,Navy!T18,IF($O$18&gt;0,Navy!W18,)))))))</f>
        <v>#N/A</v>
      </c>
      <c r="Q52" s="170" t="e">
        <f>IF(D52&lt;&gt;0,D52,IF($D$21=$M$10,'AF'!F18,IF($D$21=$M$11,'AF'!I18,IF($D$21='Interactive Worksheet'!$M$12,'AF'!L18,))))</f>
        <v>#N/A</v>
      </c>
      <c r="R52" s="170" t="e">
        <f>IF(D52&lt;&gt;0,D52*'Components and Space Standards'!C18,IF($D$21=$M$10,'AF'!H18,IF($D$21=$M$11,'AF'!K18,IF($D$21='Interactive Worksheet'!$M$12,'AF'!N18,))))</f>
        <v>#N/A</v>
      </c>
      <c r="S52" s="520" t="e">
        <f>IF($D52&lt;&gt;0,$D52,IF($D$21=$M$9,MC!F18,IF($D$21=$M$10,MC!I18,IF($D$21='Interactive Worksheet'!$M$11,MC!L18,IF($D$21='Interactive Worksheet'!$M$12,MC!O18,IF($D$21='Interactive Worksheet'!$M$13,MC!R18,))))))</f>
        <v>#N/A</v>
      </c>
      <c r="T52" s="520" t="e">
        <f>IF($D52&lt;&gt;0,$D52*'Components and Space Standards'!C18,IF($D$21=$M$9,MC!H18,IF($D$21=$M$10,MC!K18,IF($D$21='Interactive Worksheet'!$M$11,MC!N18,IF($D$21='Interactive Worksheet'!$M$12,MC!Q18,IF($D$21='Interactive Worksheet'!$M$13,MC!T18,))))))</f>
        <v>#N/A</v>
      </c>
      <c r="U52" s="160"/>
      <c r="V52" s="477"/>
      <c r="W52" s="27"/>
    </row>
    <row r="53" spans="1:23" s="34" customFormat="1" ht="24.75" customHeight="1">
      <c r="A53" s="251">
        <f>IF(OR($D$26&lt;&gt;"Yes",$D$26=0,$K$26&lt;&gt;"Yes"),,'Components and Space Standards'!A19)</f>
        <v>0</v>
      </c>
      <c r="B53" s="269"/>
      <c r="C53" s="269"/>
      <c r="D53" s="47"/>
      <c r="E53" s="252"/>
      <c r="F53" s="25"/>
      <c r="G53" s="319">
        <f aca="true" t="shared" si="4" ref="G53:G124">ROUND(H53*$K$33,2)</f>
        <v>0</v>
      </c>
      <c r="H53" s="320">
        <f aca="true" t="shared" si="5" ref="H53:H62">IF(OR($D$26&lt;&gt;"Yes",$D$26=0,$K$26&lt;&gt;"Yes"),,IF($D$5=$K$5,N53,IF($D$5=$K$6,P53,IF($D$5=$K$7,R53,IF($D$5=$K$8,T53,)))))</f>
        <v>0</v>
      </c>
      <c r="I53" s="33"/>
      <c r="J53" s="565"/>
      <c r="K53" s="167"/>
      <c r="L53" s="163"/>
      <c r="M53" s="170"/>
      <c r="N53" s="170"/>
      <c r="O53" s="170" t="e">
        <f>IF(D53&lt;&gt;0,D53,IF($D$21=$M$9,Navy!F19,IF($D$21=$M$10,Navy!I19,IF($D$21='Interactive Worksheet'!$M$11,Navy!L19,IF($D$21='Interactive Worksheet'!$M$12,Navy!O19,IF($D$21='Interactive Worksheet'!$M$13,Navy!R19,))))))</f>
        <v>#N/A</v>
      </c>
      <c r="P53" s="170" t="e">
        <f>IF(D53&lt;&gt;0,D53*'Components and Space Standards'!C19,IF($D$21=$M$9,Navy!H19,IF($D$21=$M$10,Navy!K19,IF($D$21='Interactive Worksheet'!$M$11,Navy!N19,IF($D$21='Interactive Worksheet'!$M$12,Navy!Q19,IF($D$21='Interactive Worksheet'!$M$13,Navy!T19,))))))</f>
        <v>#N/A</v>
      </c>
      <c r="Q53" s="170" t="e">
        <f>IF(D53&lt;&gt;0,D53,IF($D$21=$M$10,'AF'!F19,IF($D$21=$M$11,'AF'!I19,IF($D$21='Interactive Worksheet'!$M$12,'AF'!L19,))))</f>
        <v>#N/A</v>
      </c>
      <c r="R53" s="170" t="e">
        <f>IF(D53&lt;&gt;0,D53*'Components and Space Standards'!C19,IF($D$21=$M$10,'AF'!H19,IF($D$21=$M$11,'AF'!K19,IF($D$21='Interactive Worksheet'!$M$12,'AF'!N19,))))</f>
        <v>#N/A</v>
      </c>
      <c r="S53" s="170" t="e">
        <f>IF($D53&lt;&gt;0,$D53,IF($D$21=$M$9,MC!F19,IF($D$21=$M$10,MC!I19,IF($D$21='Interactive Worksheet'!$M$11,MC!L19,IF($D$21='Interactive Worksheet'!$M$12,MC!O19,IF($D$21='Interactive Worksheet'!$M$13,MC!R19,))))))</f>
        <v>#N/A</v>
      </c>
      <c r="T53" s="170" t="e">
        <f>IF($D53&lt;&gt;0,$D53*'Components and Space Standards'!C19,IF($D$21=$M$9,MC!H19,IF($D$21=$M$10,MC!K19,IF($D$21='Interactive Worksheet'!$M$11,MC!N19,IF($D$21='Interactive Worksheet'!$M$12,MC!Q19,IF($D$21='Interactive Worksheet'!$M$13,MC!T19,))))))</f>
        <v>#N/A</v>
      </c>
      <c r="U53" s="160"/>
      <c r="V53" s="476"/>
      <c r="W53" s="27"/>
    </row>
    <row r="54" spans="1:23" s="34" customFormat="1" ht="15" customHeight="1">
      <c r="A54" s="246">
        <f>IF(OR($D$26&lt;&gt;"Yes",$D$26=0,$K$26&lt;&gt;"Yes"),,'Components and Space Standards'!A20)</f>
        <v>0</v>
      </c>
      <c r="B54" s="178"/>
      <c r="C54" s="252">
        <f>IF(OR($D$26&lt;&gt;"Yes",$D$26=0,$K$26&lt;&gt;"Yes"),,"To change default, enter new quantity of ppl:")</f>
        <v>0</v>
      </c>
      <c r="D54" s="279"/>
      <c r="E54" s="252">
        <f>IF(OR($D$26&lt;&gt;"Yes",$D$26=0,$K$26&lt;&gt;"Yes"),,IF($D$5=$K$5,$M54&amp;" "&amp;'Components and Space Standards'!$D20&amp;".",IF($D$5=$K$6,$O54&amp;" "&amp;'Components and Space Standards'!$D20&amp;".",IF($D$5=$K$7,$Q54&amp;" "&amp;'Components and Space Standards'!$D20&amp;".",IF($D$5=$K$8,$S54&amp;" "&amp;'Components and Space Standards'!$D20&amp;".",)))))</f>
        <v>0</v>
      </c>
      <c r="F54" s="52"/>
      <c r="G54" s="250">
        <f t="shared" si="4"/>
        <v>0</v>
      </c>
      <c r="H54" s="45">
        <f>IF($D$54&lt;&gt;0,$D$54*50,IF(OR($D$26&lt;&gt;"Yes",$D$26=0,$K$26&lt;&gt;"Yes"),,IF($D$5=$K$5,N54,IF($D$5=$K$6,P54,IF($D$5=$K$7,R54,IF($D$5=$K$8,T54,))))))</f>
        <v>0</v>
      </c>
      <c r="I54" s="26"/>
      <c r="J54" s="566">
        <f>IF(D54&lt;&gt;0,"D",)</f>
        <v>0</v>
      </c>
      <c r="K54" s="167"/>
      <c r="L54" s="163"/>
      <c r="M54" s="281" t="e">
        <f>IF($D54&lt;&gt;0,$D54,IF($D$21=$M$9,Army!$F20,IF($D$21=$M$10,Army!$I20,IF($D$21='Interactive Worksheet'!$M$11,Army!$L20,IF($D$21='Interactive Worksheet'!$M$12,Army!$O20,IF($D$21='Interactive Worksheet'!$M$13,IF($M$17=0,Army!$R20,($M$17*Army!U20)+Army!R20)))))))</f>
        <v>#N/A</v>
      </c>
      <c r="N54" s="281" t="e">
        <f>IF($D54&lt;&gt;0,$D54*'Components and Space Standards'!C20,IF($D$21=$M$9,Army!$H20,IF($D$21=$M$10,Army!$K20,IF($D$21=$M$11,Army!$N20,IF($D$21=$M$12,Army!$Q20,IF($D$21=$M$13,IF($M$17=0,Army!$T20,($M$17*Army!W20)+Army!T20)))))))</f>
        <v>#N/A</v>
      </c>
      <c r="O54" s="281" t="e">
        <f>IF($D54&lt;&gt;0,$D54,IF($D$21=$M$9,Navy!$F20,IF($D$21=$M$10,Navy!$I20,IF($D$21=$M$11,Navy!$L20,IF($D$21=$M$12,Navy!$O20,IF($D$21=$M$13,Navy!$R20,IF($O$18&gt;0,Navy!U20,)))))))</f>
        <v>#N/A</v>
      </c>
      <c r="P54" s="281" t="e">
        <f>IF($D54&lt;&gt;0,$D54*'Components and Space Standards'!C20,IF($D$21=$M$9,Navy!$H20,IF($D$21=$M$10,Navy!$K20,IF($D$21=$M$11,Navy!$N20,IF($D$21=$M$12,Navy!$Q20,IF($D$21=$M$13,Navy!$T20,IF($O$18&gt;0,Navy!W20,)))))))</f>
        <v>#N/A</v>
      </c>
      <c r="Q54" s="281" t="e">
        <f>IF(D54&lt;&gt;0,D54,IF($D$21=$M$10,'AF'!F20,IF($D$21=$M$11,'AF'!I20,IF($D$21=$M$12,'AF'!L20,))))</f>
        <v>#N/A</v>
      </c>
      <c r="R54" s="281" t="e">
        <f>IF(D54&lt;&gt;0,$D54*'Components and Space Standards'!C20,IF($D$21=$M$10,'AF'!H20,IF($D$21=$M$11,'AF'!K20,IF($D$21=$M$12,'AF'!N20,))))</f>
        <v>#N/A</v>
      </c>
      <c r="S54" s="281" t="e">
        <f>IF($D54&lt;&gt;0,$D54,IF($D$21=$M$9,MC!F20,IF($D$21=$M$10,MC!I20,IF($D$21=$M$11,MC!L20,IF($D$21=$M$12,MC!O20,IF($D$21=$M$13,MC!R20,))))))</f>
        <v>#N/A</v>
      </c>
      <c r="T54" s="281" t="e">
        <f>IF($D54&lt;&gt;0,$D54*'Components and Space Standards'!C20,IF($D$21=$M$9,MC!H20,IF($D$21=$M$10,MC!K20,IF($D$21=$M$11,MC!N20,IF($D$21=$M$12,MC!Q20,IF($D$21=$M$13,MC!T20,))))))</f>
        <v>#N/A</v>
      </c>
      <c r="U54" s="512">
        <f>(H54/50)*1</f>
        <v>0</v>
      </c>
      <c r="V54" s="476"/>
      <c r="W54" s="442"/>
    </row>
    <row r="55" spans="1:23" s="34" customFormat="1" ht="15" customHeight="1">
      <c r="A55" s="246">
        <f>IF(OR($D$26&lt;&gt;"Yes",$D$26=0,$K$26&lt;&gt;"Yes"),,'Components and Space Standards'!A21)</f>
        <v>0</v>
      </c>
      <c r="B55" s="178"/>
      <c r="C55" s="51"/>
      <c r="D55" s="51"/>
      <c r="E55" s="252">
        <f>IF(OR($D$26&lt;&gt;"Yes",$D$26=0,$K$26&lt;&gt;"Yes"),,IF($D$5=$K$5,$M55&amp;" "&amp;'Components and Space Standards'!$D21&amp;".",IF($D$5=$K$6,$O55&amp;" "&amp;'Components and Space Standards'!$D21&amp;".",IF($D$5=$K$7,$Q55&amp;" "&amp;'Components and Space Standards'!$D21&amp;".",IF($D$5=$K$8,$S55&amp;" "&amp;'Components and Space Standards'!$D21&amp;".",)))))</f>
        <v>0</v>
      </c>
      <c r="F55" s="52"/>
      <c r="G55" s="250">
        <f t="shared" si="4"/>
        <v>0</v>
      </c>
      <c r="H55" s="45">
        <f t="shared" si="5"/>
        <v>0</v>
      </c>
      <c r="I55" s="26"/>
      <c r="J55" s="565"/>
      <c r="K55" s="164"/>
      <c r="L55" s="163"/>
      <c r="M55" s="281"/>
      <c r="N55" s="281">
        <f>IF($H$54=0,0,N54*0.1)</f>
        <v>0</v>
      </c>
      <c r="O55" s="281"/>
      <c r="P55" s="281">
        <f>IF($H$54=0,0,P54*0.1)</f>
        <v>0</v>
      </c>
      <c r="Q55" s="281"/>
      <c r="R55" s="281">
        <f>IF($H$54=0,0,R54*0.1)</f>
        <v>0</v>
      </c>
      <c r="S55" s="281"/>
      <c r="T55" s="281">
        <f>IF($H$54=0,0,T54*0.1)</f>
        <v>0</v>
      </c>
      <c r="U55" s="160"/>
      <c r="V55" s="476"/>
      <c r="W55" s="443"/>
    </row>
    <row r="56" spans="1:23" s="34" customFormat="1" ht="24.75" customHeight="1">
      <c r="A56" s="251">
        <f>IF(OR($D$26&lt;&gt;"Yes",$D$26=0,$K$26&lt;&gt;"Yes"),,'Components and Space Standards'!A22)</f>
        <v>0</v>
      </c>
      <c r="B56" s="269"/>
      <c r="C56" s="50"/>
      <c r="D56" s="51"/>
      <c r="E56" s="252"/>
      <c r="F56" s="52"/>
      <c r="G56" s="319"/>
      <c r="H56" s="320"/>
      <c r="I56" s="33"/>
      <c r="J56" s="565"/>
      <c r="K56" s="171"/>
      <c r="L56" s="163"/>
      <c r="M56" s="281"/>
      <c r="N56" s="281" t="e">
        <f>SUM(N57:N60)</f>
        <v>#N/A</v>
      </c>
      <c r="O56" s="281"/>
      <c r="P56" s="281" t="e">
        <f>SUM(P57:P60)</f>
        <v>#N/A</v>
      </c>
      <c r="Q56" s="281"/>
      <c r="R56" s="281" t="e">
        <f>SUM(R57:R60)</f>
        <v>#N/A</v>
      </c>
      <c r="S56" s="281"/>
      <c r="T56" s="281" t="e">
        <f>SUM(T57:T60)</f>
        <v>#N/A</v>
      </c>
      <c r="U56" s="160"/>
      <c r="V56" s="476" t="s">
        <v>283</v>
      </c>
      <c r="W56" s="27"/>
    </row>
    <row r="57" spans="1:23" s="34" customFormat="1" ht="15" customHeight="1">
      <c r="A57" s="246">
        <f>IF(OR($D$26&lt;&gt;"Yes",$D$26=0,$K$26&lt;&gt;"Yes"),,'Components and Space Standards'!A23)</f>
        <v>0</v>
      </c>
      <c r="B57" s="178"/>
      <c r="C57" s="75"/>
      <c r="D57" s="75"/>
      <c r="E57" s="252">
        <f>IF(OR($D$26&lt;&gt;"Yes",$D$26=0,$K$26&lt;&gt;"Yes"),,IF($D$5=$K$5,$M57&amp;" "&amp;'Components and Space Standards'!$D23&amp;".",IF($D$5=$K$6,$O57&amp;" "&amp;'Components and Space Standards'!$D23&amp;".",IF($D$5=$K$7,$Q57&amp;" "&amp;'Components and Space Standards'!$D23&amp;".",IF($D$5=$K$8,$S57&amp;" "&amp;'Components and Space Standards'!$D23&amp;".",)))))</f>
        <v>0</v>
      </c>
      <c r="F57" s="96"/>
      <c r="G57" s="250">
        <f t="shared" si="4"/>
        <v>0</v>
      </c>
      <c r="H57" s="45">
        <f t="shared" si="5"/>
        <v>0</v>
      </c>
      <c r="I57" s="33"/>
      <c r="J57" s="565"/>
      <c r="K57" s="173"/>
      <c r="L57" s="163"/>
      <c r="M57" s="510" t="e">
        <f>IF($D57&lt;&gt;0,$D57,IF($D$21=$M$9,Army!$F23,IF($D$21=$M$10,Army!$I23,IF($D$21='Interactive Worksheet'!$M$11,Army!$L23,IF($D$21='Interactive Worksheet'!$M$12,Army!$O23,IF($D$21='Interactive Worksheet'!$M$13,IF($M$17=0,Army!$R23,($M$17*Army!U23)+Army!R23)))))))</f>
        <v>#N/A</v>
      </c>
      <c r="N57" s="510" t="e">
        <f>IF($D57&lt;&gt;0,$D57*'Components and Space Standards'!$C23,IF($D$21=$M$9,Army!$H23,IF($D$21=$M$10,Army!$K23,IF($D$21='Interactive Worksheet'!$M$11,Army!$N23,IF($D$21='Interactive Worksheet'!$M$12,Army!$Q23,IF($D$21='Interactive Worksheet'!$M$13,IF($M$17=0,Army!$T23,($M$17*Army!W23)+Army!T23)))))))</f>
        <v>#N/A</v>
      </c>
      <c r="O57" s="522" t="e">
        <f>IF(D57&lt;&gt;0,D57,IF($D$21=$M$9,Navy!F23,IF($D$21=$M$10,Navy!I23,IF($D$21='Interactive Worksheet'!$M$11,Navy!L23,IF($D$21='Interactive Worksheet'!$M$12,Navy!O23,IF($D$21='Interactive Worksheet'!$M$13,Navy!R23,IF($O$18&gt;0,Navy!U23,)))))))</f>
        <v>#N/A</v>
      </c>
      <c r="P57" s="522" t="e">
        <f>IF(D57&lt;&gt;0,D57*'Components and Space Standards'!C23,IF($D$21=$M$9,Navy!H23,IF($D$21=$M$10,Navy!K23,IF($D$21='Interactive Worksheet'!$M$11,Navy!N23,IF($D$21='Interactive Worksheet'!$M$12,Navy!Q23,IF($D$21='Interactive Worksheet'!$M$13,Navy!T23,IF($O$18&gt;0,Navy!W23,)))))))</f>
        <v>#N/A</v>
      </c>
      <c r="Q57" s="170" t="e">
        <f>IF(D57&lt;&gt;0,D57,IF($D$21=$M$10,'AF'!F23,IF($D$21=$M$11,'AF'!I23,IF($D$21='Interactive Worksheet'!$M$12,'AF'!L23,))))</f>
        <v>#N/A</v>
      </c>
      <c r="R57" s="170" t="e">
        <f>IF(D57&lt;&gt;0,D57*'Components and Space Standards'!C23,IF($D$21=$M$10,'AF'!H23,IF($D$21=$M$11,'AF'!K23,IF($D$21='Interactive Worksheet'!$M$12,'AF'!N23,))))</f>
        <v>#N/A</v>
      </c>
      <c r="S57" s="520" t="e">
        <f>IF($D57&lt;&gt;0,$D57,IF($D$21=$M$9,MC!F23,IF($D$21=$M$10,MC!I23,IF($D$21='Interactive Worksheet'!$M$11,MC!L23,IF($D$21='Interactive Worksheet'!$M$12,MC!O23,IF($D$21='Interactive Worksheet'!$M$13,MC!R23,))))))</f>
        <v>#N/A</v>
      </c>
      <c r="T57" s="520" t="e">
        <f>IF($D57&lt;&gt;0,$D57*'Components and Space Standards'!C23,IF($D$21=$M$9,MC!H23,IF($D$21=$M$10,MC!K23,IF($D$21='Interactive Worksheet'!$M$11,MC!N23,IF($D$21='Interactive Worksheet'!$M$12,MC!Q23,IF($D$21='Interactive Worksheet'!$M$13,MC!T23,))))))</f>
        <v>#N/A</v>
      </c>
      <c r="U57" s="160"/>
      <c r="V57" s="476"/>
      <c r="W57" s="27"/>
    </row>
    <row r="58" spans="1:23" s="34" customFormat="1" ht="15" customHeight="1">
      <c r="A58" s="246">
        <f>IF(OR($D$26&lt;&gt;"Yes",$D$26=0,$K$26&lt;&gt;"Yes"),,'Components and Space Standards'!A24)</f>
        <v>0</v>
      </c>
      <c r="B58" s="178"/>
      <c r="C58" s="75"/>
      <c r="D58" s="75"/>
      <c r="E58" s="252">
        <f>IF(OR($D$26&lt;&gt;"Yes",$D$26=0,$K$26&lt;&gt;"Yes"),,IF($D$5=$K$5,$M58&amp;" "&amp;'Components and Space Standards'!$D24&amp;".",IF($D$5=$K$6,$O58&amp;" "&amp;'Components and Space Standards'!$D24&amp;".",IF($D$5=$K$7,$Q58&amp;" "&amp;'Components and Space Standards'!$D24&amp;".",IF(AND($D$5=$K$8,L9=0,L10=0),K58,$S58&amp;" "&amp;'Components and Space Standards'!$D24&amp;".")))))</f>
        <v>0</v>
      </c>
      <c r="F58" s="52"/>
      <c r="G58" s="250">
        <f t="shared" si="4"/>
        <v>0</v>
      </c>
      <c r="H58" s="45">
        <f t="shared" si="5"/>
        <v>0</v>
      </c>
      <c r="I58" s="33"/>
      <c r="J58" s="565"/>
      <c r="K58" s="171" t="s">
        <v>326</v>
      </c>
      <c r="L58" s="163"/>
      <c r="M58" s="510" t="e">
        <f>IF($D58&lt;&gt;0,$D58,IF($D$21=$M$9,Army!$F24,IF($D$21=$M$10,Army!$I24,IF($D$21='Interactive Worksheet'!$M$11,Army!$L24,IF($D$21='Interactive Worksheet'!$M$12,Army!$O24,IF($D$21='Interactive Worksheet'!$M$13,IF($M$17=0,Army!$R24,($M$17*Army!U24)+Army!R24)))))))</f>
        <v>#N/A</v>
      </c>
      <c r="N58" s="510" t="e">
        <f>IF($D58&lt;&gt;0,$D58*'Components and Space Standards'!$C24,IF($D$21=$M$9,Army!$H24,IF($D$21=$M$10,Army!$K24,IF($D$21='Interactive Worksheet'!$M$11,Army!$N24,IF($D$21='Interactive Worksheet'!$M$12,Army!$Q24,IF($D$21='Interactive Worksheet'!$M$13,IF($M$17=0,Army!$T24,($M$17*Army!W24)+Army!T24)))))))</f>
        <v>#N/A</v>
      </c>
      <c r="O58" s="522" t="e">
        <f>IF(D58&lt;&gt;0,D58,IF($D$21=$M$9,Navy!F24,IF($D$21=$M$10,Navy!I24,IF($D$21='Interactive Worksheet'!$M$11,Navy!L24,IF($D$21='Interactive Worksheet'!$M$12,Navy!O24,IF($D$21='Interactive Worksheet'!$M$13,Navy!R24,IF($O$18&gt;0,Navy!U24,)))))))</f>
        <v>#N/A</v>
      </c>
      <c r="P58" s="522" t="e">
        <f>IF(D58&lt;&gt;0,D58*'Components and Space Standards'!C24,IF($D$21=$M$9,Navy!H24,IF($D$21=$M$10,Navy!K24,IF($D$21='Interactive Worksheet'!$M$11,Navy!N24,IF($D$21='Interactive Worksheet'!$M$12,Navy!Q24,IF($D$21='Interactive Worksheet'!$M$13,Navy!T24,IF($O$18&gt;0,Navy!W24,)))))))</f>
        <v>#N/A</v>
      </c>
      <c r="Q58" s="170" t="e">
        <f>IF(D58&lt;&gt;0,D58,IF($D$21=$M$10,'AF'!F24,IF($D$21=$M$11,'AF'!I24,IF($D$21='Interactive Worksheet'!$M$12,'AF'!L24,))))</f>
        <v>#N/A</v>
      </c>
      <c r="R58" s="170" t="e">
        <f>IF(D58&lt;&gt;0,D58*'Components and Space Standards'!C24,IF($D$21=$M$10,'AF'!H24,IF($D$21=$M$11,'AF'!K24,IF($D$21='Interactive Worksheet'!$M$12,'AF'!N24,))))</f>
        <v>#N/A</v>
      </c>
      <c r="S58" s="520" t="e">
        <f>IF($D58&lt;&gt;0,$D58,IF($D$21=$M$9,MC!F24,IF($D$21=$M$10,MC!I24,IF($D$21='Interactive Worksheet'!$M$11,MC!L24,IF($D$21='Interactive Worksheet'!$M$12,MC!O24,IF($D$21='Interactive Worksheet'!$M$13,MC!R24,))))))</f>
        <v>#N/A</v>
      </c>
      <c r="T58" s="511" t="e">
        <f>IF($D58&lt;&gt;0,$D58*'Components and Space Standards'!C24,IF($D$21=$M$9,MC!H24,IF($D$21=$M$10,MC!K24,(0.035*G23*38.5))))</f>
        <v>#N/A</v>
      </c>
      <c r="U58" s="523">
        <f>IF(AND(D5=K8,L9=0,L10=0),(0.035*G23),(H58/50)*1)</f>
        <v>0</v>
      </c>
      <c r="V58" s="476"/>
      <c r="W58" s="429"/>
    </row>
    <row r="59" spans="1:23" s="34" customFormat="1" ht="15" customHeight="1">
      <c r="A59" s="246">
        <f>IF(OR($D$26&lt;&gt;"Yes",$D$26=0,$K$26&lt;&gt;"Yes"),,'Components and Space Standards'!A25)</f>
        <v>0</v>
      </c>
      <c r="B59" s="178"/>
      <c r="C59" s="50"/>
      <c r="D59" s="77"/>
      <c r="E59" s="252">
        <f>IF(OR($D$26&lt;&gt;"Yes",$D$26=0,$K$26&lt;&gt;"Yes"),,IF($D$5=$K$5,$M59&amp;" "&amp;'Components and Space Standards'!$D25&amp;".",IF($D$5=$K$6,$O59&amp;" "&amp;'Components and Space Standards'!$D25&amp;".",IF($D$5=$K$7,$Q59&amp;" "&amp;'Components and Space Standards'!$D25&amp;".",IF(AND($D$5=$K$8,$G$16&gt;3000),"See above.",$S59&amp;" "&amp;'Components and Space Standards'!$D25&amp;".")))))</f>
        <v>0</v>
      </c>
      <c r="F59" s="52"/>
      <c r="G59" s="250">
        <f t="shared" si="4"/>
        <v>0</v>
      </c>
      <c r="H59" s="45">
        <f t="shared" si="5"/>
        <v>0</v>
      </c>
      <c r="I59" s="33"/>
      <c r="J59" s="565"/>
      <c r="K59" s="171"/>
      <c r="L59" s="163"/>
      <c r="M59" s="510" t="e">
        <f>IF($D59&lt;&gt;0,$D59,IF($D$21=$M$9,Army!$F25,IF($D$21=$M$10,Army!$I25,IF($D$21='Interactive Worksheet'!$M$11,Army!$L25,IF($D$21='Interactive Worksheet'!$M$12,Army!$O25,IF($D$21='Interactive Worksheet'!$M$13,IF($M$17=0,Army!$R25,($M$17*Army!U25)+Army!R25)))))))</f>
        <v>#N/A</v>
      </c>
      <c r="N59" s="510" t="e">
        <f>IF($D59&lt;&gt;0,$D59*'Components and Space Standards'!$C25,IF($D$21=$M$9,Army!$H25,IF($D$21=$M$10,Army!$K25,IF($D$21='Interactive Worksheet'!$M$11,Army!$N25,IF($D$21='Interactive Worksheet'!$M$12,Army!$Q25,IF($D$21='Interactive Worksheet'!$M$13,IF($M$17=0,Army!$T25,($M$17*Army!W25)+Army!T25)))))))</f>
        <v>#N/A</v>
      </c>
      <c r="O59" s="522" t="e">
        <f>IF(D59&lt;&gt;0,D59,IF($D$21=$M$9,Navy!F25,IF($D$21=$M$10,Navy!I25,IF($D$21='Interactive Worksheet'!$M$11,Navy!L25,IF($D$21='Interactive Worksheet'!$M$12,Navy!O25,IF($D$21='Interactive Worksheet'!$M$13,Navy!R25,IF($O$18&gt;0,Navy!U25,)))))))</f>
        <v>#N/A</v>
      </c>
      <c r="P59" s="522" t="e">
        <f>IF(D59&lt;&gt;0,D59*'Components and Space Standards'!C25,IF($D$21=$M$9,Navy!H25,IF($D$21=$M$10,Navy!K25,IF($D$21='Interactive Worksheet'!$M$11,Navy!N25,IF($D$21='Interactive Worksheet'!$M$12,Navy!Q25,IF($D$21='Interactive Worksheet'!$M$13,Navy!T25,IF($O$18&gt;0,Navy!W25,)))))))</f>
        <v>#N/A</v>
      </c>
      <c r="Q59" s="170" t="e">
        <f>IF(D59&lt;&gt;0,D59,IF($D$21=$M$10,'AF'!F25,IF($D$21=$M$11,'AF'!I25,IF($D$21='Interactive Worksheet'!$M$12,'AF'!L25,))))</f>
        <v>#N/A</v>
      </c>
      <c r="R59" s="170" t="e">
        <f>IF(D59&lt;&gt;0,D59*'Components and Space Standards'!C25,IF($D$21=$M$10,'AF'!H25,IF($D$21=$M$11,'AF'!K25,IF($D$21='Interactive Worksheet'!$M$12,'AF'!N25,))))</f>
        <v>#N/A</v>
      </c>
      <c r="S59" s="520" t="e">
        <f>IF($D59&lt;&gt;0,$D59,IF($D$21=$M$9,MC!F25,IF($D$21=$M$10,MC!I25,IF($D$21='Interactive Worksheet'!$M$11,MC!L25,IF($D$21='Interactive Worksheet'!$M$12,MC!O25,IF($D$21='Interactive Worksheet'!$M$13,MC!R25,))))))</f>
        <v>#N/A</v>
      </c>
      <c r="T59" s="521" t="e">
        <f>IF($D59&lt;&gt;0,$D59*'Components and Space Standards'!C25,IF($D$21=$M$9,MC!H25,IF($D$21=$M$10,MC!K25,IF($D$21='Interactive Worksheet'!$M$11,MC!N25,IF($D$21='Interactive Worksheet'!$M$12,MC!Q25,IF($D$21='Interactive Worksheet'!$M$13,MC!T25,))))))</f>
        <v>#N/A</v>
      </c>
      <c r="U59" s="512">
        <f>(H59/50)*2</f>
        <v>0</v>
      </c>
      <c r="V59" s="476"/>
      <c r="W59" s="429"/>
    </row>
    <row r="60" spans="1:23" s="34" customFormat="1" ht="15" customHeight="1">
      <c r="A60" s="246">
        <f>IF(OR($D$26&lt;&gt;"Yes",$D$26=0,$K$26&lt;&gt;"Yes"),,'Components and Space Standards'!A26)</f>
        <v>0</v>
      </c>
      <c r="B60" s="178"/>
      <c r="C60" s="51"/>
      <c r="D60" s="51"/>
      <c r="E60" s="252">
        <f>IF(OR($D$26&lt;&gt;"Yes",$D$26=0,$K$26&lt;&gt;"Yes"),,IF($D$5=$K$5,$M60&amp;" "&amp;'Components and Space Standards'!$D26&amp;".",IF($D$5=$K$6,$O60&amp;" "&amp;'Components and Space Standards'!$D26&amp;".",IF($D$5=$K$7,$Q60&amp;" "&amp;'Components and Space Standards'!$D26&amp;".",IF(AND($D$5=$K$8,$G$16&gt;3000),"See above.",$S60&amp;" "&amp;'Components and Space Standards'!$D26&amp;".")))))</f>
        <v>0</v>
      </c>
      <c r="F60" s="52"/>
      <c r="G60" s="250">
        <f t="shared" si="4"/>
        <v>0</v>
      </c>
      <c r="H60" s="45">
        <f t="shared" si="5"/>
        <v>0</v>
      </c>
      <c r="I60" s="33"/>
      <c r="J60" s="565"/>
      <c r="K60" s="171"/>
      <c r="L60" s="163"/>
      <c r="M60" s="510" t="e">
        <f>IF($D60&lt;&gt;0,$D60,IF($D$21=$M$9,Army!$F26,IF($D$21=$M$10,Army!$I26,IF($D$21='Interactive Worksheet'!$M$11,Army!$L26,IF($D$21='Interactive Worksheet'!$M$12,Army!$O26,IF($D$21='Interactive Worksheet'!$M$13,IF($M$17=0,Army!$R26,($M$17*Army!U26)+Army!R26)))))))</f>
        <v>#N/A</v>
      </c>
      <c r="N60" s="510" t="e">
        <f>IF($D60&lt;&gt;0,$D60*'Components and Space Standards'!$C26,IF($D$21=$M$9,Army!$H26,IF($D$21=$M$10,Army!$K26,IF($D$21='Interactive Worksheet'!$M$11,Army!$N26,IF($D$21='Interactive Worksheet'!$M$12,Army!$Q26,IF($D$21='Interactive Worksheet'!$M$13,IF($M$17=0,Army!$T26,($M$17*Army!W26)+Army!T26)))))))</f>
        <v>#N/A</v>
      </c>
      <c r="O60" s="522" t="e">
        <f>IF(D60&lt;&gt;0,D60,IF($D$21=$M$9,Navy!F26,IF($D$21=$M$10,Navy!I26,IF($D$21='Interactive Worksheet'!$M$11,Navy!L26,IF($D$21='Interactive Worksheet'!$M$12,Navy!O26,IF($D$21='Interactive Worksheet'!$M$13,Navy!R26,IF($O$18&gt;0,Navy!U26,)))))))</f>
        <v>#N/A</v>
      </c>
      <c r="P60" s="522" t="e">
        <f>IF(D60&lt;&gt;0,D60*'Components and Space Standards'!C26,IF($D$21=$M$9,Navy!H26,IF($D$21=$M$10,Navy!K26,IF($D$21='Interactive Worksheet'!$M$11,Navy!N26,IF($D$21='Interactive Worksheet'!$M$12,Navy!Q26,IF($D$21='Interactive Worksheet'!$M$13,Navy!T26,IF($O$18&gt;0,Navy!W26,)))))))</f>
        <v>#N/A</v>
      </c>
      <c r="Q60" s="170" t="e">
        <f>IF(D60&lt;&gt;0,D60,IF($D$21=$M$10,'AF'!F26,IF($D$21=$M$11,'AF'!I26,IF($D$21='Interactive Worksheet'!$M$12,'AF'!L26,))))</f>
        <v>#N/A</v>
      </c>
      <c r="R60" s="170" t="e">
        <f>IF(D60&lt;&gt;0,D60*'Components and Space Standards'!C26,IF($D$21=$M$10,'AF'!H26,IF($D$21=$M$11,'AF'!K26,IF($D$21='Interactive Worksheet'!$M$12,'AF'!N26,))))</f>
        <v>#N/A</v>
      </c>
      <c r="S60" s="520" t="e">
        <f>IF($D60&lt;&gt;0,$D60,IF($D$21=$M$9,MC!F26,IF($D$21=$M$10,MC!I26,IF($D$21='Interactive Worksheet'!$M$11,MC!L26,IF($D$21='Interactive Worksheet'!$M$12,MC!O26,IF($D$21='Interactive Worksheet'!$M$13,MC!R26,))))))</f>
        <v>#N/A</v>
      </c>
      <c r="T60" s="521" t="e">
        <f>IF($D60&lt;&gt;0,$D60*'Components and Space Standards'!C26,IF($D$21=$M$9,MC!H26,IF($D$21=$M$10,MC!K26,IF($D$21='Interactive Worksheet'!$M$11,MC!N26,IF($D$21='Interactive Worksheet'!$M$12,MC!Q26,IF($D$21='Interactive Worksheet'!$M$13,MC!T26,))))))</f>
        <v>#N/A</v>
      </c>
      <c r="U60" s="512">
        <f>(H60/65)*2</f>
        <v>0</v>
      </c>
      <c r="V60" s="476"/>
      <c r="W60" s="429"/>
    </row>
    <row r="61" spans="1:23" s="34" customFormat="1" ht="15" customHeight="1" hidden="1">
      <c r="A61" s="246">
        <f>IF(OR($D$26&lt;&gt;"Yes",$D$26=0,$K$26&lt;&gt;"Yes"),,'Components and Space Standards'!A27)</f>
        <v>0</v>
      </c>
      <c r="B61" s="178"/>
      <c r="C61" s="51"/>
      <c r="D61" s="51"/>
      <c r="E61" s="252">
        <f>IF(OR($D$26&lt;&gt;"Yes",$D$26=0,$K$26&lt;&gt;"Yes"),,IF($D$5=$K$5,$M61&amp;" "&amp;'Components and Space Standards'!$D27&amp;".",IF($D$5=$K$6,$O61&amp;" "&amp;'Components and Space Standards'!$D27&amp;".",IF($D$5=$K$7,$Q61&amp;" "&amp;'Components and Space Standards'!$D27&amp;".",IF($D$5=$K$8,$S61&amp;" "&amp;'Components and Space Standards'!$D27&amp;".",)))))</f>
        <v>0</v>
      </c>
      <c r="F61" s="52"/>
      <c r="G61" s="250">
        <f>ROUND(H61*$K$33,2)</f>
        <v>0</v>
      </c>
      <c r="H61" s="45">
        <f>IF(OR($D$26&lt;&gt;"Yes",$D$26=0,$K$26&lt;&gt;"Yes"),,IF($D$5=$K$5,N61,IF($D$5=$K$6,P61,IF($D$5=$K$7,R61,IF($D$5=$K$8,T61,)))))</f>
        <v>0</v>
      </c>
      <c r="I61" s="33"/>
      <c r="J61" s="565"/>
      <c r="K61" s="171"/>
      <c r="L61" s="163"/>
      <c r="M61" s="510" t="e">
        <f>IF($D61&lt;&gt;0,$D61,IF($D$21=$M$9,Army!$F27,IF($D$21=$M$10,Army!$I27,IF($D$21='Interactive Worksheet'!$M$11,Army!$L27,IF($D$21='Interactive Worksheet'!$M$12,Army!$O27,IF($D$21='Interactive Worksheet'!$M$13,IF($M$17=0,Army!$R27,($M$17*Army!U27)+Army!R27)))))))</f>
        <v>#N/A</v>
      </c>
      <c r="N61" s="510" t="e">
        <f>IF($D61&lt;&gt;0,$D61*'Components and Space Standards'!$C27,IF($D$21=$M$9,Army!$H27,IF($D$21=$M$10,Army!$K27,IF($D$21='Interactive Worksheet'!$M$11,Army!$N27,IF($D$21='Interactive Worksheet'!$M$12,Army!$Q27,IF($D$21='Interactive Worksheet'!$M$13,IF($M$17=0,Army!$T27,($M$17*Army!W27)+Army!T27)))))))</f>
        <v>#N/A</v>
      </c>
      <c r="O61" s="522" t="e">
        <f>IF(D61&lt;&gt;0,D61,IF($D$21=$M$9,Navy!F27,IF($D$21=$M$10,Navy!I27,IF($D$21='Interactive Worksheet'!$M$11,Navy!L27,IF($D$21='Interactive Worksheet'!$M$12,Navy!O27,IF($D$21='Interactive Worksheet'!$M$13,Navy!R27,IF($O$18&gt;0,Navy!U27,)))))))</f>
        <v>#N/A</v>
      </c>
      <c r="P61" s="522" t="e">
        <f>IF(D61&lt;&gt;0,D61*'Components and Space Standards'!C27,IF($D$21=$M$9,Navy!H27,IF($D$21=$M$10,Navy!K27,IF($D$21='Interactive Worksheet'!$M$11,Navy!N27,IF($D$21='Interactive Worksheet'!$M$12,Navy!Q27,IF($D$21='Interactive Worksheet'!$M$13,Navy!T27,IF($O$18&gt;0,Navy!W27,)))))))</f>
        <v>#N/A</v>
      </c>
      <c r="Q61" s="170" t="e">
        <f>IF(D61&lt;&gt;0,D61,IF($D$21=$M$10,'AF'!F27,IF($D$21=$M$11,'AF'!I27,IF($D$21='Interactive Worksheet'!$M$12,'AF'!L27,))))</f>
        <v>#N/A</v>
      </c>
      <c r="R61" s="170" t="e">
        <f>IF(D61&lt;&gt;0,D61*'Components and Space Standards'!C27,IF($D$21=$M$10,'AF'!H27,IF($D$21=$M$11,'AF'!K27,IF($D$21='Interactive Worksheet'!$M$12,'AF'!N27,))))</f>
        <v>#N/A</v>
      </c>
      <c r="S61" s="520" t="e">
        <f>IF($D61&lt;&gt;0,$D61,IF($D$21=$M$9,MC!F27,IF($D$21=$M$10,MC!I27,IF($D$21='Interactive Worksheet'!$M$11,MC!L27,IF($D$21='Interactive Worksheet'!$M$12,MC!O27,IF($D$21='Interactive Worksheet'!$M$13,MC!R27,))))))</f>
        <v>#N/A</v>
      </c>
      <c r="T61" s="521" t="e">
        <f>IF($D61&lt;&gt;0,$D61*'Components and Space Standards'!C27,IF($D$21=$M$9,MC!H27,IF($D$21=$M$10,MC!K27,IF($D$21='Interactive Worksheet'!$M$11,MC!N27,IF($D$21='Interactive Worksheet'!$M$12,MC!Q27,IF($D$21='Interactive Worksheet'!$M$13,MC!T27,))))))</f>
        <v>#N/A</v>
      </c>
      <c r="U61" s="512">
        <f>(H61/125)*1</f>
        <v>0</v>
      </c>
      <c r="V61" s="476"/>
      <c r="W61" s="429"/>
    </row>
    <row r="62" spans="1:23" s="34" customFormat="1" ht="15" customHeight="1">
      <c r="A62" s="246">
        <f>IF(OR($D$26&lt;&gt;"Yes",$D$26=0,$K$26&lt;&gt;"Yes"),,'Components and Space Standards'!A28)</f>
        <v>0</v>
      </c>
      <c r="B62" s="178"/>
      <c r="C62" s="50"/>
      <c r="D62" s="77"/>
      <c r="E62" s="252">
        <f>IF(OR($D$26&lt;&gt;"Yes",$D$26=0,$K$26&lt;&gt;"Yes"),,IF($D$5=$K$5,$M62&amp;" "&amp;'Components and Space Standards'!$D28&amp;".",IF($D$5=$K$6,$O62&amp;" "&amp;'Components and Space Standards'!$D28&amp;".",IF($D$5=$K$7,$Q62&amp;" "&amp;'Components and Space Standards'!$D28&amp;".",IF($D$5=$K$8,$S62&amp;" "&amp;'Components and Space Standards'!$D28&amp;".",)))))</f>
        <v>0</v>
      </c>
      <c r="F62" s="52"/>
      <c r="G62" s="250">
        <f t="shared" si="4"/>
        <v>0</v>
      </c>
      <c r="H62" s="45">
        <f t="shared" si="5"/>
        <v>0</v>
      </c>
      <c r="I62" s="33"/>
      <c r="J62" s="565"/>
      <c r="K62" s="174"/>
      <c r="L62" s="163"/>
      <c r="M62" s="510" t="e">
        <f>IF($D62&lt;&gt;0,$D62,IF($D$21=$M$9,Army!$F28,IF($D$21=$M$10,Army!$I28,IF($D$21='Interactive Worksheet'!$M$11,Army!$L28,IF($D$21='Interactive Worksheet'!$M$12,Army!$O28,IF($D$21='Interactive Worksheet'!$M$13,IF($M$17=0,Army!$R28,($M$17*Army!U28)+Army!R28)))))))</f>
        <v>#N/A</v>
      </c>
      <c r="N62" s="510" t="e">
        <f>IF($D62&lt;&gt;0,$D62*'Components and Space Standards'!$C28,IF($D$21=$M$9,Army!$H28,IF($D$21=$M$10,Army!$K28,IF($D$21='Interactive Worksheet'!$M$11,Army!$N28,IF($D$21='Interactive Worksheet'!$M$12,Army!$Q28,IF($D$21='Interactive Worksheet'!$M$13,IF($M$17=0,Army!$T28,($M$17*Army!W28)+Army!T28)))))))</f>
        <v>#N/A</v>
      </c>
      <c r="O62" s="522" t="e">
        <f>IF(D62&lt;&gt;0,D62,IF($D$21=$M$9,Navy!F28,IF($D$21=$M$10,Navy!I28,IF($D$21='Interactive Worksheet'!$M$11,Navy!L28,IF($D$21='Interactive Worksheet'!$M$12,Navy!O28,IF($D$21='Interactive Worksheet'!$M$13,Navy!R28,IF($O$18&gt;0,Navy!U28,)))))))</f>
        <v>#N/A</v>
      </c>
      <c r="P62" s="522" t="e">
        <f>IF(D62&lt;&gt;0,D62*'Components and Space Standards'!C28,IF($D$21=$M$9,Navy!H28,IF($D$21=$M$10,Navy!K28,IF($D$21='Interactive Worksheet'!$M$11,Navy!N28,IF($D$21='Interactive Worksheet'!$M$12,Navy!Q28,IF($D$21='Interactive Worksheet'!$M$13,Navy!T28,IF($O$18&gt;0,Navy!W28,)))))))</f>
        <v>#N/A</v>
      </c>
      <c r="Q62" s="170" t="e">
        <f>IF(D62&lt;&gt;0,D62,IF($D$21=$M$10,'AF'!F28,IF($D$21=$M$11,'AF'!I28,IF($D$21='Interactive Worksheet'!$M$12,'AF'!L28,))))</f>
        <v>#N/A</v>
      </c>
      <c r="R62" s="170" t="e">
        <f>IF(D62&lt;&gt;0,D62*'Components and Space Standards'!C28,IF($D$21=$M$10,'AF'!H28,IF($D$21=$M$11,'AF'!K28,IF($D$21='Interactive Worksheet'!$M$12,'AF'!N28,))))</f>
        <v>#N/A</v>
      </c>
      <c r="S62" s="520" t="e">
        <f>IF($D62&lt;&gt;0,$D62,IF($D$21=$M$9,MC!F28,IF($D$21=$M$10,MC!I28,IF($D$21='Interactive Worksheet'!$M$11,MC!L28,IF($D$21='Interactive Worksheet'!$M$12,MC!O28,IF($D$21='Interactive Worksheet'!$M$13,MC!R28,))))))</f>
        <v>#N/A</v>
      </c>
      <c r="T62" s="520" t="e">
        <f>IF($D62&lt;&gt;0,$D62*'Components and Space Standards'!C28,IF($D$21=$M$9,MC!H28,IF($D$21=$M$10,MC!K28,IF($D$21='Interactive Worksheet'!$M$11,MC!N28,IF($D$21='Interactive Worksheet'!$M$12,MC!Q28,IF($D$21='Interactive Worksheet'!$M$13,MC!T28,))))))</f>
        <v>#N/A</v>
      </c>
      <c r="U62" s="160"/>
      <c r="V62" s="476"/>
      <c r="W62" s="429"/>
    </row>
    <row r="63" spans="1:23" s="34" customFormat="1" ht="24.75" customHeight="1">
      <c r="A63" s="251">
        <f>IF(OR($D$26&lt;&gt;"Yes",$D$26=0,$K$26&lt;&gt;"Yes"),,'Components and Space Standards'!A29)</f>
        <v>0</v>
      </c>
      <c r="B63" s="25"/>
      <c r="C63" s="85"/>
      <c r="D63" s="79"/>
      <c r="E63" s="252"/>
      <c r="F63" s="52"/>
      <c r="G63" s="319">
        <f t="shared" si="4"/>
        <v>0</v>
      </c>
      <c r="H63" s="320">
        <f>IF(OR($D$26&lt;&gt;"Yes",$D$26=0,$K$26&lt;&gt;"Yes"),,IF($D$5=$K$5,N63,IF($D$5=$K$6,P63,IF($D$5=$K$7,R63,IF($D$5=$K$8,T63,)))))</f>
        <v>0</v>
      </c>
      <c r="I63" s="33"/>
      <c r="J63" s="565"/>
      <c r="K63" s="171"/>
      <c r="L63" s="163"/>
      <c r="M63" s="510" t="e">
        <f>IF($D63&lt;&gt;0,$D63,IF($D$21=$M$9,Army!$F29,IF($D$21=$M$10,Army!$I29,IF($D$21='Interactive Worksheet'!$M$11,Army!$L29,IF($D$21='Interactive Worksheet'!$M$12,Army!$O29,IF($D$21='Interactive Worksheet'!$M$13,IF($M$17=0,Army!$R29,($M$17*Army!U29)+Army!R29)))))))</f>
        <v>#N/A</v>
      </c>
      <c r="N63" s="510" t="e">
        <f>IF($D63&lt;&gt;0,$D63*'Components and Space Standards'!$C29,IF($D$21=$M$9,Army!$H29,IF($D$21=$M$10,Army!$K29,IF($D$21='Interactive Worksheet'!$M$11,Army!$N29,IF($D$21='Interactive Worksheet'!$M$12,Army!$Q29,IF($D$21='Interactive Worksheet'!$M$13,IF($M$17=0,Army!$T29,($M$17*Army!W29)+Army!T29)))))))</f>
        <v>#N/A</v>
      </c>
      <c r="O63" s="522" t="e">
        <f>IF(D63&lt;&gt;0,D63,IF($D$21=$M$9,Navy!F29,IF($D$21=$M$10,Navy!I29,IF($D$21='Interactive Worksheet'!$M$11,Navy!L29,IF($D$21='Interactive Worksheet'!$M$12,Navy!O29,IF($D$21='Interactive Worksheet'!$M$13,Navy!R29,IF($O$18&gt;0,Navy!U29,)))))))</f>
        <v>#N/A</v>
      </c>
      <c r="P63" s="522" t="e">
        <f>IF(D63&lt;&gt;0,D63*'Components and Space Standards'!C29,IF($D$21=$M$9,Navy!H29,IF($D$21=$M$10,Navy!K29,IF($D$21='Interactive Worksheet'!$M$11,Navy!N29,IF($D$21='Interactive Worksheet'!$M$12,Navy!Q29,IF($D$21='Interactive Worksheet'!$M$13,Navy!T29,IF($O$18&gt;0,Navy!W29,)))))))</f>
        <v>#N/A</v>
      </c>
      <c r="Q63" s="170" t="e">
        <f>IF(D63&lt;&gt;0,D63,IF($D$21=$M$10,'AF'!F29,IF($D$21=$M$11,'AF'!I29,IF($D$21='Interactive Worksheet'!$M$12,'AF'!L29,))))</f>
        <v>#N/A</v>
      </c>
      <c r="R63" s="170" t="e">
        <f>IF(D63&lt;&gt;0,D63*'Components and Space Standards'!C29,IF($D$21=$M$10,'AF'!H29,IF($D$21=$M$11,'AF'!K29,IF($D$21='Interactive Worksheet'!$M$12,'AF'!N29,))))</f>
        <v>#N/A</v>
      </c>
      <c r="S63" s="520" t="e">
        <f>IF($D63&lt;&gt;0,$D63,IF($D$21=$M$9,MC!F29,IF($D$21=$M$10,MC!I29,IF($D$21='Interactive Worksheet'!$M$11,MC!L29,IF($D$21='Interactive Worksheet'!$M$12,MC!O29,IF($D$21='Interactive Worksheet'!$M$13,MC!R29,))))))</f>
        <v>#N/A</v>
      </c>
      <c r="T63" s="520" t="e">
        <f>IF($D63&lt;&gt;0,$D63*'Components and Space Standards'!$C$5,IF($D$21=$M$9,MC!H29,IF($D$21=$M$10,MC!K29,IF($D$21='Interactive Worksheet'!$M$11,MC!N29,IF($D$21='Interactive Worksheet'!$M$12,MC!Q29,IF($D$21='Interactive Worksheet'!$M$13,MC!T29,))))))</f>
        <v>#N/A</v>
      </c>
      <c r="U63" s="160"/>
      <c r="V63" s="476"/>
      <c r="W63" s="97"/>
    </row>
    <row r="64" spans="1:23" s="34" customFormat="1" ht="15" customHeight="1">
      <c r="A64" s="246">
        <f>IF(OR($D$26&lt;&gt;"Yes",$D$26=0,$K$26&lt;&gt;"Yes"),,'Components and Space Standards'!A30)</f>
        <v>0</v>
      </c>
      <c r="B64" s="27"/>
      <c r="C64" s="602">
        <f>IF(D5=K8,"MC may incl cycling, climbing wall",IF(D5=K6,"Navy may incl cycling,climbing wall, FF",))</f>
        <v>0</v>
      </c>
      <c r="D64" s="51"/>
      <c r="E64" s="252">
        <f>IF(OR($D$26&lt;&gt;"Yes",$D$26=0,$K$26&lt;&gt;"Yes"),,IF($D$5=$K$5,$M64&amp;" "&amp;'Components and Space Standards'!$D30&amp;".",IF($D$5=$K$6,$O64&amp;" "&amp;'Components and Space Standards'!$D30&amp;".",IF($D$5=$K$7,$Q64&amp;" "&amp;'Components and Space Standards'!$D30&amp;".",IF($D$5=$K$8,$S64&amp;" "&amp;'Components and Space Standards'!$D30&amp;".",)))))</f>
        <v>0</v>
      </c>
      <c r="F64" s="52"/>
      <c r="G64" s="250">
        <f t="shared" si="4"/>
        <v>0</v>
      </c>
      <c r="H64" s="45">
        <f>IF(OR($D$26&lt;&gt;"Yes",$D$26=0,$K$26&lt;&gt;"Yes"),,IF($D$5=$K$5,N64,IF($D$5=$K$6,P64,IF($D$5=$K$7,R64,IF($D$5=$K$8,T64,)))))</f>
        <v>0</v>
      </c>
      <c r="I64" s="33"/>
      <c r="J64" s="565"/>
      <c r="K64" s="171"/>
      <c r="L64" s="163"/>
      <c r="M64" s="510" t="e">
        <f>IF($D64&lt;&gt;0,$D64,IF($D$21=$M$9,Army!$F30,IF($D$21=$M$10,Army!$I30,IF($D$21='Interactive Worksheet'!$M$11,Army!$L30,IF($D$21='Interactive Worksheet'!$M$12,Army!$O30,IF($D$21='Interactive Worksheet'!$M$13,IF($M$17=0,Army!$R30,($M$17*Army!U30)+Army!R30)))))))</f>
        <v>#N/A</v>
      </c>
      <c r="N64" s="510" t="e">
        <f>IF($D64&lt;&gt;0,$D64*'Components and Space Standards'!$C30,IF($D$21=$M$9,Army!$H30,IF($D$21=$M$10,Army!$K30,IF($D$21='Interactive Worksheet'!$M$11,Army!$N30,IF($D$21='Interactive Worksheet'!$M$12,Army!$Q30,IF($D$21='Interactive Worksheet'!$M$13,IF($M$17=0,Army!$T30,($M$17*Army!W30)+Army!T30)))))))</f>
        <v>#N/A</v>
      </c>
      <c r="O64" s="522" t="e">
        <f>IF(D64&lt;&gt;0,D64,IF($D$21=$M$9,Navy!F30,IF($D$21=$M$10,Navy!I30,IF($D$21='Interactive Worksheet'!$M$11,Navy!L30,IF($D$21='Interactive Worksheet'!$M$12,Navy!O30,IF($D$21='Interactive Worksheet'!$M$13,Navy!R30,IF($O$18&gt;0,Navy!U30,)))))))</f>
        <v>#N/A</v>
      </c>
      <c r="P64" s="522" t="e">
        <f>IF(D64&lt;&gt;0,D64*'Components and Space Standards'!C30,IF($D$21=$M$9,Navy!H30,IF($D$21=$M$10,Navy!K30,IF($D$21='Interactive Worksheet'!$M$11,Navy!N30,IF($D$21='Interactive Worksheet'!$M$12,Navy!Q30,IF($D$21='Interactive Worksheet'!$M$13,Navy!T30,IF($O$18&gt;0,Navy!W30,)))))))</f>
        <v>#N/A</v>
      </c>
      <c r="Q64" s="170" t="e">
        <f>IF(D64&lt;&gt;0,D64,IF($D$21=$M$10,'AF'!F30,IF($D$21=$M$11,'AF'!I30,IF($D$21='Interactive Worksheet'!$M$12,'AF'!L30,))))</f>
        <v>#N/A</v>
      </c>
      <c r="R64" s="170" t="e">
        <f>IF(D64&lt;&gt;0,D64*'Components and Space Standards'!C30,IF($D$21=$M$10,'AF'!H30,IF($D$21=$M$11,'AF'!K30,IF($D$21='Interactive Worksheet'!$M$12,'AF'!N30,))))</f>
        <v>#N/A</v>
      </c>
      <c r="S64" s="520" t="e">
        <f>IF($D64&lt;&gt;0,$D64,IF($D$21=$M$9,MC!F30,IF($D$21=$M$10,MC!I30,IF($D$21='Interactive Worksheet'!$M$11,MC!L30,IF($D$21='Interactive Worksheet'!$M$12,MC!O30,IF($D$21='Interactive Worksheet'!$M$13,MC!R30,))))))</f>
        <v>#N/A</v>
      </c>
      <c r="T64" s="521" t="e">
        <f>IF($D64&lt;&gt;0,$D64*'Components and Space Standards'!C30,IF($D$21=$M$9,MC!H30,IF($D$21=$M$10,MC!K30,IF($D$21='Interactive Worksheet'!$M$11,MC!N30,IF($D$21='Interactive Worksheet'!$M$12,MC!Q30,IF($D$21='Interactive Worksheet'!$M$13,MC!T30,))))))</f>
        <v>#N/A</v>
      </c>
      <c r="U64" s="512">
        <f>(H64/50)*1</f>
        <v>0</v>
      </c>
      <c r="V64" s="476"/>
      <c r="W64" s="27"/>
    </row>
    <row r="65" spans="1:23" s="34" customFormat="1" ht="15" customHeight="1">
      <c r="A65" s="246">
        <f>IF(OR($D$26&lt;&gt;"Yes",$D$26=0,$K$26&lt;&gt;"Yes"),,'Components and Space Standards'!A31)</f>
        <v>0</v>
      </c>
      <c r="B65" s="25"/>
      <c r="C65" s="50"/>
      <c r="D65" s="77"/>
      <c r="E65" s="252">
        <f>IF(OR($D$26&lt;&gt;"Yes",$D$26=0,$K$26&lt;&gt;"Yes"),,IF($D$5=$K$5,$M65&amp;" "&amp;'Components and Space Standards'!$D31&amp;".",IF($D$5=$K$6,$O65&amp;" "&amp;'Components and Space Standards'!$D31&amp;".",IF($D$5=$K$7,$Q65&amp;" "&amp;'Components and Space Standards'!$D31&amp;".",IF($D$5=$K$8,$S65&amp;" "&amp;'Components and Space Standards'!$D31&amp;".",)))))</f>
        <v>0</v>
      </c>
      <c r="F65" s="52"/>
      <c r="G65" s="250">
        <f t="shared" si="4"/>
        <v>0</v>
      </c>
      <c r="H65" s="45">
        <f>IF(OR($D$26&lt;&gt;"Yes",$D$26=0,$K$26&lt;&gt;"Yes"),,IF($D$5=$K$5,N65,IF($D$5=$K$6,P65,IF($D$5=$K$7,R65,IF($D$5=$K$8,T65,)))))</f>
        <v>0</v>
      </c>
      <c r="I65" s="33"/>
      <c r="J65" s="565"/>
      <c r="K65" s="592">
        <v>0</v>
      </c>
      <c r="L65" s="163"/>
      <c r="M65" s="510" t="e">
        <f>IF($D65&lt;&gt;0,$D65,IF($D$21=$M$9,Army!$F31,IF($D$21=$M$10,Army!$I31,IF($D$21='Interactive Worksheet'!$M$11,Army!$L31,IF($D$21='Interactive Worksheet'!$M$12,Army!$O31,IF($D$21='Interactive Worksheet'!$M$13,IF($M$17=0,Army!$R31,($M$17*Army!U31)+Army!R31)))))))</f>
        <v>#N/A</v>
      </c>
      <c r="N65" s="510" t="e">
        <f>IF($D65&lt;&gt;0,$D65*'Components and Space Standards'!$C31,IF($D$21=$M$9,Army!$H31,IF($D$21=$M$10,Army!$K31,IF($D$21='Interactive Worksheet'!$M$11,Army!$N31,IF($D$21='Interactive Worksheet'!$M$12,Army!$Q31,IF($D$21='Interactive Worksheet'!$M$13,IF($M$17=0,Army!$T31,($M$17*Army!W31)+Army!T31)))))))</f>
        <v>#N/A</v>
      </c>
      <c r="O65" s="522" t="e">
        <f>IF(D65&lt;&gt;0,D65,IF($D$21=$M$9,Navy!F31,IF($D$21=$M$10,Navy!I31,IF($D$21='Interactive Worksheet'!$M$11,Navy!L31,IF($D$21='Interactive Worksheet'!$M$12,Navy!O31,IF($D$21='Interactive Worksheet'!$M$13,Navy!R31,IF($O$18&gt;0,Navy!U31,)))))))</f>
        <v>#N/A</v>
      </c>
      <c r="P65" s="522" t="e">
        <f>IF(D65&lt;&gt;0,D65*'Components and Space Standards'!C31,IF($D$21=$M$9,Navy!H31,IF($D$21=$M$10,Navy!K31,IF($D$21='Interactive Worksheet'!$M$11,Navy!N31,IF($D$21='Interactive Worksheet'!$M$12,Navy!Q31,IF($D$21='Interactive Worksheet'!$M$13,Navy!T31,IF($O$18&gt;0,Navy!W31,)))))))</f>
        <v>#N/A</v>
      </c>
      <c r="Q65" s="170" t="e">
        <f>IF(D65&lt;&gt;0,D65,IF($D$21=$M$10,'AF'!F31,IF($D$21=$M$11,'AF'!I31,IF($D$21='Interactive Worksheet'!$M$12,'AF'!L31,))))</f>
        <v>#N/A</v>
      </c>
      <c r="R65" s="170" t="e">
        <f>IF(D65&lt;&gt;0,D65*'Components and Space Standards'!C31,IF($D$21=$M$10,'AF'!H31,IF($D$21=$M$11,'AF'!K31,IF($D$21='Interactive Worksheet'!$M$12,'AF'!N31,))))</f>
        <v>#N/A</v>
      </c>
      <c r="S65" s="520" t="e">
        <f>IF($D65&lt;&gt;0,$D65,IF($D$21=$M$9,MC!F31,IF($D$21=$M$10,MC!I31,IF($D$21='Interactive Worksheet'!$M$11,MC!L31,IF($D$21='Interactive Worksheet'!$M$12,MC!O31,IF($D$21='Interactive Worksheet'!$M$13,MC!R31,))))))</f>
        <v>#N/A</v>
      </c>
      <c r="T65" s="521" t="e">
        <f>IF($D65&lt;&gt;0,$D65*'Components and Space Standards'!C31,IF($D$21=$M$9,MC!H31,IF($D$21=$M$10,MC!K31,IF($D$21='Interactive Worksheet'!$M$11,MC!N31,IF($D$21='Interactive Worksheet'!$M$12,MC!Q31,IF($D$21='Interactive Worksheet'!$M$13,MC!T31,))))))</f>
        <v>#N/A</v>
      </c>
      <c r="U65" s="512">
        <f>(H65/800)*4</f>
        <v>0</v>
      </c>
      <c r="V65" s="476"/>
      <c r="W65" s="27"/>
    </row>
    <row r="66" spans="1:23" s="34" customFormat="1" ht="15" customHeight="1">
      <c r="A66" s="246">
        <f>IF(OR($D$26&lt;&gt;"Yes",$D$26=0,$K$26&lt;&gt;"Yes",D5=K6),,'Components and Space Standards'!A32)</f>
        <v>0</v>
      </c>
      <c r="B66" s="25"/>
      <c r="C66" s="50"/>
      <c r="D66" s="77"/>
      <c r="E66" s="252">
        <f>IF(OR($D$26&lt;&gt;"Yes",$D$26=0,$K$26&lt;&gt;"Yes"),,IF($D$5=$K$5,$M66&amp;" "&amp;'Components and Space Standards'!$D32&amp;".",IF($D$5=$K$6,$O66&amp;" "&amp;'Components and Space Standards'!$D32&amp;".",IF($D$5=$K$7,$Q66&amp;" "&amp;'Components and Space Standards'!$D32&amp;".",IF($D$5=$K$8,$S66&amp;" "&amp;'Components and Space Standards'!$D32&amp;".",)))))</f>
        <v>0</v>
      </c>
      <c r="F66" s="52"/>
      <c r="G66" s="250">
        <f>ROUND(H66*$K$33,2)</f>
        <v>0</v>
      </c>
      <c r="H66" s="45">
        <f>IF(OR($D$26&lt;&gt;"Yes",$D$26=0,$K$26&lt;&gt;"Yes"),,IF($D$5=$K$5,N66,IF($D$5=$K$6,P66,IF($D$5=$K$7,R66,IF($D$5=$K$8,T66,)))))</f>
        <v>0</v>
      </c>
      <c r="I66" s="33"/>
      <c r="J66" s="565"/>
      <c r="K66" s="171">
        <f>IF($D$5=$K$8,2000,)</f>
        <v>0</v>
      </c>
      <c r="L66" s="163"/>
      <c r="M66" s="510"/>
      <c r="N66" s="510"/>
      <c r="O66" s="522"/>
      <c r="P66" s="522"/>
      <c r="Q66" s="170"/>
      <c r="R66" s="170"/>
      <c r="S66" s="520"/>
      <c r="T66" s="601">
        <f>'Components and Space Standards'!C32</f>
        <v>8892</v>
      </c>
      <c r="U66" s="512">
        <f>(H66/800)*4</f>
        <v>0</v>
      </c>
      <c r="V66" s="476"/>
      <c r="W66" s="27"/>
    </row>
    <row r="67" spans="1:23" s="34" customFormat="1" ht="15" customHeight="1">
      <c r="A67" s="246">
        <f>IF(OR($D$26&lt;&gt;"Yes",$D$26=0,$K$26&lt;&gt;"Yes",D5=K6),,'Components and Space Standards'!A33)</f>
        <v>0</v>
      </c>
      <c r="B67" s="25"/>
      <c r="C67" s="252">
        <f>IF(OR($D$26&lt;&gt;"Yes",$D$26=0,$K$26&lt;&gt;"Yes"),,IF(D5=K8,"Select size of HITT Center",))</f>
        <v>0</v>
      </c>
      <c r="D67" s="278"/>
      <c r="E67" s="252">
        <f>IF(OR($D$26&lt;&gt;"Yes",$D$26=0,$K$26&lt;&gt;"Yes",D5=K6),,IF($D$5=$K$5,$M67&amp;" "&amp;'Components and Space Standards'!$D33&amp;".",IF($D$5=$K$6,$O67&amp;" "&amp;'Components and Space Standards'!$D33&amp;".",IF($D$5=$K$7,$Q67&amp;" "&amp;'Components and Space Standards'!$D33&amp;".",IF($D$5=$K$8," "&amp;'Components and Space Standards'!$D33&amp;".",)))))</f>
        <v>0</v>
      </c>
      <c r="F67" s="52"/>
      <c r="G67" s="250">
        <f>ROUND(H67*$K$33,2)</f>
        <v>0</v>
      </c>
      <c r="H67" s="45">
        <f>IF(OR($D$26&lt;&gt;"Yes",$D$26=0,$K$26&lt;&gt;"Yes",D5=K6),,IF($D$5=$K$8,D67))</f>
        <v>0</v>
      </c>
      <c r="I67" s="33"/>
      <c r="J67" s="565"/>
      <c r="K67" s="171">
        <f>IF($D$5=$K$8,4000,)</f>
        <v>0</v>
      </c>
      <c r="L67" s="163"/>
      <c r="M67" s="510" t="e">
        <f>IF($D67&lt;&gt;0,$D67,IF($D$21=$M$9,Army!$F33,IF($D$21=$M$10,Army!$I33,IF($D$21='Interactive Worksheet'!$M$11,Army!$L33,IF($D$21='Interactive Worksheet'!$M$12,Army!$O33,IF($D$21='Interactive Worksheet'!$M$13,IF($M$17=0,Army!$R33,($M$17*Army!U33)+Army!R33)))))))</f>
        <v>#N/A</v>
      </c>
      <c r="N67" s="510" t="e">
        <f>IF($D67&lt;&gt;0,$D67*'Components and Space Standards'!$C33,IF($D$21=$M$9,Army!$H33,IF($D$21=$M$10,Army!$K33,IF($D$21='Interactive Worksheet'!$M$11,Army!$N33,IF($D$21='Interactive Worksheet'!$M$12,Army!$Q33,IF($D$21='Interactive Worksheet'!$M$13,IF($M$17=0,Army!$T33,($M$17*Army!W33)+Army!T33)))))))</f>
        <v>#N/A</v>
      </c>
      <c r="O67" s="522" t="e">
        <f>IF(D67&lt;&gt;0,D67,IF($D$21=$M$9,Navy!F33,IF($D$21=$M$10,Navy!I33,IF($D$21='Interactive Worksheet'!$M$11,Navy!L33,IF($D$21='Interactive Worksheet'!$M$12,Navy!O33,IF($D$21='Interactive Worksheet'!$M$13,Navy!R33,IF($O$18&gt;0,Navy!U33,)))))))</f>
        <v>#N/A</v>
      </c>
      <c r="P67" s="522" t="e">
        <f>IF(D67&lt;&gt;0,D67*'Components and Space Standards'!C33,IF($D$21=$M$9,Navy!H33,IF($D$21=$M$10,Navy!K33,IF($D$21='Interactive Worksheet'!$M$11,Navy!N33,IF($D$21='Interactive Worksheet'!$M$12,Navy!Q33,IF($D$21='Interactive Worksheet'!$M$13,Navy!T33,IF($O$18&gt;0,Navy!W33,)))))))</f>
        <v>#N/A</v>
      </c>
      <c r="Q67" s="170" t="e">
        <f>IF(D67&lt;&gt;0,D67,IF($D$21=$M$10,'AF'!F33,IF($D$21=$M$11,'AF'!I33,IF($D$21='Interactive Worksheet'!$M$12,'AF'!L33,))))</f>
        <v>#N/A</v>
      </c>
      <c r="R67" s="170" t="e">
        <f>IF(D67&lt;&gt;0,D67*'Components and Space Standards'!C33,IF($D$21=$M$10,'AF'!H33,IF($D$21=$M$11,'AF'!K33,IF($D$21='Interactive Worksheet'!$M$12,'AF'!N33,))))</f>
        <v>#N/A</v>
      </c>
      <c r="S67" s="520" t="e">
        <f>IF($D67&lt;&gt;0,$D67,IF($D$21=$M$9,MC!F33,IF($D$21=$M$10,MC!I33,IF($D$21='Interactive Worksheet'!$M$11,MC!L33,IF($D$21='Interactive Worksheet'!$M$12,MC!O33,IF($D$21='Interactive Worksheet'!$M$13,MC!R33,))))))</f>
        <v>#N/A</v>
      </c>
      <c r="T67" s="521" t="e">
        <f>IF($D67&lt;&gt;0,$D67*'Components and Space Standards'!C33,IF($D$21=$M$9,MC!H33,IF($D$21=$M$10,MC!K33,IF($D$21='Interactive Worksheet'!$M$11,MC!N33,IF($D$21='Interactive Worksheet'!$M$12,MC!Q33,IF($D$21='Interactive Worksheet'!$M$13,MC!T33,))))))</f>
        <v>#N/A</v>
      </c>
      <c r="U67" s="512">
        <f>(H67/800)*4</f>
        <v>0</v>
      </c>
      <c r="V67" s="476"/>
      <c r="W67" s="27"/>
    </row>
    <row r="68" spans="1:23" s="34" customFormat="1" ht="15" customHeight="1">
      <c r="A68" s="246">
        <f>IF(OR($D$26&lt;&gt;"Yes",$D$26=0,$K$26&lt;&gt;"Yes",D5=K6),,'Components and Space Standards'!A34)</f>
        <v>0</v>
      </c>
      <c r="B68" s="25"/>
      <c r="C68" s="252">
        <f>IF(OR($D$26&lt;&gt;"Yes",$D$26=0,$K$26&lt;&gt;"Yes",D5=K6),,"Select # of court modules, max. 2")</f>
        <v>0</v>
      </c>
      <c r="D68" s="278"/>
      <c r="E68" s="252">
        <f>IF(OR($D$26&lt;&gt;"Yes",$D$26=0,$K$26&lt;&gt;"Yes",$D$5=$K$6),,IF($D$5=$K$5,$M68&amp;" "&amp;'Components and Space Standards'!$D34&amp;".",IF($D$5=$K$6,$O68&amp;" "&amp;'Components and Space Standards'!$D34&amp;".",IF($D$5=$K$7,$Q68&amp;" "&amp;'Components and Space Standards'!$D34&amp;".",IF($D$5=$K$8,$S68&amp;" "&amp;'Components and Space Standards'!$D34&amp;".",)))))</f>
        <v>0</v>
      </c>
      <c r="F68" s="52"/>
      <c r="G68" s="250">
        <f t="shared" si="4"/>
        <v>0</v>
      </c>
      <c r="H68" s="45">
        <f>IF(OR($D$26&lt;&gt;"Yes",$D$26=0,$K$26&lt;&gt;"Yes",$D$5=$K$6),,IF($D$5=$K$5,N68,IF($D$5=$K$6,P68,IF($D$5=$K$7,R68,IF($D$5=$K$8,T68,)))))</f>
        <v>0</v>
      </c>
      <c r="I68" s="33"/>
      <c r="J68" s="565"/>
      <c r="K68" s="171">
        <f>IF($D$5=$K$8,1,)</f>
        <v>0</v>
      </c>
      <c r="L68" s="163"/>
      <c r="M68" s="510" t="e">
        <f>IF($D68&lt;&gt;0,$D68,IF($D$21=$M$9,Army!$F32,IF($D$21=$M$10,Army!$I32,IF($D$21='Interactive Worksheet'!$M$11,Army!$L32,IF($D$21='Interactive Worksheet'!$M$12,Army!$O32,IF($D$21='Interactive Worksheet'!$M$13,IF($M$17=0,Army!$R32,($M$17*Army!U32)+Army!R32)))))))</f>
        <v>#N/A</v>
      </c>
      <c r="N68" s="510" t="e">
        <f>IF($D68&lt;&gt;0,$D68*'Components and Space Standards'!$C34,IF($D$21=$M$9,Army!$H32,IF($D$21=$M$10,Army!$K32,IF($D$21='Interactive Worksheet'!$M$11,Army!$N32,IF($D$21='Interactive Worksheet'!$M$12,Army!$Q32,IF($D$21='Interactive Worksheet'!$M$13,IF($M$17=0,Army!$T32,($M$17*Army!W32)+Army!T32)))))))</f>
        <v>#N/A</v>
      </c>
      <c r="O68" s="522" t="e">
        <f>IF(D68&lt;&gt;0,D68,IF($D$21=$M$9,Navy!F32,IF($D$21=$M$10,Navy!I32,IF($D$21='Interactive Worksheet'!$M$11,Navy!L32,IF($D$21='Interactive Worksheet'!$M$12,Navy!O32,IF($D$21='Interactive Worksheet'!$M$13,Navy!R32,IF($O$18&gt;0,Navy!U32,)))))))</f>
        <v>#N/A</v>
      </c>
      <c r="P68" s="522" t="e">
        <f>IF(D68&lt;&gt;0,D68*'Components and Space Standards'!C34,IF($D$21=$M$9,Navy!H32,IF($D$21=$M$10,Navy!K32,IF($D$21='Interactive Worksheet'!$M$11,Navy!N32,IF($D$21='Interactive Worksheet'!$M$12,Navy!Q32,IF($D$21='Interactive Worksheet'!$M$13,Navy!T32,IF($O$18&gt;0,Navy!W32,)))))))</f>
        <v>#N/A</v>
      </c>
      <c r="Q68" s="170" t="e">
        <f>IF(D68&lt;&gt;0,D68,IF($D$21=$M$10,'AF'!F32,IF($D$21=$M$11,'AF'!I32,IF($D$21='Interactive Worksheet'!$M$12,'AF'!L32,))))</f>
        <v>#N/A</v>
      </c>
      <c r="R68" s="170" t="e">
        <f>IF(D68&lt;&gt;0,D68*'Components and Space Standards'!C34,IF($D$21=$M$10,'AF'!H32,IF($D$21=$M$11,'AF'!K32,IF($D$21='Interactive Worksheet'!$M$12,'AF'!N32,))))</f>
        <v>#N/A</v>
      </c>
      <c r="S68" s="520">
        <f>D68</f>
        <v>0</v>
      </c>
      <c r="T68" s="520">
        <f>S68*200</f>
        <v>0</v>
      </c>
      <c r="U68" s="160"/>
      <c r="V68" s="476"/>
      <c r="W68" s="27"/>
    </row>
    <row r="69" spans="1:23" s="34" customFormat="1" ht="15" customHeight="1">
      <c r="A69" s="246">
        <f>IF(OR($D$26&lt;&gt;"Yes",$D$26=0,$K$26&lt;&gt;"Yes"),,'Components and Space Standards'!A35)</f>
        <v>0</v>
      </c>
      <c r="B69" s="25"/>
      <c r="C69" s="85"/>
      <c r="D69" s="79"/>
      <c r="E69" s="252">
        <f>IF(OR($D$26&lt;&gt;"Yes",$D$26=0,$K$26&lt;&gt;"Yes"),,IF($D$5=$K$5,$M69&amp;" "&amp;'Components and Space Standards'!$D35&amp;".",IF($D$5=$K$6,$O69&amp;" "&amp;'Components and Space Standards'!$D35&amp;".",IF($D$5=$K$7,$Q69&amp;" "&amp;'Components and Space Standards'!$D35&amp;".",IF($D$5=$K$8,$S69&amp;" "&amp;'Components and Space Standards'!$D35&amp;".",)))))</f>
        <v>0</v>
      </c>
      <c r="F69" s="52"/>
      <c r="G69" s="250">
        <f>ROUND(H69*$K$33,2)</f>
        <v>0</v>
      </c>
      <c r="H69" s="45">
        <f>IF(OR($D$26&lt;&gt;"Yes",$D$26=0,$K$26&lt;&gt;"Yes"),,IF($D$5=$K$5,N69,IF($D$5=$K$6,P69,IF($D$5=$K$7,R69,IF($D$5=$K$8,T69,)))))</f>
        <v>0</v>
      </c>
      <c r="I69" s="33"/>
      <c r="J69" s="565"/>
      <c r="K69" s="171">
        <f>IF($D$5=$K$8,2,)</f>
        <v>0</v>
      </c>
      <c r="L69" s="163"/>
      <c r="M69" s="327"/>
      <c r="N69" s="327" t="e">
        <f>0.1*N64</f>
        <v>#N/A</v>
      </c>
      <c r="O69" s="327"/>
      <c r="P69" s="327" t="e">
        <f>0.1*P64</f>
        <v>#N/A</v>
      </c>
      <c r="Q69" s="327"/>
      <c r="R69" s="327" t="e">
        <f>0.1*R64</f>
        <v>#N/A</v>
      </c>
      <c r="S69" s="327"/>
      <c r="T69" s="327" t="e">
        <f>0.1*T64</f>
        <v>#N/A</v>
      </c>
      <c r="U69" s="160"/>
      <c r="V69" s="476"/>
      <c r="W69" s="442"/>
    </row>
    <row r="70" spans="1:23" s="34" customFormat="1" ht="24.75" customHeight="1">
      <c r="A70" s="251">
        <f>IF(OR($D$26&lt;&gt;"Yes",$D$26=0,$K$26&lt;&gt;"Yes"),,'Components and Space Standards'!A36)</f>
        <v>0</v>
      </c>
      <c r="B70" s="25"/>
      <c r="C70" s="25"/>
      <c r="D70" s="25"/>
      <c r="E70" s="25"/>
      <c r="F70" s="25"/>
      <c r="G70" s="25"/>
      <c r="H70" s="444"/>
      <c r="J70" s="565"/>
      <c r="K70" s="487"/>
      <c r="L70" s="487"/>
      <c r="M70" s="662" t="s">
        <v>311</v>
      </c>
      <c r="N70" s="663"/>
      <c r="O70" s="663"/>
      <c r="P70" s="663"/>
      <c r="Q70" s="663"/>
      <c r="R70" s="663"/>
      <c r="S70" s="663"/>
      <c r="T70" s="663"/>
      <c r="U70" s="664"/>
      <c r="V70" s="476"/>
      <c r="W70" s="443"/>
    </row>
    <row r="71" spans="1:23" s="34" customFormat="1" ht="15" customHeight="1">
      <c r="A71" s="687">
        <f>IF(OR($D$26&lt;&gt;"Yes",$D$26=0,$K$26&lt;&gt;"Yes"),,"Space criteria for men's and women's locker, shower, and toilet areas are provided at the end of the spreadsheet because they are determined by selections made throughout.")</f>
        <v>0</v>
      </c>
      <c r="B71" s="688"/>
      <c r="C71" s="688"/>
      <c r="D71" s="688"/>
      <c r="E71" s="25"/>
      <c r="F71" s="25"/>
      <c r="G71" s="25"/>
      <c r="H71" s="39"/>
      <c r="J71" s="565"/>
      <c r="K71" s="488"/>
      <c r="L71" s="489"/>
      <c r="M71" s="489"/>
      <c r="N71" s="489"/>
      <c r="O71" s="489"/>
      <c r="P71" s="489"/>
      <c r="Q71" s="489"/>
      <c r="R71" s="489"/>
      <c r="S71" s="489"/>
      <c r="T71" s="489"/>
      <c r="U71" s="489"/>
      <c r="V71" s="476"/>
      <c r="W71" s="429"/>
    </row>
    <row r="72" spans="1:23" s="34" customFormat="1" ht="15" customHeight="1">
      <c r="A72" s="687"/>
      <c r="B72" s="688"/>
      <c r="C72" s="688"/>
      <c r="D72" s="688"/>
      <c r="E72" s="25"/>
      <c r="F72" s="25"/>
      <c r="G72" s="25"/>
      <c r="H72" s="39"/>
      <c r="J72" s="565"/>
      <c r="K72" s="488"/>
      <c r="L72" s="489"/>
      <c r="M72" s="559"/>
      <c r="N72" s="559"/>
      <c r="O72" s="489"/>
      <c r="P72" s="489"/>
      <c r="Q72" s="489"/>
      <c r="R72" s="489"/>
      <c r="S72" s="489"/>
      <c r="T72" s="489"/>
      <c r="U72" s="489"/>
      <c r="V72" s="476"/>
      <c r="W72" s="429"/>
    </row>
    <row r="73" spans="1:23" s="34" customFormat="1" ht="15" customHeight="1">
      <c r="A73" s="687"/>
      <c r="B73" s="688"/>
      <c r="C73" s="688"/>
      <c r="D73" s="688"/>
      <c r="E73" s="25"/>
      <c r="F73" s="25"/>
      <c r="G73" s="25"/>
      <c r="H73" s="39"/>
      <c r="J73" s="565"/>
      <c r="K73" s="171" t="s">
        <v>353</v>
      </c>
      <c r="L73" s="477"/>
      <c r="M73" s="477"/>
      <c r="N73" s="477"/>
      <c r="O73" s="477"/>
      <c r="P73" s="477"/>
      <c r="Q73" s="477"/>
      <c r="R73" s="477"/>
      <c r="S73" s="477"/>
      <c r="T73" s="477"/>
      <c r="U73" s="477"/>
      <c r="V73" s="476"/>
      <c r="W73" s="582"/>
    </row>
    <row r="74" spans="1:23" s="34" customFormat="1" ht="15" customHeight="1">
      <c r="A74" s="246">
        <f>IF(OR($D$26&lt;&gt;"Yes",$D$26=0,$K$26&lt;&gt;"Yes"),,'Components and Space Standards'!A45)</f>
        <v>0</v>
      </c>
      <c r="B74" s="597"/>
      <c r="C74" s="252">
        <f>IF(OR($D$26&lt;&gt;"Yes",$D$26=0,$K$26&lt;&gt;"Yes",D5=K6),,"To change default, select new:")</f>
        <v>0</v>
      </c>
      <c r="D74" s="593" t="s">
        <v>353</v>
      </c>
      <c r="E74" s="252">
        <f>IF(OR($D$26&lt;&gt;"Yes",$D$26=0,$K$26&lt;&gt;"Yes",D5=K6),,IF($D$5=$K$5,$M74&amp;" "&amp;'Components and Space Standards'!$D45&amp;".",IF($D$5=$K$6,$O74&amp;" "&amp;'Components and Space Standards'!$D45&amp;".",IF($D$5=$K$7,$Q74&amp;" "&amp;'Components and Space Standards'!$D45&amp;".",IF($D$5=$K$8,$S74&amp;" "&amp;'Components and Space Standards'!$D45&amp;".",)))))</f>
        <v>0</v>
      </c>
      <c r="F74" s="52"/>
      <c r="G74" s="250">
        <f>ROUND(H74*$K$33,2)</f>
        <v>0</v>
      </c>
      <c r="H74" s="45">
        <f>IF(OR($D$26&lt;&gt;"Yes",$D$26=0,$K$26&lt;&gt;"Yes"),,IF($D$5=$K$5,N74,IF($D$5=$K$6,P74,IF($D$5=$K$7,R74,IF($D$5=$K$8,T74,)))))</f>
        <v>0</v>
      </c>
      <c r="I74" s="33"/>
      <c r="J74" s="566" t="str">
        <f>IF(D74&lt;&gt;0,"D",)</f>
        <v>D</v>
      </c>
      <c r="K74" s="171" t="s">
        <v>170</v>
      </c>
      <c r="L74" s="163"/>
      <c r="M74" s="281" t="str">
        <f>IF($D74&lt;&gt;0,"Error",IF($D$21=$M$9,Army!$F43,IF($D$21=$M$10,Army!$I43,IF($D$21='Interactive Worksheet'!$M$11,Army!$L43,IF($D$21='Interactive Worksheet'!$M$12,Army!$O43,IF($D$21='Interactive Worksheet'!$M$13,IF($M$17=0,Army!$R43,$M$17&amp;" "&amp;Army!U43&amp;" &amp; 1 "&amp;Army!R43)))))))</f>
        <v>Error</v>
      </c>
      <c r="N74" s="281">
        <f>IF(M74="Small",(80*2),IF(M74="Medium",(120*2),IF(M74="Large",(144*2),(M17*(80*2))+(144*2))))</f>
        <v>288</v>
      </c>
      <c r="O74" s="281" t="str">
        <f>IF($D74&lt;&gt;0,$D74,IF($D$21=$M$9,MC!B43,IF($D$21=$M$10,MC!E43,IF($D$21='Interactive Worksheet'!$M$11,MC!H43,IF($D$21='Interactive Worksheet'!$M$12,MC!K43,IF($D$21='Interactive Worksheet'!$M$13,MC!N43,))))))</f>
        <v>None</v>
      </c>
      <c r="P74" s="281">
        <f>IF(O74="None",,IF(O74="Small",(80*2),IF(O74="Medium",(120*2),IF(O74="Large",(144*2),))))</f>
        <v>0</v>
      </c>
      <c r="Q74" s="281" t="str">
        <f>IF($D74&lt;&gt;0,$D74,IF($D$21=$M$10,'AF'!F43,IF($D$21=$M$11,'AF'!I43,IF($D$21=$M$12,'AF'!L43,))))</f>
        <v>None</v>
      </c>
      <c r="R74" s="281">
        <f>IF(Q74="Small",(80*2),IF(Q74="Medium",(120*2),IF(Q74="Large",(144*2),)))</f>
        <v>0</v>
      </c>
      <c r="S74" s="281" t="str">
        <f>IF($D74&lt;&gt;0,$D74,IF($D$21=$M$9,MC!F43,IF($D$21=$M$10,MC!I43,IF($D$21='Interactive Worksheet'!$M$11,MC!L43,IF($D$21='Interactive Worksheet'!$M$12,MC!O43,IF($D$21='Interactive Worksheet'!$M$13,MC!R43,))))))</f>
        <v>None</v>
      </c>
      <c r="T74" s="511">
        <f>IF(S74="Small",(80*2),IF(S74="Medium",(120*2),IF(S74="Large",(144*2),)))</f>
        <v>0</v>
      </c>
      <c r="U74" s="512">
        <f>IF(H74=160,6,IF(H74=240,9,IF(H74=288,12,0)))</f>
        <v>0</v>
      </c>
      <c r="V74" s="476"/>
      <c r="W74" s="588"/>
    </row>
    <row r="75" spans="1:23" s="34" customFormat="1" ht="15" customHeight="1">
      <c r="A75" s="246"/>
      <c r="B75" s="25"/>
      <c r="C75" s="252"/>
      <c r="D75" s="603"/>
      <c r="E75" s="252"/>
      <c r="F75" s="52"/>
      <c r="G75" s="250">
        <f>ROUND(H75*$K$33,2)</f>
        <v>0</v>
      </c>
      <c r="H75" s="45">
        <f>IF(OR($D$26&lt;&gt;"Yes",$D$26=0,$K$26&lt;&gt;"Yes"),,IF($D$5=$K$5,N75,IF($D$5=$K$6,P75,IF($D$5=$K$7,R75,IF($D$5=$K$8,T75,)))))</f>
        <v>0</v>
      </c>
      <c r="I75" s="33"/>
      <c r="J75" s="566">
        <f>IF(D75&lt;&gt;0,"D",)</f>
        <v>0</v>
      </c>
      <c r="K75" s="171" t="s">
        <v>171</v>
      </c>
      <c r="L75" s="163"/>
      <c r="M75" s="281" t="e">
        <f>IF($D75&lt;&gt;0,"Error",IF($D$21=$M$9,Army!$F44,IF($D$21=$M$10,Army!$I44,IF($D$21='Interactive Worksheet'!$M$11,Army!$L44,IF($D$21='Interactive Worksheet'!$M$12,Army!$O44,IF($D$21='Interactive Worksheet'!$M$13,IF($M$17=0,Army!$R44,($M$17*Army!U44)+Army!R44)))))))</f>
        <v>#N/A</v>
      </c>
      <c r="N75" s="281"/>
      <c r="O75" s="560" t="e">
        <f>IF($D75&lt;&gt;0,$D75,IF($D$21=$M$9,Navy!F44,IF($D$21=$M$10,Navy!I44,IF($D$21='Interactive Worksheet'!$M$11,Navy!L44,IF($D$21='Interactive Worksheet'!$M$12,Navy!O44,IF($D$21='Interactive Worksheet'!$M$13,Navy!R44,IF($O$18&gt;0,Navy!U44,)))))))</f>
        <v>#N/A</v>
      </c>
      <c r="P75" s="281"/>
      <c r="Q75" s="281" t="e">
        <f>IF($D75&lt;&gt;0,$D75,IF($D$21=$M$10,'AF'!F44,IF($D$21=$M$11,'AF'!I44,IF($D$21=$M$12,'AF'!L44,))))</f>
        <v>#N/A</v>
      </c>
      <c r="R75" s="281"/>
      <c r="S75" s="281" t="e">
        <f>IF($D75&lt;&gt;0,"Error",IF($D$21=$M$9,MC!F44,IF($D$21=$M$10,MC!I44,IF($D$21='Interactive Worksheet'!$M$11,MC!L44,IF($D$21='Interactive Worksheet'!$M$12,MC!O44,IF($D$21='Interactive Worksheet'!$M$13,MC!R44,))))))</f>
        <v>#N/A</v>
      </c>
      <c r="T75" s="511"/>
      <c r="U75" s="512">
        <f>IF(H75=184,7,IF(H75=268,9,IF(H75=330,14,0)))</f>
        <v>0</v>
      </c>
      <c r="V75" s="476"/>
      <c r="W75" s="588"/>
    </row>
    <row r="76" spans="1:23" s="34" customFormat="1" ht="15" customHeight="1">
      <c r="A76" s="246"/>
      <c r="B76" s="25"/>
      <c r="C76" s="252"/>
      <c r="D76" s="603"/>
      <c r="E76" s="252"/>
      <c r="F76" s="52"/>
      <c r="G76" s="250">
        <f>ROUND(H76*$K$33,2)</f>
        <v>0</v>
      </c>
      <c r="H76" s="45">
        <f>IF(OR($D$26&lt;&gt;"Yes",$D$26=0,$K$26&lt;&gt;"Yes"),,IF($D$5=$K$5,N76,IF($D$5=$K$6,P76,IF($D$5=$K$7,R76,IF($D$5=$K$8,T76,)))))</f>
        <v>0</v>
      </c>
      <c r="I76" s="33"/>
      <c r="J76" s="566">
        <f>IF(D76&lt;&gt;0,"D",)</f>
        <v>0</v>
      </c>
      <c r="K76" s="171" t="s">
        <v>172</v>
      </c>
      <c r="L76" s="163"/>
      <c r="M76" s="281" t="e">
        <f>IF($D76&lt;&gt;0,"Error",IF($D$21=$M$9,Army!$F45,IF($D$21=$M$10,Army!$I45,IF($D$21='Interactive Worksheet'!$M$11,Army!$L45,IF($D$21='Interactive Worksheet'!$M$12,Army!$O45,IF($D$21='Interactive Worksheet'!$M$13,IF($M$17=0,Army!$R45,($M$17*Army!U45)+Army!R45)))))))</f>
        <v>#N/A</v>
      </c>
      <c r="N76" s="281"/>
      <c r="O76" s="560" t="e">
        <f>IF($D76&lt;&gt;0,$D76,IF($D$21=$M$9,Navy!F45,IF($D$21=$M$10,Navy!I45,IF($D$21='Interactive Worksheet'!$M$11,Navy!L45,IF($D$21='Interactive Worksheet'!$M$12,Navy!O45,IF($D$21='Interactive Worksheet'!$M$13,Navy!R45,IF($O$18&gt;0,Navy!U45,)))))))</f>
        <v>#N/A</v>
      </c>
      <c r="P76" s="281"/>
      <c r="Q76" s="281" t="e">
        <f>IF($D76&lt;&gt;0,$D76,IF($D$21=$M$10,'AF'!F45,IF($D$21=$M$11,'AF'!I45,IF($D$21=$M$12,'AF'!L45,))))</f>
        <v>#N/A</v>
      </c>
      <c r="R76" s="281"/>
      <c r="S76" s="281" t="e">
        <f>IF($D76&lt;&gt;0,$D76,IF($D$21=$M$9,MC!F45,IF($D$21=$M$10,MC!I45,IF($D$21='Interactive Worksheet'!$M$11,MC!L45,IF($D$21='Interactive Worksheet'!$M$12,MC!O45,IF($D$21='Interactive Worksheet'!$M$13,MC!R45,))))))</f>
        <v>#N/A</v>
      </c>
      <c r="T76" s="511"/>
      <c r="U76" s="512">
        <f>IF(H76=90,5,IF(H76=126,8,IF(H76=160,14,0)))</f>
        <v>0</v>
      </c>
      <c r="V76" s="476"/>
      <c r="W76" s="588"/>
    </row>
    <row r="77" spans="1:23" s="34" customFormat="1" ht="13.5" customHeight="1" thickBot="1">
      <c r="A77" s="446"/>
      <c r="B77" s="382"/>
      <c r="C77" s="382"/>
      <c r="D77" s="382"/>
      <c r="E77" s="382"/>
      <c r="F77" s="382"/>
      <c r="G77" s="382"/>
      <c r="H77" s="447"/>
      <c r="J77" s="565"/>
      <c r="K77" s="490"/>
      <c r="L77" s="477"/>
      <c r="M77" s="491"/>
      <c r="N77" s="491"/>
      <c r="O77" s="491"/>
      <c r="P77" s="491"/>
      <c r="Q77" s="491"/>
      <c r="R77" s="491"/>
      <c r="S77" s="491"/>
      <c r="T77" s="491"/>
      <c r="U77" s="477"/>
      <c r="V77" s="476"/>
      <c r="W77" s="308"/>
    </row>
    <row r="78" spans="1:23" s="34" customFormat="1" ht="24.75" customHeight="1">
      <c r="A78" s="305">
        <f>IF(OR($D$26&lt;&gt;"Yes",$D$26=0,$K$26&lt;&gt;"Yes"),,'Components and Space Standards'!A3&amp;" (continued)")</f>
        <v>0</v>
      </c>
      <c r="B78" s="306"/>
      <c r="C78" s="307"/>
      <c r="D78" s="47"/>
      <c r="E78" s="67" t="s">
        <v>218</v>
      </c>
      <c r="F78" s="25"/>
      <c r="G78" s="401" t="s">
        <v>17</v>
      </c>
      <c r="H78" s="402" t="s">
        <v>18</v>
      </c>
      <c r="I78" s="33"/>
      <c r="J78" s="565"/>
      <c r="K78" s="171"/>
      <c r="L78" s="163"/>
      <c r="M78" s="159"/>
      <c r="N78" s="159"/>
      <c r="O78" s="159"/>
      <c r="P78" s="159"/>
      <c r="Q78" s="159"/>
      <c r="R78" s="159"/>
      <c r="S78" s="159"/>
      <c r="T78" s="159"/>
      <c r="U78" s="160"/>
      <c r="V78" s="476"/>
      <c r="W78" s="308"/>
    </row>
    <row r="79" spans="1:23" s="34" customFormat="1" ht="24.75" customHeight="1">
      <c r="A79" s="251">
        <f>IF(OR($D$26&lt;&gt;"Yes",$D$26=0,$K$26&lt;&gt;"Yes"),,'Components and Space Standards'!A48)</f>
        <v>0</v>
      </c>
      <c r="B79" s="25"/>
      <c r="C79" s="50"/>
      <c r="D79" s="77"/>
      <c r="E79" s="43"/>
      <c r="F79" s="52"/>
      <c r="G79" s="152"/>
      <c r="H79" s="78"/>
      <c r="I79" s="33"/>
      <c r="J79" s="565"/>
      <c r="K79" s="171"/>
      <c r="L79" s="163"/>
      <c r="M79" s="139"/>
      <c r="N79" s="139"/>
      <c r="O79" s="139"/>
      <c r="P79" s="139"/>
      <c r="Q79" s="139"/>
      <c r="R79" s="139"/>
      <c r="S79" s="139"/>
      <c r="T79" s="139"/>
      <c r="U79" s="434"/>
      <c r="V79" s="476"/>
      <c r="W79" s="27"/>
    </row>
    <row r="80" spans="1:26" s="34" customFormat="1" ht="15" customHeight="1">
      <c r="A80" s="246">
        <f>IF(OR($D$26&lt;&gt;"Yes",$D$26=0,$K$26&lt;&gt;"Yes"),,'Components and Space Standards'!A49)</f>
        <v>0</v>
      </c>
      <c r="B80" s="25"/>
      <c r="C80" s="252">
        <f>IF(OR($D$26&lt;&gt;"Yes",$D$26=0,$K$26&lt;&gt;"Yes"),,"To change default, select new:")</f>
        <v>0</v>
      </c>
      <c r="D80" s="309"/>
      <c r="E80" s="252">
        <f>IF(OR($D$26&lt;&gt;"Yes",$D$26=0,$K$26&lt;&gt;"Yes"),,IF($D$5=$K$5,$M80&amp;" "&amp;'Components and Space Standards'!$D49&amp;".",IF($D$5=$K$6,$O80&amp;" "&amp;'Components and Space Standards'!$D49&amp;".",IF($D$5=$K$7,$Q80&amp;" "&amp;'Components and Space Standards'!$D49&amp;".",IF($D$5=$K$8,$S80&amp;" "&amp;'Components and Space Standards'!$D49&amp;".",)))))</f>
        <v>0</v>
      </c>
      <c r="F80" s="52"/>
      <c r="G80" s="250">
        <f t="shared" si="4"/>
        <v>0</v>
      </c>
      <c r="H80" s="45">
        <f>IF(OR($D$26&lt;&gt;"Yes",$D$26=0,$K$26&lt;&gt;"Yes"),,IF($D$5=$K$5,N80,IF($D$5=$K$6,P80,IF($D$5=$K$7,R80,IF($D$5=$K$8,T80,)))))</f>
        <v>0</v>
      </c>
      <c r="I80" s="33"/>
      <c r="J80" s="566">
        <f>IF(D80&lt;&gt;0,"D",)</f>
        <v>0</v>
      </c>
      <c r="K80" s="171" t="s">
        <v>244</v>
      </c>
      <c r="L80" s="163"/>
      <c r="M80" s="281" t="e">
        <f>IF($D80&lt;&gt;0,"Error",IF($D$21=$M$9,Army!$F47,IF($D$21=$M$10,Army!$I47,IF($D$21='Interactive Worksheet'!$M$11,Army!$L47,IF($D$21='Interactive Worksheet'!$M$12,Army!$O47,IF($D$21='Interactive Worksheet'!$M$13,IF($M$17=0,Army!$R47,K84)))))))</f>
        <v>#N/A</v>
      </c>
      <c r="N80" s="281" t="e">
        <f>IF(M80=$K$80,180,IF(M80=$K$81,230,IF(M80=$K$82,315,IF(M80=$K$83,385,IF(M80=$K$84,480,)))))</f>
        <v>#N/A</v>
      </c>
      <c r="O80" s="517" t="e">
        <f>IF(D80&lt;&gt;0,D80,IF($D$21=$M$9,Navy!F47,IF($D$21=$M$10,Navy!I47,IF($D$21='Interactive Worksheet'!$M$11,Navy!L47,IF($D$21='Interactive Worksheet'!$M$12,Navy!O47,IF($D$21='Interactive Worksheet'!$M$13,Navy!R47,IF($D$21='Interactive Worksheet'!$M$14,Navy!U47,)))))))</f>
        <v>#N/A</v>
      </c>
      <c r="P80" s="281" t="e">
        <f>IF(O80=$K$80,180,IF(O80=$K$81,230,IF(O80=$K$82,315,IF(O80=$K$83,385,IF(O80=$K$84,480,)))))</f>
        <v>#N/A</v>
      </c>
      <c r="Q80" s="170" t="e">
        <f>IF($D80&lt;&gt;0,$D80,IF($D$21=$M$10,'AF'!F47,IF($D$21=$M$11,'AF'!I47,IF($D$21=$M$12,'AF'!L47,))))</f>
        <v>#N/A</v>
      </c>
      <c r="R80" s="281" t="e">
        <f>IF(Q80=$K$80,180,IF(Q80=$K$81,230,IF(Q80=$K$82,315,IF(Q80=$K$83,385,IF(Q80=$K$84,480,)))))</f>
        <v>#N/A</v>
      </c>
      <c r="S80" s="170" t="e">
        <f>IF($D80&lt;&gt;0,$D80,IF($D$21=$M$9,Navy!F47,IF($D$21=$M$10,Navy!I47,IF($D$21='Interactive Worksheet'!$M$11,Navy!L47,IF($D$21='Interactive Worksheet'!$M$12,Navy!O47,IF($D$21='Interactive Worksheet'!$M$13,Navy!R47,IF($D$21='Interactive Worksheet'!$M$14,Navy!U47,)))))))</f>
        <v>#N/A</v>
      </c>
      <c r="T80" s="281" t="e">
        <f>IF(S80=$K$80,180,IF(S80=$K$81,230,IF(S80=$K$82,315,IF(S80=$K$83,385,IF(S80=$K$84,480,)))))</f>
        <v>#N/A</v>
      </c>
      <c r="U80" s="160"/>
      <c r="V80" s="476"/>
      <c r="W80" s="588"/>
      <c r="X80" s="27"/>
      <c r="Y80" s="27"/>
      <c r="Z80" s="27"/>
    </row>
    <row r="81" spans="1:26" s="34" customFormat="1" ht="15" customHeight="1">
      <c r="A81" s="246">
        <f>IF(OR($D$26&lt;&gt;"Yes",$D$26=0,$K$26&lt;&gt;"Yes"),,'Components and Space Standards'!A50)</f>
        <v>0</v>
      </c>
      <c r="B81" s="25"/>
      <c r="C81" s="51"/>
      <c r="D81" s="51"/>
      <c r="E81" s="252">
        <f>IF(OR($D$26&lt;&gt;"Yes",$D$26=0,$K$26&lt;&gt;"Yes"),,IF($D$5=$K$5,$M81&amp;" "&amp;'Components and Space Standards'!$D50&amp;".",IF($D$5=$K$6,$O81&amp;" "&amp;'Components and Space Standards'!$D50&amp;".",IF($D$5=$K$7,$Q81&amp;" "&amp;'Components and Space Standards'!$D50&amp;".",IF($D$5=$K$8,$S81&amp;" "&amp;'Components and Space Standards'!$D50&amp;".",)))))</f>
        <v>0</v>
      </c>
      <c r="F81" s="52"/>
      <c r="G81" s="250">
        <f t="shared" si="4"/>
        <v>0</v>
      </c>
      <c r="H81" s="45">
        <f>IF(OR($D$26&lt;&gt;"Yes",$D$26=0,$K$26&lt;&gt;"Yes"),,IF($D$5=$K$5,N81,IF($D$5=$K$6,P81,IF($D$5=$K$7,R81,IF($D$5=$K$8,T81,)))))</f>
        <v>0</v>
      </c>
      <c r="I81" s="33"/>
      <c r="J81" s="565"/>
      <c r="K81" s="171" t="s">
        <v>245</v>
      </c>
      <c r="L81" s="163"/>
      <c r="M81" s="281"/>
      <c r="N81" s="281" t="e">
        <f>(15*10)+(0.1*N56)</f>
        <v>#N/A</v>
      </c>
      <c r="O81" s="281"/>
      <c r="P81" s="281" t="e">
        <f>(15*10)+(0.1*P56)</f>
        <v>#N/A</v>
      </c>
      <c r="Q81" s="281"/>
      <c r="R81" s="281" t="e">
        <f>(15*10)+(0.1*R56)</f>
        <v>#N/A</v>
      </c>
      <c r="S81" s="281"/>
      <c r="T81" s="281" t="e">
        <f>(15*10)+(0.1*T56)</f>
        <v>#N/A</v>
      </c>
      <c r="U81" s="160"/>
      <c r="V81" s="476"/>
      <c r="W81" s="429"/>
      <c r="X81" s="27"/>
      <c r="Y81" s="27"/>
      <c r="Z81" s="27"/>
    </row>
    <row r="82" spans="1:23" s="34" customFormat="1" ht="15" customHeight="1">
      <c r="A82" s="246">
        <f>IF(OR($D$26&lt;&gt;"Yes",$D$26=0,$K$26&lt;&gt;"Yes"),,'Components and Space Standards'!A51)</f>
        <v>0</v>
      </c>
      <c r="B82" s="25"/>
      <c r="C82" s="50"/>
      <c r="D82" s="77"/>
      <c r="E82" s="252">
        <f>IF(OR($D$26&lt;&gt;"Yes",$D$26=0,$K$26&lt;&gt;"Yes"),,IF($D$5=$K$5,$M82&amp;" "&amp;'Components and Space Standards'!$D51&amp;".",IF($D$5=$K$6,$O82&amp;" "&amp;'Components and Space Standards'!$D51&amp;".",IF($D$5=$K$7,$Q82&amp;" "&amp;'Components and Space Standards'!$D51&amp;".",IF($D$5=$K$8,$S82&amp;" "&amp;'Components and Space Standards'!$D51&amp;".",)))))</f>
        <v>0</v>
      </c>
      <c r="F82" s="52"/>
      <c r="G82" s="250">
        <f t="shared" si="4"/>
        <v>0</v>
      </c>
      <c r="H82" s="45">
        <f>IF(OR($D$26&lt;&gt;"Yes",$D$26=0,$K$26&lt;&gt;"Yes"),,IF($D$5=$K$5,N82,IF($D$5=$K$6,P82,IF($D$5=$K$7,R82,IF($D$5=$K$8,T82,)))))</f>
        <v>0</v>
      </c>
      <c r="I82" s="33"/>
      <c r="J82" s="565"/>
      <c r="K82" s="171" t="s">
        <v>246</v>
      </c>
      <c r="L82" s="163"/>
      <c r="M82" s="327"/>
      <c r="N82" s="327" t="e">
        <f>0.05*N56</f>
        <v>#N/A</v>
      </c>
      <c r="O82" s="327"/>
      <c r="P82" s="327" t="e">
        <f>0.05*P56</f>
        <v>#N/A</v>
      </c>
      <c r="Q82" s="327"/>
      <c r="R82" s="327" t="e">
        <f>0.05*R56</f>
        <v>#N/A</v>
      </c>
      <c r="S82" s="327"/>
      <c r="T82" s="327" t="e">
        <f>0.05*T56</f>
        <v>#N/A</v>
      </c>
      <c r="U82" s="434"/>
      <c r="V82" s="476"/>
      <c r="W82" s="429"/>
    </row>
    <row r="83" spans="1:23" s="34" customFormat="1" ht="15" customHeight="1">
      <c r="A83" s="246">
        <f>IF(OR($D$26&lt;&gt;"Yes",$D$26=0,$K$26&lt;&gt;"Yes"),,'Components and Space Standards'!A52)</f>
        <v>0</v>
      </c>
      <c r="B83" s="25"/>
      <c r="C83" s="252">
        <f>IF(OR($D$26&lt;&gt;"Yes",$D$26=0,$K$26&lt;&gt;"Yes"),,"For this option, enter required sf:")</f>
        <v>0</v>
      </c>
      <c r="D83" s="418"/>
      <c r="E83" s="252">
        <f>IF(OR($D$26&lt;&gt;"Yes",$D$26=0,$K$26&lt;&gt;"Yes"),,H83&amp;" "&amp;'Components and Space Standards'!$D52&amp;".")</f>
        <v>0</v>
      </c>
      <c r="F83" s="52"/>
      <c r="G83" s="250">
        <f>ROUND(H83*$K$33,2)</f>
        <v>0</v>
      </c>
      <c r="H83" s="45">
        <f>IF(OR($D$26&lt;&gt;"Yes",$D$26=0,$K$26&lt;&gt;"Yes"),,IF($D$5=$K$5,N83,IF($D$5=$K$6,P83,IF($D$5=$K$7,R83,IF($D$5=$K$8,T83,)))))</f>
        <v>0</v>
      </c>
      <c r="I83" s="33"/>
      <c r="J83" s="566">
        <f>IF(D83&lt;&gt;0,"D",)</f>
        <v>0</v>
      </c>
      <c r="K83" s="171" t="s">
        <v>247</v>
      </c>
      <c r="L83" s="163"/>
      <c r="M83" s="281"/>
      <c r="N83" s="281" t="e">
        <f>IF($D$21=$M$9,Army!$H50,IF($D$21=$M$10,Army!$K50,IF($D$21='Interactive Worksheet'!$M$11,Army!$N50,IF($D$21='Interactive Worksheet'!$M$12,Army!$Q50,IF($D$21='Interactive Worksheet'!$M$13,IF($M$17=0,Army!$T50,($M$17*Army!W50)+Army!T50))))))</f>
        <v>#N/A</v>
      </c>
      <c r="O83" s="517" t="e">
        <f>IF(D83&lt;&gt;0,D83,IF($D$21=$M$9,Navy!F50,IF($D$21=$M$10,Navy!I50,IF($D$21='Interactive Worksheet'!$M$11,Navy!L50,IF($D$21='Interactive Worksheet'!$M$12,Navy!O50,IF($D$21='Interactive Worksheet'!$M$13,Navy!R50,IF($O$18&gt;0,Navy!U50,)))))))</f>
        <v>#N/A</v>
      </c>
      <c r="P83" s="281" t="e">
        <f>IF($D83&lt;&gt;0,$D83,IF($D$21=$M$9,Navy!$H50,IF($D$21=$M$10,Navy!$K50,IF($D$21='Interactive Worksheet'!$M$11,Navy!$N50,IF($D$21='Interactive Worksheet'!$M$12,Navy!$Q50,IF($D$21='Interactive Worksheet'!$M$13,Navy!$T50,))))))</f>
        <v>#N/A</v>
      </c>
      <c r="Q83" s="170" t="e">
        <f>IF(D83&lt;&gt;0,D83,IF($D$21=$M$10,'AF'!F50,IF($D$21=$M$11,'AF'!I50,IF($D$21='Interactive Worksheet'!$M$12,'AF'!L50,))))</f>
        <v>#N/A</v>
      </c>
      <c r="R83" s="281" t="e">
        <f>IF(D83&lt;&gt;0,D83,IF($D$21=$M$10,'AF'!H50,IF($D$21=$M$11,'AF'!K50,IF($D$21='Interactive Worksheet'!$M$12,'AF'!N50,))))</f>
        <v>#N/A</v>
      </c>
      <c r="S83" s="170" t="e">
        <f>IF($D83&lt;&gt;0,$D83,IF($D$21=$M$9,MC!F50,IF($D$21=$M$10,MC!I50,IF($D$21='Interactive Worksheet'!$M$11,MC!L50,IF($D$21='Interactive Worksheet'!$M$12,MC!O50,IF($D$21='Interactive Worksheet'!$M$13,MC!R50,))))))</f>
        <v>#N/A</v>
      </c>
      <c r="T83" s="281" t="e">
        <f>IF($D83&lt;&gt;0,$D83,IF($D$21=$M$9,MC!H50,IF($D$21=$M$10,MC!K50,IF($D$21='Interactive Worksheet'!$M$11,MC!N50,IF($D$21='Interactive Worksheet'!$M$12,MC!Q50,IF($D$21='Interactive Worksheet'!$M$13,MC!T50,))))))</f>
        <v>#N/A</v>
      </c>
      <c r="U83" s="160"/>
      <c r="V83" s="476"/>
      <c r="W83" s="27"/>
    </row>
    <row r="84" spans="1:23" s="34" customFormat="1" ht="15" customHeight="1" thickBot="1">
      <c r="A84" s="246">
        <f>IF(OR($D$26&lt;&gt;"Yes",$D$26=0,$K$26&lt;&gt;"Yes"),,'Components and Space Standards'!A53)</f>
        <v>0</v>
      </c>
      <c r="B84" s="382"/>
      <c r="C84" s="385"/>
      <c r="D84" s="395"/>
      <c r="E84" s="385"/>
      <c r="F84" s="386"/>
      <c r="G84" s="250">
        <f>ROUND(H84*$K$33,2)</f>
        <v>0</v>
      </c>
      <c r="H84" s="45">
        <f>IF(OR($D$26&lt;&gt;"Yes",$D$26=0,$K$26&lt;&gt;"Yes"),,IF($D$5=$K$5,N84,IF($D$5=$K$6,P84,IF($D$5=$K$7,R84,IF($D$5=$K$8,T84,)))))</f>
        <v>0</v>
      </c>
      <c r="I84" s="33"/>
      <c r="J84" s="565"/>
      <c r="K84" s="171" t="s">
        <v>320</v>
      </c>
      <c r="L84" s="163"/>
      <c r="M84" s="159"/>
      <c r="N84" s="159"/>
      <c r="O84" s="159"/>
      <c r="P84" s="522" t="e">
        <f>IF(D84&lt;&gt;0,D84*'Components and Space Standards'!C53,IF($D$21=$M$9,Navy!H51,IF($D$21=$M$10,Navy!K51,IF($D$21='Interactive Worksheet'!$M$11,Navy!N51,IF($D$21='Interactive Worksheet'!$M$12,Navy!Q51,IF($D$21='Interactive Worksheet'!$M$13,Navy!T51,IF($O$18&gt;0,Navy!W51,)))))))</f>
        <v>#N/A</v>
      </c>
      <c r="Q84" s="159"/>
      <c r="R84" s="159"/>
      <c r="S84" s="520" t="e">
        <f>IF($D84&lt;&gt;0,$D84,IF($D$21=$M$9,MC!F48,IF($D$21=$M$10,MC!I48,IF($D$21='Interactive Worksheet'!$M$11,MC!L48,IF($D$21='Interactive Worksheet'!$M$12,MC!O48,IF($D$21='Interactive Worksheet'!$M$13,MC!R48,))))))</f>
        <v>#N/A</v>
      </c>
      <c r="T84" s="521" t="e">
        <f>IF($D84&lt;&gt;0,$D84*'Components and Space Standards'!C53,IF($D$21=$M$9,MC!H51,IF($D$21=$M$10,MC!K51,IF($D$21='Interactive Worksheet'!$M$11,MC!N51,IF($D$21='Interactive Worksheet'!$M$12,MC!Q51,IF($D$21='Interactive Worksheet'!$M$13,MC!T51,))))))</f>
        <v>#N/A</v>
      </c>
      <c r="U84" s="160"/>
      <c r="V84" s="476"/>
      <c r="W84" s="27"/>
    </row>
    <row r="85" spans="1:23" s="34" customFormat="1" ht="24.75" customHeight="1">
      <c r="A85" s="305">
        <f>IF(OR($D$26&lt;&gt;"Yes",$D$26=0,$K$26&lt;&gt;"Yes"),,'Components and Space Standards'!A54)</f>
        <v>0</v>
      </c>
      <c r="B85" s="392"/>
      <c r="C85" s="394"/>
      <c r="D85" s="51"/>
      <c r="E85" s="414"/>
      <c r="F85" s="25"/>
      <c r="G85" s="415"/>
      <c r="H85" s="416"/>
      <c r="I85" s="33"/>
      <c r="J85" s="565"/>
      <c r="K85" s="171"/>
      <c r="L85" s="163"/>
      <c r="M85" s="159"/>
      <c r="N85" s="159"/>
      <c r="O85" s="159"/>
      <c r="P85" s="159"/>
      <c r="Q85" s="159"/>
      <c r="R85" s="159"/>
      <c r="S85" s="159"/>
      <c r="T85" s="159"/>
      <c r="U85" s="160"/>
      <c r="V85" s="476"/>
      <c r="W85" s="27"/>
    </row>
    <row r="86" spans="1:23" s="34" customFormat="1" ht="15" customHeight="1">
      <c r="A86" s="453">
        <f>IF(OR($D$26&lt;&gt;"Yes",$D$26=0,$K$26&lt;&gt;"Yes"),,'Components and Space Standards'!A55)</f>
        <v>0</v>
      </c>
      <c r="B86" s="25"/>
      <c r="C86" s="53"/>
      <c r="D86" s="47"/>
      <c r="E86" s="252">
        <f>IF(OR($D$26&lt;&gt;"Yes",$D$26=0,$K$26&lt;&gt;"Yes"),,IF($D$5=$K$5,$M86&amp;" "&amp;'Components and Space Standards'!$D55&amp;".",IF($D$5=$K$6,$O86&amp;" "&amp;'Components and Space Standards'!$D55&amp;".",IF($D$5=$K$7,$Q86&amp;" "&amp;'Components and Space Standards'!$D55&amp;".",IF($D$5=$K$8,$S86&amp;" "&amp;'Components and Space Standards'!$D55&amp;".",)))))</f>
        <v>0</v>
      </c>
      <c r="F86" s="52"/>
      <c r="G86" s="250">
        <f t="shared" si="4"/>
        <v>0</v>
      </c>
      <c r="H86" s="45">
        <f>IF(OR($D$26&lt;&gt;"Yes",$D$26=0,$K$26&lt;&gt;"Yes"),,IF($D$5=$K$5,N86,IF($D$5=$K$6,P86,IF($D$5=$K$7,R86,IF($D$5=$K$8,T86,)))))</f>
        <v>0</v>
      </c>
      <c r="I86" s="33"/>
      <c r="J86" s="565"/>
      <c r="K86" s="175"/>
      <c r="L86" s="163"/>
      <c r="M86" s="510" t="e">
        <f>IF($D86&lt;&gt;0,$D86,IF($D$21=$M$9,Army!$F52,IF($D$21=$M$10,Army!$I52,IF($D$21='Interactive Worksheet'!$M$11,Army!$L52,IF($D$21='Interactive Worksheet'!$M$12,Army!$O52,IF($D$21='Interactive Worksheet'!$M$13,IF($M$17=0,Army!$R52,($M$17*Army!U52)+Army!R52)))))))</f>
        <v>#N/A</v>
      </c>
      <c r="N86" s="510" t="e">
        <f>IF($D86&lt;&gt;0,$D86*'Components and Space Standards'!$C55,IF($D$21=$M$9,Army!$H52,IF($D$21=$M$10,Army!$K52,IF($D$21='Interactive Worksheet'!$M$11,Army!$N52,IF($D$21='Interactive Worksheet'!$M$12,Army!$Q52,IF($D$21='Interactive Worksheet'!$M$13,IF($M$17=0,Army!$T52,($M$17*Army!W52)+Army!T52)))))))</f>
        <v>#N/A</v>
      </c>
      <c r="O86" s="517" t="e">
        <f>IF(D86&lt;&gt;0,D86,IF($D$21=$M$9,Navy!F53,IF($D$21=$M$10,Navy!I53,IF($D$21='Interactive Worksheet'!$M$11,Navy!L53,IF($D$21='Interactive Worksheet'!$M$12,Navy!O53,IF($D$21='Interactive Worksheet'!$M$13,Navy!R53,IF($O$18&gt;0,Navy!U53,)))))))</f>
        <v>#N/A</v>
      </c>
      <c r="P86" s="517" t="e">
        <f>IF(D86&lt;&gt;0,D86*'Components and Space Standards'!C55,IF($D$21=$M$9,Navy!H53,IF($D$21=$M$10,Navy!K53,IF($D$21='Interactive Worksheet'!$M$11,Navy!N53,IF($D$21='Interactive Worksheet'!$M$12,Navy!Q53,IF($D$21='Interactive Worksheet'!$M$13,Navy!T53,IF($O$18&gt;0,Navy!W53,)))))))</f>
        <v>#N/A</v>
      </c>
      <c r="Q86" s="170" t="e">
        <f>IF(D86&lt;&gt;0,D86,IF($D$21=$M$10,'AF'!F52,IF($D$21=$M$11,'AF'!I52,IF($D$21='Interactive Worksheet'!$M$12,'AF'!L52,))))</f>
        <v>#N/A</v>
      </c>
      <c r="R86" s="170" t="e">
        <f>IF(D86&lt;&gt;0,D86*'Components and Space Standards'!C55,IF($D$21=$M$10,'AF'!H52,IF($D$21=$M$11,'AF'!K52,IF($D$21='Interactive Worksheet'!$M$12,'AF'!N52,))))</f>
        <v>#N/A</v>
      </c>
      <c r="S86" s="520" t="e">
        <f>IF($D86&lt;&gt;0,$D86,IF($D$21=$M$9,MC!F53,IF($D$21=$M$10,MC!I53,IF($D$21='Interactive Worksheet'!$M$11,MC!L53,IF($D$21='Interactive Worksheet'!$M$12,MC!O53,IF($D$21='Interactive Worksheet'!$M$13,MC!R53,))))))</f>
        <v>#N/A</v>
      </c>
      <c r="T86" s="520" t="e">
        <f>IF($D86&lt;&gt;0,$D86*'Components and Space Standards'!C55,IF($D$21=$M$9,MC!H53,IF($D$21=$M$10,MC!K53,IF($D$21='Interactive Worksheet'!$M$11,MC!N53,IF($D$21='Interactive Worksheet'!$M$12,MC!Q53,IF($D$21='Interactive Worksheet'!$M$13,MC!T53,))))))</f>
        <v>#N/A</v>
      </c>
      <c r="U86" s="160"/>
      <c r="V86" s="477"/>
      <c r="W86" s="80"/>
    </row>
    <row r="87" spans="1:23" s="34" customFormat="1" ht="15" customHeight="1">
      <c r="A87" s="453">
        <f>IF(OR($D$26&lt;&gt;"Yes",$D$26=0,$K$26&lt;&gt;"Yes"),,'Components and Space Standards'!A56)</f>
        <v>0</v>
      </c>
      <c r="B87" s="25"/>
      <c r="C87" s="81"/>
      <c r="D87" s="81"/>
      <c r="E87" s="252">
        <f>IF(OR($D$26&lt;&gt;"Yes",$D$26=0,$K$26&lt;&gt;"Yes"),,IF($D$5=$K$5,$M87&amp;" "&amp;'Components and Space Standards'!$D56&amp;".",IF($D$5=$K$6,$O87&amp;" "&amp;'Components and Space Standards'!$D56&amp;".",IF($D$5=$K$7,$Q87&amp;" "&amp;'Components and Space Standards'!$D56&amp;".",IF($D$5=$K$8,$S87&amp;" "&amp;'Components and Space Standards'!$D56&amp;".",)))))</f>
        <v>0</v>
      </c>
      <c r="F87" s="52"/>
      <c r="G87" s="250">
        <f t="shared" si="4"/>
        <v>0</v>
      </c>
      <c r="H87" s="45">
        <f aca="true" t="shared" si="6" ref="H87:H92">IF(OR($D$26&lt;&gt;"Yes",$D$26=0,$K$26&lt;&gt;"Yes"),,IF($D$5=$K$5,N87,IF($D$5=$K$6,P87,IF($D$5=$K$7,R87,IF($D$5=$K$8,T87,)))))</f>
        <v>0</v>
      </c>
      <c r="I87" s="33"/>
      <c r="J87" s="565"/>
      <c r="K87" s="171"/>
      <c r="L87" s="163"/>
      <c r="M87" s="510" t="e">
        <f>IF($D87&lt;&gt;0,$D87,IF($D$21=$M$9,Army!$F53,IF($D$21=$M$10,Army!$I53,IF($D$21='Interactive Worksheet'!$M$11,Army!$L53,IF($D$21='Interactive Worksheet'!$M$12,Army!$O53,IF($D$21='Interactive Worksheet'!$M$13,IF($M$17=0,Army!$R53,($M$17*Army!U53)+Army!R53)))))))</f>
        <v>#N/A</v>
      </c>
      <c r="N87" s="510" t="e">
        <f>IF($D87&lt;&gt;0,$D87*'Components and Space Standards'!$C56,IF($D$21=$M$9,Army!$H53,IF($D$21=$M$10,Army!$K53,IF($D$21='Interactive Worksheet'!$M$11,Army!$N53,IF($D$21='Interactive Worksheet'!$M$12,Army!$Q53,IF($D$21='Interactive Worksheet'!$M$13,IF($M$17=0,Army!$T53,($M$17*Army!W53)+Army!T53)))))))</f>
        <v>#N/A</v>
      </c>
      <c r="O87" s="517" t="e">
        <f>IF(D87&lt;&gt;0,D87,IF($D$21=$M$9,Navy!F54,IF($D$21=$M$10,Navy!I54,IF($D$21='Interactive Worksheet'!$M$11,Navy!L54,IF($D$21='Interactive Worksheet'!$M$12,Navy!O54,IF($D$21='Interactive Worksheet'!$M$13,Navy!R54,IF($O$18&gt;0,Navy!U54,)))))))</f>
        <v>#N/A</v>
      </c>
      <c r="P87" s="517" t="e">
        <f>IF(D87&lt;&gt;0,D87*'Components and Space Standards'!C56,IF($D$21=$M$9,Navy!H54,IF($D$21=$M$10,Navy!K54,IF($D$21='Interactive Worksheet'!$M$11,Navy!N54,IF($D$21='Interactive Worksheet'!$M$12,Navy!Q54,IF($D$21='Interactive Worksheet'!$M$13,Navy!T54,IF($O$18&gt;0,Navy!W54,)))))))</f>
        <v>#N/A</v>
      </c>
      <c r="Q87" s="170" t="e">
        <f>IF(D87&lt;&gt;0,D87,IF($D$21=$M$10,'AF'!F53,IF($D$21=$M$11,'AF'!I53,IF($D$21='Interactive Worksheet'!$M$12,'AF'!L53,))))</f>
        <v>#N/A</v>
      </c>
      <c r="R87" s="170" t="e">
        <f>IF(D87&lt;&gt;0,D87*'Components and Space Standards'!C56,IF($D$21=$M$10,'AF'!H53,IF($D$21=$M$11,'AF'!K53,IF($D$21='Interactive Worksheet'!$M$12,'AF'!N53,))))</f>
        <v>#N/A</v>
      </c>
      <c r="S87" s="520" t="e">
        <f>IF($D87&lt;&gt;0,$D87,IF($D$21=$M$9,MC!F54,IF($D$21=$M$10,MC!I54,IF($D$21='Interactive Worksheet'!$M$11,MC!L54,IF($D$21='Interactive Worksheet'!$M$12,MC!O54,IF($D$21='Interactive Worksheet'!$M$13,MC!R54,))))))</f>
        <v>#N/A</v>
      </c>
      <c r="T87" s="520" t="e">
        <f>IF($D87&lt;&gt;0,$D87*'Components and Space Standards'!C56,IF($D$21=$M$9,MC!H54,IF($D$21=$M$10,MC!K54,IF($D$21='Interactive Worksheet'!$M$11,MC!N54,IF($D$21='Interactive Worksheet'!$M$12,MC!Q54,IF($D$21='Interactive Worksheet'!$M$13,MC!T54,))))))</f>
        <v>#N/A</v>
      </c>
      <c r="U87" s="160"/>
      <c r="V87" s="477"/>
      <c r="W87" s="80"/>
    </row>
    <row r="88" spans="1:23" s="34" customFormat="1" ht="15" customHeight="1">
      <c r="A88" s="453">
        <f>IF(OR($D$26&lt;&gt;"Yes",$D$26=0,$K$26&lt;&gt;"Yes"),,'Components and Space Standards'!A57)</f>
        <v>0</v>
      </c>
      <c r="B88" s="25"/>
      <c r="C88" s="82"/>
      <c r="D88" s="81"/>
      <c r="E88" s="252">
        <f>IF(OR($D$26&lt;&gt;"Yes",$D$26=0,$K$26&lt;&gt;"Yes"),,IF($D$5=$K$5,$M88&amp;" "&amp;'Components and Space Standards'!$D57&amp;".",IF($D$5=$K$6,$O88&amp;" "&amp;'Components and Space Standards'!$D57&amp;".",IF($D$5=$K$7,$Q88&amp;" "&amp;'Components and Space Standards'!$D57&amp;".",IF($D$5=$K$8,$S88&amp;" "&amp;'Components and Space Standards'!$D57&amp;".",)))))</f>
        <v>0</v>
      </c>
      <c r="F88" s="52"/>
      <c r="G88" s="250">
        <f t="shared" si="4"/>
        <v>0</v>
      </c>
      <c r="H88" s="45">
        <f t="shared" si="6"/>
        <v>0</v>
      </c>
      <c r="I88" s="33"/>
      <c r="J88" s="565"/>
      <c r="K88" s="171"/>
      <c r="L88" s="163"/>
      <c r="M88" s="510" t="e">
        <f>IF($D88&lt;&gt;0,$D88,IF($D$21=$M$9,Army!$F54,IF($D$21=$M$10,Army!$I54,IF($D$21='Interactive Worksheet'!$M$11,Army!$L54,IF($D$21='Interactive Worksheet'!$M$12,Army!$O54,IF($D$21='Interactive Worksheet'!$M$13,IF($M$17=0,Army!$R54,($M$17*Army!U54)+Army!R54)))))))</f>
        <v>#N/A</v>
      </c>
      <c r="N88" s="510" t="e">
        <f>IF($D88&lt;&gt;0,$D88*'Components and Space Standards'!$C57,IF($D$21=$M$9,Army!$H54,IF($D$21=$M$10,Army!$K54,IF($D$21='Interactive Worksheet'!$M$11,Army!$N54,IF($D$21='Interactive Worksheet'!$M$12,Army!$Q54,IF($D$21='Interactive Worksheet'!$M$13,IF($M$17=0,Army!$T54,($M$17*Army!W54)+Army!T54)))))))</f>
        <v>#N/A</v>
      </c>
      <c r="O88" s="517" t="e">
        <f>IF(D88&lt;&gt;0,D88,IF($D$21=$M$9,Navy!F55,IF($D$21=$M$10,Navy!I55,IF($D$21='Interactive Worksheet'!$M$11,Navy!L55,IF($D$21='Interactive Worksheet'!$M$12,Navy!O55,IF($D$21='Interactive Worksheet'!$M$13,Navy!R55,IF($O$18&gt;0,Navy!U55,)))))))</f>
        <v>#N/A</v>
      </c>
      <c r="P88" s="517" t="e">
        <f>IF(D88&lt;&gt;0,D88*'Components and Space Standards'!C57,IF($D$21=$M$9,Navy!H55,IF($D$21=$M$10,Navy!K55,IF($D$21='Interactive Worksheet'!$M$11,Navy!N55,IF($D$21='Interactive Worksheet'!$M$12,Navy!Q55,IF($D$21='Interactive Worksheet'!$M$13,Navy!T55,IF($O$18&gt;0,Navy!W55,)))))))</f>
        <v>#N/A</v>
      </c>
      <c r="Q88" s="170" t="e">
        <f>IF(D88&lt;&gt;0,D88,IF($D$21=$M$10,'AF'!F54,IF($D$21=$M$11,'AF'!I54,IF($D$21='Interactive Worksheet'!$M$12,'AF'!L54,))))</f>
        <v>#N/A</v>
      </c>
      <c r="R88" s="170" t="e">
        <f>IF(D88&lt;&gt;0,D88*'Components and Space Standards'!C57,IF($D$21=$M$10,'AF'!H54,IF($D$21=$M$11,'AF'!K54,IF($D$21='Interactive Worksheet'!$M$12,'AF'!N54,))))</f>
        <v>#N/A</v>
      </c>
      <c r="S88" s="520" t="e">
        <f>IF($D88&lt;&gt;0,$D88,IF($D$21=$M$9,MC!F55,IF($D$21=$M$10,MC!I55,IF($D$21='Interactive Worksheet'!$M$11,MC!L55,IF($D$21='Interactive Worksheet'!$M$12,MC!O55,IF($D$21='Interactive Worksheet'!$M$13,MC!R55,))))))</f>
        <v>#N/A</v>
      </c>
      <c r="T88" s="520" t="e">
        <f>IF($D88&lt;&gt;0,$D88*'Components and Space Standards'!C57,IF($D$21=$M$9,MC!H55,IF($D$21=$M$10,MC!K55,IF($D$21='Interactive Worksheet'!$M$11,MC!N55,IF($D$21='Interactive Worksheet'!$M$12,MC!Q55,IF($D$21='Interactive Worksheet'!$M$13,MC!T55,))))))</f>
        <v>#N/A</v>
      </c>
      <c r="U88" s="160"/>
      <c r="V88" s="477"/>
      <c r="W88" s="80"/>
    </row>
    <row r="89" spans="1:23" s="34" customFormat="1" ht="15" customHeight="1">
      <c r="A89" s="453">
        <f>IF(OR($D$26&lt;&gt;"Yes",$D$26=0,$K$26&lt;&gt;"Yes"),,'Components and Space Standards'!A58)</f>
        <v>0</v>
      </c>
      <c r="B89" s="25"/>
      <c r="C89" s="252">
        <f>IF(OR($D$26&lt;&gt;"Yes",$D$26=0,$K$26&lt;&gt;"Yes"),,IF(D5=K8,"For this option, enter # of workstations",))</f>
        <v>0</v>
      </c>
      <c r="D89" s="278"/>
      <c r="E89" s="252">
        <f>IF(OR($D$26&lt;&gt;"Yes",$D$26=0,$K$26&lt;&gt;"Yes"),,IF($D$5=$K$5,$M89&amp;" "&amp;'Components and Space Standards'!$D58&amp;".",IF($D$5=$K$6,$O89&amp;" "&amp;'Components and Space Standards'!$D58&amp;".",IF($D$5=$K$7,$Q89&amp;" "&amp;'Components and Space Standards'!$D58&amp;".",IF($D$5=$K$8,$S89&amp;" "&amp;'Components and Space Standards'!$D58&amp;".",)))))</f>
        <v>0</v>
      </c>
      <c r="F89" s="52"/>
      <c r="G89" s="250">
        <f t="shared" si="4"/>
        <v>0</v>
      </c>
      <c r="H89" s="45">
        <f t="shared" si="6"/>
        <v>0</v>
      </c>
      <c r="I89" s="33"/>
      <c r="J89" s="565"/>
      <c r="K89" s="171"/>
      <c r="L89" s="163"/>
      <c r="M89" s="510" t="e">
        <f>IF($D89&lt;&gt;0,$D89,IF($D$21=$M$9,Army!$F55,IF($D$21=$M$10,Army!$I55,IF($D$21='Interactive Worksheet'!$M$11,Army!$L55,IF($D$21='Interactive Worksheet'!$M$12,Army!$O55,IF($D$21='Interactive Worksheet'!$M$13,IF($M$17=0,Army!$R55,($M$17*Army!U55)+Army!R55)))))))</f>
        <v>#N/A</v>
      </c>
      <c r="N89" s="510" t="e">
        <f>IF($D89&lt;&gt;0,$D89*'Components and Space Standards'!$C58,IF($D$21=$M$9,Army!$H55,IF($D$21=$M$10,Army!$K55,IF($D$21='Interactive Worksheet'!$M$11,Army!$N55,IF($D$21='Interactive Worksheet'!$M$12,Army!$Q55,IF($D$21='Interactive Worksheet'!$M$13,IF($M$17=0,Army!$T55,($M$17*Army!W55)+Army!T55)))))))</f>
        <v>#N/A</v>
      </c>
      <c r="O89" s="281">
        <f>IF($D89=$K$26,1,0)</f>
        <v>0</v>
      </c>
      <c r="P89" s="517"/>
      <c r="Q89" s="170" t="e">
        <f>IF(D89&lt;&gt;0,D89,IF($D$21=$M$10,'AF'!F55,IF($D$21=$M$11,'AF'!I55,IF($D$21='Interactive Worksheet'!$M$12,'AF'!L55,))))</f>
        <v>#N/A</v>
      </c>
      <c r="R89" s="170" t="e">
        <f>IF(D89&lt;&gt;0,D89*'Components and Space Standards'!C58,IF($D$21=$M$10,'AF'!H55,IF($D$21=$M$11,'AF'!K55,IF($D$21='Interactive Worksheet'!$M$12,'AF'!N55,))))</f>
        <v>#N/A</v>
      </c>
      <c r="S89" s="281">
        <f>D89</f>
        <v>0</v>
      </c>
      <c r="T89" s="520">
        <f>S89*'Components and Space Standards'!C68</f>
        <v>0</v>
      </c>
      <c r="U89" s="160"/>
      <c r="V89" s="477"/>
      <c r="W89" s="80"/>
    </row>
    <row r="90" spans="1:23" s="34" customFormat="1" ht="15" customHeight="1">
      <c r="A90" s="453">
        <f>IF(OR($D$26&lt;&gt;"Yes",$D$26=0,$K$26&lt;&gt;"Yes"),,'Components and Space Standards'!A59)</f>
        <v>0</v>
      </c>
      <c r="B90" s="25"/>
      <c r="C90" s="81"/>
      <c r="D90" s="81"/>
      <c r="E90" s="252">
        <f>IF(OR($D$26&lt;&gt;"Yes",$D$26=0,$K$26&lt;&gt;"Yes"),,IF($D$5=$K$5,$M90&amp;" "&amp;'Components and Space Standards'!$D59&amp;".",IF($D$5=$K$6,$O90&amp;" "&amp;'Components and Space Standards'!$D59&amp;".",IF($D$5=$K$7,$Q90&amp;" "&amp;'Components and Space Standards'!$D59&amp;".",IF($D$5=$K$8,$S90&amp;" "&amp;'Components and Space Standards'!$D59&amp;".",)))))</f>
        <v>0</v>
      </c>
      <c r="F90" s="52"/>
      <c r="G90" s="250">
        <f t="shared" si="4"/>
        <v>0</v>
      </c>
      <c r="H90" s="45">
        <f t="shared" si="6"/>
        <v>0</v>
      </c>
      <c r="I90" s="33"/>
      <c r="J90" s="565"/>
      <c r="K90" s="171"/>
      <c r="L90" s="163"/>
      <c r="M90" s="510" t="e">
        <f>IF($D90&lt;&gt;0,$D90,IF($D$21=$M$9,Army!$F56,IF($D$21=$M$10,Army!$I56,IF($D$21='Interactive Worksheet'!$M$11,Army!$L56,IF($D$21='Interactive Worksheet'!$M$12,Army!$O56,IF($D$21='Interactive Worksheet'!$M$13,IF($M$17=0,Army!$R56,($M$17*Army!U56)+Army!R56)))))))</f>
        <v>#N/A</v>
      </c>
      <c r="N90" s="510" t="e">
        <f>IF($D90&lt;&gt;0,$D90*'Components and Space Standards'!$C59,IF($D$21=$M$9,Army!$H56,IF($D$21=$M$10,Army!$K56,IF($D$21='Interactive Worksheet'!$M$11,Army!$N56,IF($D$21='Interactive Worksheet'!$M$12,Army!$Q56,IF($D$21='Interactive Worksheet'!$M$13,IF($M$17=0,Army!$T56,($M$17*Army!W56)+Army!T56)))))))</f>
        <v>#N/A</v>
      </c>
      <c r="O90" s="517" t="e">
        <f>IF(D90&lt;&gt;0,D90,IF($D$21=$M$9,Navy!F57,IF($D$21=$M$10,Navy!I57,IF($D$21='Interactive Worksheet'!$M$11,Navy!L57,IF($D$21='Interactive Worksheet'!$M$12,Navy!O57,IF($D$21='Interactive Worksheet'!$M$13,Navy!R57,IF($O$18&gt;0,Navy!U57,)))))))</f>
        <v>#N/A</v>
      </c>
      <c r="P90" s="517" t="e">
        <f>IF(D90&lt;&gt;0,D90*'Components and Space Standards'!C59,IF($D$21=$M$9,Navy!H57,IF($D$21=$M$10,Navy!K57,IF($D$21='Interactive Worksheet'!$M$11,Navy!N57,IF($D$21='Interactive Worksheet'!$M$12,Navy!Q57,IF($D$21='Interactive Worksheet'!$M$13,Navy!T57,IF($O$18&gt;0,Navy!W57,)))))))</f>
        <v>#N/A</v>
      </c>
      <c r="Q90" s="170" t="e">
        <f>IF(D90&lt;&gt;0,D90,IF($D$21=$M$10,'AF'!F56,IF($D$21=$M$11,'AF'!I56,IF($D$21='Interactive Worksheet'!$M$12,'AF'!L56,))))</f>
        <v>#N/A</v>
      </c>
      <c r="R90" s="170" t="e">
        <f>IF(D90&lt;&gt;0,D90*'Components and Space Standards'!C59,IF($D$21=$M$10,'AF'!H56,IF($D$21=$M$11,'AF'!K56,IF($D$21='Interactive Worksheet'!$M$12,'AF'!N56,))))</f>
        <v>#N/A</v>
      </c>
      <c r="S90" s="520" t="e">
        <f>IF($D90&lt;&gt;0,$D90,IF($D$21=$M$9,MC!F57,IF($D$21=$M$10,MC!I57,IF($D$21='Interactive Worksheet'!$M$11,MC!L57,IF($D$21='Interactive Worksheet'!$M$12,MC!O57,IF($D$21='Interactive Worksheet'!$M$13,MC!R57,))))))</f>
        <v>#N/A</v>
      </c>
      <c r="T90" s="520" t="e">
        <f>IF($D90&lt;&gt;0,$D90*'Components and Space Standards'!C59,IF($D$21=$M$9,MC!H57,IF($D$21=$M$10,MC!K57,IF($D$21='Interactive Worksheet'!$M$11,MC!N57,IF($D$21='Interactive Worksheet'!$M$12,MC!Q57,IF($D$21='Interactive Worksheet'!$M$13,MC!T57,))))))</f>
        <v>#N/A</v>
      </c>
      <c r="U90" s="160"/>
      <c r="V90" s="477"/>
      <c r="W90" s="80"/>
    </row>
    <row r="91" spans="1:23" s="34" customFormat="1" ht="15" customHeight="1">
      <c r="A91" s="453">
        <f>IF(OR($D$26&lt;&gt;"Yes",$D$26=0,$K$26&lt;&gt;"Yes"),,'Components and Space Standards'!A60)</f>
        <v>0</v>
      </c>
      <c r="B91" s="25"/>
      <c r="C91" s="53"/>
      <c r="D91" s="417"/>
      <c r="E91" s="252">
        <f>IF(OR($D$26&lt;&gt;"Yes",$D$26=0,$K$26&lt;&gt;"Yes"),,IF($D$5=$K$5,$M91&amp;" "&amp;'Components and Space Standards'!$D60&amp;".",IF($D$5=$K$6,$O91&amp;" "&amp;'Components and Space Standards'!$D60&amp;".",IF($D$5=$K$7,$Q91&amp;" "&amp;'Components and Space Standards'!$D60&amp;".",IF($D$5=$K$8,$S91&amp;" "&amp;'Components and Space Standards'!$D60&amp;".",)))))</f>
        <v>0</v>
      </c>
      <c r="F91" s="52"/>
      <c r="G91" s="250">
        <f t="shared" si="4"/>
        <v>0</v>
      </c>
      <c r="H91" s="45">
        <f t="shared" si="6"/>
        <v>0</v>
      </c>
      <c r="I91" s="33"/>
      <c r="J91" s="565"/>
      <c r="K91" s="175"/>
      <c r="L91" s="163"/>
      <c r="M91" s="510" t="e">
        <f>IF($D91&lt;&gt;0,$D91,IF($D$21=$M$9,Army!$F57,IF($D$21=$M$10,Army!$I57,IF($D$21='Interactive Worksheet'!$M$11,Army!$L57,IF($D$21='Interactive Worksheet'!$M$12,Army!$O57,IF($D$21='Interactive Worksheet'!$M$13,IF($M$17=0,Army!$R57,($M$17*Army!U57)+Army!R57)))))))</f>
        <v>#N/A</v>
      </c>
      <c r="N91" s="510" t="e">
        <f>IF($D91&lt;&gt;0,$D91*'Components and Space Standards'!$C60,IF($D$21=$M$9,Army!$H57,IF($D$21=$M$10,Army!$K57,IF($D$21='Interactive Worksheet'!$M$11,Army!$N57,IF($D$21='Interactive Worksheet'!$M$12,Army!$Q57,IF($D$21='Interactive Worksheet'!$M$13,IF($M$17=0,Army!$T57,($M$17*Army!W57)+Army!T57)))))))</f>
        <v>#N/A</v>
      </c>
      <c r="O91" s="517" t="e">
        <f>IF(D91&lt;&gt;0,D91,IF($D$21=$M$9,Navy!F58,IF($D$21=$M$10,Navy!I58,IF($D$21='Interactive Worksheet'!$M$11,Navy!L58,IF($D$21='Interactive Worksheet'!$M$12,Navy!O58,IF($D$21='Interactive Worksheet'!$M$13,Navy!R58,IF($O$18&gt;0,Navy!U58,)))))))</f>
        <v>#N/A</v>
      </c>
      <c r="P91" s="517" t="e">
        <f>IF(D91&lt;&gt;0,D91*'Components and Space Standards'!C60,IF($D$21=$M$9,Navy!H58,IF($D$21=$M$10,Navy!K58,IF($D$21='Interactive Worksheet'!$M$11,Navy!N58,IF($D$21='Interactive Worksheet'!$M$12,Navy!Q58,IF($D$21='Interactive Worksheet'!$M$13,Navy!T58,IF($O$18&gt;0,Navy!W58,)))))))</f>
        <v>#N/A</v>
      </c>
      <c r="Q91" s="170" t="e">
        <f>IF(D91&lt;&gt;0,D91,IF($D$21=$M$10,'AF'!F57,IF($D$21=$M$11,'AF'!I57,IF($D$21='Interactive Worksheet'!$M$12,'AF'!L57,))))</f>
        <v>#N/A</v>
      </c>
      <c r="R91" s="170" t="e">
        <f>IF(D91&lt;&gt;0,D91*'Components and Space Standards'!C60,IF($D$21=$M$10,'AF'!H57,IF($D$21=$M$11,'AF'!K57,IF($D$21='Interactive Worksheet'!$M$12,'AF'!N57,))))</f>
        <v>#N/A</v>
      </c>
      <c r="S91" s="520" t="e">
        <f>IF($D91&lt;&gt;0,$D91,IF($D$21=$M$9,MC!F58,IF($D$21=$M$10,MC!I58,IF($D$21='Interactive Worksheet'!$M$11,MC!L58,IF($D$21='Interactive Worksheet'!$M$12,MC!O58,IF($D$21='Interactive Worksheet'!$M$13,MC!R58,))))))</f>
        <v>#N/A</v>
      </c>
      <c r="T91" s="520" t="e">
        <f>IF($D91&lt;&gt;0,$D91*'Components and Space Standards'!C60,IF($D$21=$M$9,MC!H58,IF($D$21=$M$10,MC!K58,IF($D$21='Interactive Worksheet'!$M$11,MC!N58,IF($D$21='Interactive Worksheet'!$M$12,MC!Q58,IF($D$21='Interactive Worksheet'!$M$13,MC!T58,))))))</f>
        <v>#N/A</v>
      </c>
      <c r="U91" s="160"/>
      <c r="V91" s="477"/>
      <c r="W91" s="27"/>
    </row>
    <row r="92" spans="1:23" s="34" customFormat="1" ht="15" customHeight="1">
      <c r="A92" s="453">
        <f>IF(OR($D$26&lt;&gt;"Yes",$D$26=0,$K$26&lt;&gt;"Yes"),,'Components and Space Standards'!A61)</f>
        <v>0</v>
      </c>
      <c r="B92" s="25"/>
      <c r="C92" s="51"/>
      <c r="D92" s="51"/>
      <c r="E92" s="252">
        <f>IF(OR($D$26&lt;&gt;"Yes",$D$26=0,$K$26&lt;&gt;"Yes"),,IF($D$5=$K$5,$M92&amp;" "&amp;'Components and Space Standards'!$D61&amp;".",IF($D$5=$K$6,$O92&amp;" "&amp;'Components and Space Standards'!$D61&amp;".",IF($D$5=$K$7,$Q92&amp;" "&amp;'Components and Space Standards'!$D61&amp;".",IF($D$5=$K$8,$S92&amp;" "&amp;'Components and Space Standards'!$D61&amp;".",)))))</f>
        <v>0</v>
      </c>
      <c r="F92" s="52"/>
      <c r="G92" s="250">
        <f t="shared" si="4"/>
        <v>0</v>
      </c>
      <c r="H92" s="45">
        <f t="shared" si="6"/>
        <v>0</v>
      </c>
      <c r="I92" s="33"/>
      <c r="J92" s="565"/>
      <c r="K92" s="175"/>
      <c r="L92" s="163"/>
      <c r="M92" s="510" t="e">
        <f>IF($D92&lt;&gt;0,$D92,IF($D$21=$M$9,Army!$F58,IF($D$21=$M$10,Army!$I58,IF($D$21='Interactive Worksheet'!$M$11,Army!$L58,IF($D$21='Interactive Worksheet'!$M$12,Army!$O58,IF($D$21='Interactive Worksheet'!$M$13,IF($M$17=0,Army!$R58,($M$17*Army!U58)+Army!R58)))))))</f>
        <v>#N/A</v>
      </c>
      <c r="N92" s="510" t="e">
        <f>IF($D92&lt;&gt;0,$D92*'Components and Space Standards'!$C61,IF($D$21=$M$9,Army!$H58,IF($D$21=$M$10,Army!$K58,IF($D$21='Interactive Worksheet'!$M$11,Army!$N58,IF($D$21='Interactive Worksheet'!$M$12,Army!$Q58,IF($D$21='Interactive Worksheet'!$M$13,IF($M$17=0,Army!$T58,($M$17*Army!W58)+Army!T58)))))))</f>
        <v>#N/A</v>
      </c>
      <c r="O92" s="517" t="e">
        <f>IF(D92&lt;&gt;0,D92,IF($D$21=$M$9,Navy!F59,IF($D$21=$M$10,Navy!I59,IF($D$21='Interactive Worksheet'!$M$11,Navy!L59,IF($D$21='Interactive Worksheet'!$M$12,Navy!O59,IF($D$21='Interactive Worksheet'!$M$13,Navy!R59,IF($O$18&gt;0,Navy!U59,)))))))</f>
        <v>#N/A</v>
      </c>
      <c r="P92" s="517" t="e">
        <f>IF(D92&lt;&gt;0,D92*'Components and Space Standards'!C61,IF($D$21=$M$9,Navy!H59,IF($D$21=$M$10,Navy!K59,IF($D$21='Interactive Worksheet'!$M$11,Navy!N59,IF($D$21='Interactive Worksheet'!$M$12,Navy!Q59,IF($D$21='Interactive Worksheet'!$M$13,Navy!T59,IF($O$18&gt;0,Navy!W59,)))))))</f>
        <v>#N/A</v>
      </c>
      <c r="Q92" s="170" t="e">
        <f>IF(D92&lt;&gt;0,D92,IF($D$21=$M$10,'AF'!F58,IF($D$21=$M$11,'AF'!I58,IF($D$21='Interactive Worksheet'!$M$12,'AF'!L58,))))</f>
        <v>#N/A</v>
      </c>
      <c r="R92" s="170" t="e">
        <f>IF(D92&lt;&gt;0,D92*'Components and Space Standards'!C61,IF($D$21=$M$10,'AF'!H58,IF($D$21=$M$11,'AF'!K58,IF($D$21='Interactive Worksheet'!$M$12,'AF'!N58,))))</f>
        <v>#N/A</v>
      </c>
      <c r="S92" s="520" t="e">
        <f>IF($D92&lt;&gt;0,$D92,IF($D$21=$M$9,MC!F59,IF($D$21=$M$10,MC!I59,IF($D$21='Interactive Worksheet'!$M$11,MC!L59,IF($D$21='Interactive Worksheet'!$M$12,MC!O59,IF($D$21='Interactive Worksheet'!$M$13,MC!R59,))))))</f>
        <v>#N/A</v>
      </c>
      <c r="T92" s="520" t="e">
        <f>IF($D92&lt;&gt;0,$D92*'Components and Space Standards'!C61,IF($D$21=$M$9,MC!H59,IF($D$21=$M$10,MC!K59,IF($D$21='Interactive Worksheet'!$M$11,MC!N59,IF($D$21='Interactive Worksheet'!$M$12,MC!Q59,IF($D$21='Interactive Worksheet'!$M$13,MC!T59,))))))</f>
        <v>#N/A</v>
      </c>
      <c r="U92" s="160"/>
      <c r="V92" s="477"/>
      <c r="W92" s="27"/>
    </row>
    <row r="93" spans="1:22" s="34" customFormat="1" ht="15" customHeight="1" thickBot="1">
      <c r="A93" s="381"/>
      <c r="B93" s="397"/>
      <c r="C93" s="398"/>
      <c r="D93" s="398"/>
      <c r="E93" s="385"/>
      <c r="F93" s="386"/>
      <c r="G93" s="387"/>
      <c r="H93" s="388"/>
      <c r="I93" s="33"/>
      <c r="J93" s="565"/>
      <c r="K93" s="171"/>
      <c r="L93" s="163"/>
      <c r="M93" s="288"/>
      <c r="N93" s="288"/>
      <c r="O93" s="288"/>
      <c r="P93" s="288"/>
      <c r="Q93" s="288"/>
      <c r="R93" s="288"/>
      <c r="S93" s="288"/>
      <c r="T93" s="288"/>
      <c r="U93" s="160"/>
      <c r="V93" s="477"/>
    </row>
    <row r="94" spans="1:22" s="34" customFormat="1" ht="24.75" customHeight="1">
      <c r="A94" s="305">
        <f>IF(OR($D$26&lt;&gt;"Yes",$D$26=0,$K$26&lt;&gt;"Yes"),,'Components and Space Standards'!A65)</f>
        <v>0</v>
      </c>
      <c r="B94" s="393"/>
      <c r="C94" s="396"/>
      <c r="D94" s="47"/>
      <c r="E94" s="414"/>
      <c r="F94" s="25"/>
      <c r="G94" s="415"/>
      <c r="H94" s="416"/>
      <c r="I94" s="33"/>
      <c r="J94" s="565"/>
      <c r="K94" s="171"/>
      <c r="L94" s="163"/>
      <c r="M94" s="291"/>
      <c r="N94" s="291"/>
      <c r="O94" s="291" t="e">
        <f>IF(D94&lt;&gt;0,D94,IF($D$21=$M$9,Navy!F62,IF($D$21=$M$10,Navy!I62,IF($D$21='Interactive Worksheet'!$M$11,Navy!L62,IF($D$21='Interactive Worksheet'!$M$12,Navy!O62,IF($D$21='Interactive Worksheet'!$M$13,Navy!R62,))))))</f>
        <v>#N/A</v>
      </c>
      <c r="P94" s="291" t="e">
        <f>IF(D94&lt;&gt;0,D94*'Components and Space Standards'!C65,IF($D$21=$M$9,Navy!H62,IF($D$21=$M$10,Navy!K62,IF($D$21='Interactive Worksheet'!$M$11,Navy!N62,IF($D$21='Interactive Worksheet'!$M$12,Navy!Q62,IF($D$21='Interactive Worksheet'!$M$13,Navy!T62,))))))</f>
        <v>#N/A</v>
      </c>
      <c r="Q94" s="291" t="e">
        <f>IF(D94&lt;&gt;0,D94,IF($D$21=$M$10,'AF'!F61,IF($D$21=$M$11,'AF'!I61,IF($D$21='Interactive Worksheet'!$M$12,'AF'!L61,))))</f>
        <v>#N/A</v>
      </c>
      <c r="R94" s="291" t="e">
        <f>IF(D94&lt;&gt;0,D94*'Components and Space Standards'!C65,IF($D$21=$M$10,'AF'!H61,IF($D$21=$M$11,'AF'!K61,IF($D$21='Interactive Worksheet'!$M$12,'AF'!N61,))))</f>
        <v>#N/A</v>
      </c>
      <c r="S94" s="291" t="e">
        <f>IF($D94&lt;&gt;0,$D94,IF($D$21=$M$9,MC!F62,IF($D$21=$M$10,MC!I62,IF($D$21='Interactive Worksheet'!$M$11,MC!L62,IF($D$21='Interactive Worksheet'!$M$12,MC!O62,IF($D$21='Interactive Worksheet'!$M$13,MC!R62,))))))</f>
        <v>#N/A</v>
      </c>
      <c r="T94" s="291" t="e">
        <f>IF($D94&lt;&gt;0,$D94*'Components and Space Standards'!C65,IF($D$21=$M$9,MC!H62,IF($D$21=$M$10,MC!K62,IF($D$21='Interactive Worksheet'!$M$11,MC!N62,IF($D$21='Interactive Worksheet'!$M$12,MC!Q62,IF($D$21='Interactive Worksheet'!$M$13,MC!T62,))))))</f>
        <v>#N/A</v>
      </c>
      <c r="U94" s="160"/>
      <c r="V94" s="477"/>
    </row>
    <row r="95" spans="1:22" s="34" customFormat="1" ht="15" customHeight="1">
      <c r="A95" s="453">
        <f>IF(OR($D$26&lt;&gt;"Yes",$D$26=0,$K$26&lt;&gt;"Yes"),,'Components and Space Standards'!A66)</f>
        <v>0</v>
      </c>
      <c r="B95" s="42"/>
      <c r="C95" s="51"/>
      <c r="D95" s="51"/>
      <c r="E95" s="252">
        <f>IF(OR($D$26&lt;&gt;"Yes",$D$26=0,$K$26&lt;&gt;"Yes"),,IF($D$5=$K$5,$M95&amp;" "&amp;'Components and Space Standards'!$D66&amp;".",IF($D$5=$K$6,$O95&amp;" "&amp;'Components and Space Standards'!$D66&amp;".",IF($D$5=$K$7,$Q95&amp;" "&amp;'Components and Space Standards'!$D66&amp;".",IF($D$5=$K$8,$S95&amp;" "&amp;'Components and Space Standards'!$D66&amp;".",)))))</f>
        <v>0</v>
      </c>
      <c r="F95" s="52"/>
      <c r="G95" s="250">
        <f t="shared" si="4"/>
        <v>0</v>
      </c>
      <c r="H95" s="45">
        <f aca="true" t="shared" si="7" ref="H95:H100">IF(OR($D$26&lt;&gt;"Yes",$D$26=0,$K$26&lt;&gt;"Yes"),,IF($D$5=$K$5,N95,IF($D$5=$K$6,P95,IF($D$5=$K$7,R95,IF($D$5=$K$8,T95,)))))</f>
        <v>0</v>
      </c>
      <c r="I95" s="33"/>
      <c r="J95" s="565"/>
      <c r="K95" s="171"/>
      <c r="L95" s="163"/>
      <c r="M95" s="510" t="e">
        <f>IF($D95&lt;&gt;0,$D95,IF($D$21=$M$9,Army!$F62,IF($D$21=$M$10,Army!$I62,IF($D$21='Interactive Worksheet'!$M$11,Army!$L62,IF($D$21='Interactive Worksheet'!$M$12,Army!$O62,IF($D$21='Interactive Worksheet'!$M$13,IF($M$17=0,Army!$R62,($M$17*Army!U62)+Army!R62)))))))</f>
        <v>#N/A</v>
      </c>
      <c r="N95" s="510" t="e">
        <f>IF($D95&lt;&gt;0,$D95*'Components and Space Standards'!$C66,IF($D$21=$M$9,Army!$H62,IF($D$21=$M$10,Army!$K62,IF($D$21='Interactive Worksheet'!$M$11,Army!$N62,IF($D$21='Interactive Worksheet'!$M$12,Army!$Q62,IF($D$21='Interactive Worksheet'!$M$13,IF($M$17=0,Army!$T62,($M$17*Army!W62)+Army!T62)))))))</f>
        <v>#N/A</v>
      </c>
      <c r="O95" s="517" t="e">
        <f>IF(D95&lt;&gt;0,D95,IF($D$21=$M$9,Navy!F63,IF($D$21=$M$10,Navy!I63,IF($D$21='Interactive Worksheet'!$M$11,Navy!L63,IF($D$21='Interactive Worksheet'!$M$12,Navy!O63,IF($D$21='Interactive Worksheet'!$M$13,Navy!R63,IF($O$18&gt;0,Navy!U63,)))))))</f>
        <v>#N/A</v>
      </c>
      <c r="P95" s="517" t="e">
        <f>IF(D95&lt;&gt;0,D95*'Components and Space Standards'!C66,IF($D$21=$M$9,Navy!H63,IF($D$21=$M$10,Navy!K63,IF($D$21='Interactive Worksheet'!$M$11,Navy!N63,IF($D$21='Interactive Worksheet'!$M$12,Navy!Q63,IF($D$21='Interactive Worksheet'!$M$13,Navy!T63,IF($O$18&gt;0,Navy!W63,)))))))</f>
        <v>#N/A</v>
      </c>
      <c r="Q95" s="170" t="e">
        <f>IF(D95&lt;&gt;0,D95,IF($D$21=$M$10,'AF'!F62,IF($D$21=$M$11,'AF'!I62,IF($D$21='Interactive Worksheet'!$M$12,'AF'!L62,))))</f>
        <v>#N/A</v>
      </c>
      <c r="R95" s="170" t="e">
        <f>IF(D95&lt;&gt;0,D95*'Components and Space Standards'!C66,IF($D$21=$M$10,'AF'!H62,IF($D$21=$M$11,'AF'!K62,IF($D$21='Interactive Worksheet'!$M$12,'AF'!N62,))))</f>
        <v>#N/A</v>
      </c>
      <c r="S95" s="520" t="e">
        <f>IF($D95&lt;&gt;0,$D95,IF($D$21=$M$9,MC!F63,IF($D$21=$M$10,MC!I63,IF($D$21='Interactive Worksheet'!$M$11,MC!L63,IF($D$21='Interactive Worksheet'!$M$12,MC!O63,IF($D$21='Interactive Worksheet'!$M$13,MC!R63,))))))</f>
        <v>#N/A</v>
      </c>
      <c r="T95" s="521" t="e">
        <f>IF($D95&lt;&gt;0,$D95*'Components and Space Standards'!C66,IF($D$21=$M$9,MC!H63,IF($D$21=$M$10,MC!K63,IF($D$21='Interactive Worksheet'!$M$11,MC!N63,IF($D$21='Interactive Worksheet'!$M$12,MC!Q63,IF($D$21='Interactive Worksheet'!$M$13,MC!T63,))))))</f>
        <v>#N/A</v>
      </c>
      <c r="U95" s="512">
        <f>(H95/120)*1</f>
        <v>0</v>
      </c>
      <c r="V95" s="477"/>
    </row>
    <row r="96" spans="1:22" s="34" customFormat="1" ht="15" customHeight="1">
      <c r="A96" s="453">
        <f>IF(OR($D$26&lt;&gt;"Yes",$D$26=0,$K$26&lt;&gt;"Yes"),,'Components and Space Standards'!A67)</f>
        <v>0</v>
      </c>
      <c r="B96" s="42"/>
      <c r="C96" s="53"/>
      <c r="D96" s="47"/>
      <c r="E96" s="252">
        <f>IF(OR($D$26&lt;&gt;"Yes",$D$26=0,$K$26&lt;&gt;"Yes"),,IF($D$5=$K$5,$M96&amp;" "&amp;'Components and Space Standards'!$D67&amp;".",IF($D$5=$K$6,$O96&amp;" "&amp;'Components and Space Standards'!$D67&amp;".",IF($D$5=$K$7,$Q96&amp;" "&amp;'Components and Space Standards'!$D67&amp;".",IF($D$5=$K$8,$S96&amp;" "&amp;'Components and Space Standards'!$D67&amp;".",)))))</f>
        <v>0</v>
      </c>
      <c r="F96" s="52"/>
      <c r="G96" s="250">
        <f t="shared" si="4"/>
        <v>0</v>
      </c>
      <c r="H96" s="45">
        <f t="shared" si="7"/>
        <v>0</v>
      </c>
      <c r="I96" s="33"/>
      <c r="J96" s="565"/>
      <c r="K96" s="171"/>
      <c r="L96" s="163"/>
      <c r="M96" s="510" t="e">
        <f>IF($D96&lt;&gt;0,$D96,IF($D$21=$M$9,Army!$F63,IF($D$21=$M$10,Army!$I63,IF($D$21='Interactive Worksheet'!$M$11,Army!$L63,IF($D$21='Interactive Worksheet'!$M$12,Army!$O63,IF($D$21='Interactive Worksheet'!$M$13,IF($M$17=0,Army!$R63,($M$17*Army!U63)+Army!R63)))))))</f>
        <v>#N/A</v>
      </c>
      <c r="N96" s="510" t="e">
        <f>IF($D96&lt;&gt;0,$D96*'Components and Space Standards'!$C67,IF($D$21=$M$9,Army!$H63,IF($D$21=$M$10,Army!$K63,IF($D$21='Interactive Worksheet'!$M$11,Army!$N63,IF($D$21='Interactive Worksheet'!$M$12,Army!$Q63,IF($D$21='Interactive Worksheet'!$M$13,IF($M$17=0,Army!$T63,($M$17*Army!W63)+Army!T63)))))))</f>
        <v>#N/A</v>
      </c>
      <c r="O96" s="517" t="e">
        <f>IF(D96&lt;&gt;0,D96,IF($D$21=$M$9,Navy!F64,IF($D$21=$M$10,Navy!I64,IF($D$21='Interactive Worksheet'!$M$11,Navy!L64,IF($D$21='Interactive Worksheet'!$M$12,Navy!O64,IF($D$21='Interactive Worksheet'!$M$13,Navy!R64,IF($O$18&gt;0,Navy!U64,)))))))</f>
        <v>#N/A</v>
      </c>
      <c r="P96" s="517" t="e">
        <f>IF(D96&lt;&gt;0,D96*'Components and Space Standards'!C67,IF($D$21=$M$9,Navy!H64,IF($D$21=$M$10,Navy!K64,IF($D$21='Interactive Worksheet'!$M$11,Navy!N64,IF($D$21='Interactive Worksheet'!$M$12,Navy!Q64,IF($D$21='Interactive Worksheet'!$M$13,Navy!T64,IF($O$18&gt;0,Navy!W64,)))))))</f>
        <v>#N/A</v>
      </c>
      <c r="Q96" s="170" t="e">
        <f>IF(D96&lt;&gt;0,D96,IF($D$21=$M$10,'AF'!F63,IF($D$21=$M$11,'AF'!I63,IF($D$21='Interactive Worksheet'!$M$12,'AF'!L63,))))</f>
        <v>#N/A</v>
      </c>
      <c r="R96" s="170" t="e">
        <f>IF(D96&lt;&gt;0,D96*'Components and Space Standards'!C67,IF($D$21=$M$10,'AF'!H63,IF($D$21=$M$11,'AF'!K63,IF($D$21='Interactive Worksheet'!$M$12,'AF'!N63,))))</f>
        <v>#N/A</v>
      </c>
      <c r="S96" s="520" t="e">
        <f>IF($D96&lt;&gt;0,$D96,IF($D$21=$M$9,MC!F64,IF($D$21=$M$10,MC!I64,IF($D$21='Interactive Worksheet'!$M$11,MC!L64,IF($D$21='Interactive Worksheet'!$M$12,MC!O64,IF($D$21='Interactive Worksheet'!$M$13,MC!R64,))))))</f>
        <v>#N/A</v>
      </c>
      <c r="T96" s="521" t="e">
        <f>IF($D96&lt;&gt;0,$D96*'Components and Space Standards'!C67,IF($D$21=$M$9,MC!H64,IF($D$21=$M$10,MC!K64,IF($D$21='Interactive Worksheet'!$M$11,MC!N64,IF($D$21='Interactive Worksheet'!$M$12,MC!Q64,IF($D$21='Interactive Worksheet'!$M$13,MC!T64,))))))</f>
        <v>#N/A</v>
      </c>
      <c r="U96" s="512">
        <f>(H96/100)*1</f>
        <v>0</v>
      </c>
      <c r="V96" s="477"/>
    </row>
    <row r="97" spans="1:22" s="34" customFormat="1" ht="15" customHeight="1">
      <c r="A97" s="453">
        <f>IF(OR($D$26&lt;&gt;"Yes",$D$26=0,$K$26&lt;&gt;"Yes"),,'Components and Space Standards'!A68)</f>
        <v>0</v>
      </c>
      <c r="B97" s="42"/>
      <c r="C97" s="51"/>
      <c r="D97" s="51"/>
      <c r="E97" s="252">
        <f>IF(OR($D$26&lt;&gt;"Yes",$D$26=0,$K$26&lt;&gt;"Yes"),,IF($D$5=$K$5,$M97&amp;" "&amp;'Components and Space Standards'!$D68&amp;".",IF($D$5=$K$6,$O97&amp;" "&amp;'Components and Space Standards'!$D68&amp;".",IF($D$5=$K$7,$Q97&amp;" "&amp;'Components and Space Standards'!$D68&amp;".",IF($D$5=$K$8,$S97&amp;" "&amp;'Components and Space Standards'!$D68&amp;".",)))))</f>
        <v>0</v>
      </c>
      <c r="F97" s="52"/>
      <c r="G97" s="250">
        <f t="shared" si="4"/>
        <v>0</v>
      </c>
      <c r="H97" s="45">
        <f t="shared" si="7"/>
        <v>0</v>
      </c>
      <c r="I97" s="33"/>
      <c r="J97" s="565"/>
      <c r="K97" s="171"/>
      <c r="L97" s="163"/>
      <c r="M97" s="510" t="e">
        <f>IF($D97&lt;&gt;0,$D97,IF($D$21=$M$9,Army!$F64,IF($D$21=$M$10,Army!$I64,IF($D$21='Interactive Worksheet'!$M$11,Army!$L64,IF($D$21='Interactive Worksheet'!$M$12,Army!$O64,IF($D$21='Interactive Worksheet'!$M$13,IF($M$17=0,Army!$R64,($M$17*Army!U64)+Army!R64)))))))</f>
        <v>#N/A</v>
      </c>
      <c r="N97" s="510" t="e">
        <f>IF($D97&lt;&gt;0,$D97*'Components and Space Standards'!$C68,IF($D$21=$M$9,Army!$H64,IF($D$21=$M$10,Army!$K64,IF($D$21='Interactive Worksheet'!$M$11,Army!$N64,IF($D$21='Interactive Worksheet'!$M$12,Army!$Q64,IF($D$21='Interactive Worksheet'!$M$13,IF($M$17=0,Army!$T64,($M$17*Army!W64)+Army!T64)))))))</f>
        <v>#N/A</v>
      </c>
      <c r="O97" s="517" t="e">
        <f>IF(D97&lt;&gt;0,D97,IF($D$21=$M$9,Navy!F65,IF($D$21=$M$10,Navy!I65,IF($D$21='Interactive Worksheet'!$M$11,Navy!L65,IF($D$21='Interactive Worksheet'!$M$12,Navy!O65,IF($D$21='Interactive Worksheet'!$M$13,Navy!R65,IF($O$18&gt;0,Navy!U65,)))))))</f>
        <v>#N/A</v>
      </c>
      <c r="P97" s="517" t="e">
        <f>IF(D97&lt;&gt;0,D97*'Components and Space Standards'!C68,IF($D$21=$M$9,Navy!H65,IF($D$21=$M$10,Navy!K65,IF($D$21='Interactive Worksheet'!$M$11,Navy!N65,IF($D$21='Interactive Worksheet'!$M$12,Navy!Q65,IF($D$21='Interactive Worksheet'!$M$13,Navy!T65,IF($O$18&gt;0,Navy!W65,)))))))</f>
        <v>#N/A</v>
      </c>
      <c r="Q97" s="170" t="e">
        <f>IF(D97&lt;&gt;0,D97,IF($D$21=$M$10,'AF'!F64,IF($D$21=$M$11,'AF'!I64,IF($D$21='Interactive Worksheet'!$M$12,'AF'!L64,))))</f>
        <v>#N/A</v>
      </c>
      <c r="R97" s="170" t="e">
        <f>IF(D97&lt;&gt;0,D97*'Components and Space Standards'!C68,IF($D$21=$M$10,'AF'!H64,IF($D$21=$M$11,'AF'!K64,IF($D$21='Interactive Worksheet'!$M$12,'AF'!N64,))))</f>
        <v>#N/A</v>
      </c>
      <c r="S97" s="520" t="e">
        <f>IF($D97&lt;&gt;0,$D97,IF($D$21=$M$9,MC!F65,IF($D$21=$M$10,MC!I65,IF($D$21='Interactive Worksheet'!$M$11,MC!L65,IF($D$21='Interactive Worksheet'!$M$12,MC!O65,IF($D$21='Interactive Worksheet'!$M$13,MC!R65,))))))</f>
        <v>#N/A</v>
      </c>
      <c r="T97" s="521" t="e">
        <f>IF($D97&lt;&gt;0,$D97*'Components and Space Standards'!C68,IF($D$21=$M$9,MC!H65,IF($D$21=$M$10,MC!K65,IF($D$21='Interactive Worksheet'!$M$11,MC!N65,IF($D$21='Interactive Worksheet'!$M$12,MC!Q65,IF($D$21='Interactive Worksheet'!$M$13,MC!T65,))))))</f>
        <v>#N/A</v>
      </c>
      <c r="U97" s="512">
        <f>(H97/64)*1</f>
        <v>0</v>
      </c>
      <c r="V97" s="477"/>
    </row>
    <row r="98" spans="1:23" s="34" customFormat="1" ht="15" customHeight="1">
      <c r="A98" s="453">
        <f>IF(OR($D$26&lt;&gt;"Yes",$D$26=0,$K$26&lt;&gt;"Yes"),,'Components and Space Standards'!A69)</f>
        <v>0</v>
      </c>
      <c r="B98" s="25"/>
      <c r="C98" s="53"/>
      <c r="D98" s="47"/>
      <c r="E98" s="252">
        <f>IF(OR($D$26&lt;&gt;"Yes",$D$26=0,$K$26&lt;&gt;"Yes"),,IF($D$5=$K$5,$M98&amp;" "&amp;'Components and Space Standards'!$D69&amp;".",IF($D$5=$K$6,$O98&amp;" "&amp;'Components and Space Standards'!$D69&amp;".",IF($D$5=$K$7,$Q98&amp;" "&amp;'Components and Space Standards'!$D69&amp;".",IF($D$5=$K$8,$S98&amp;" "&amp;'Components and Space Standards'!$D69&amp;".",)))))</f>
        <v>0</v>
      </c>
      <c r="F98" s="52"/>
      <c r="G98" s="250">
        <f t="shared" si="4"/>
        <v>0</v>
      </c>
      <c r="H98" s="45">
        <f t="shared" si="7"/>
        <v>0</v>
      </c>
      <c r="I98" s="33"/>
      <c r="J98" s="565"/>
      <c r="K98" s="171"/>
      <c r="L98" s="163"/>
      <c r="M98" s="510" t="e">
        <f>IF($D98&lt;&gt;0,$D98,IF($D$21=$M$9,Army!$F65,IF($D$21=$M$10,Army!$I65,IF($D$21='Interactive Worksheet'!$M$11,Army!$L65,IF($D$21='Interactive Worksheet'!$M$12,Army!$O65,IF($D$21='Interactive Worksheet'!$M$13,IF($M$17=0,Army!$R65,($M$17*Army!U65)+Army!R65)))))))</f>
        <v>#N/A</v>
      </c>
      <c r="N98" s="510" t="e">
        <f>IF($D98&lt;&gt;0,$D98*'Components and Space Standards'!$C69,IF($D$21=$M$9,Army!$H65,IF($D$21=$M$10,Army!$K65,IF($D$21='Interactive Worksheet'!$M$11,Army!$N65,IF($D$21='Interactive Worksheet'!$M$12,Army!$Q65,IF($D$21='Interactive Worksheet'!$M$13,IF($M$17=0,Army!$T65,($M$17*Army!W65)+Army!T65)))))))</f>
        <v>#N/A</v>
      </c>
      <c r="O98" s="517" t="e">
        <f>IF(D98&lt;&gt;0,D98,IF($D$21=$M$9,Navy!F66,IF($D$21=$M$10,Navy!I66,IF($D$21='Interactive Worksheet'!$M$11,Navy!L66,IF($D$21='Interactive Worksheet'!$M$12,Navy!O66,IF($D$21='Interactive Worksheet'!$M$13,Navy!R66,IF($O$18&gt;0,Navy!U66,)))))))</f>
        <v>#N/A</v>
      </c>
      <c r="P98" s="517" t="e">
        <f>IF(D98&lt;&gt;0,D98*'Components and Space Standards'!C69,IF($D$21=$M$9,Navy!H66,IF($D$21=$M$10,Navy!K66,IF($D$21='Interactive Worksheet'!$M$11,Navy!N66,IF($D$21='Interactive Worksheet'!$M$12,Navy!Q66,IF($D$21='Interactive Worksheet'!$M$13,Navy!T66,IF($O$18&gt;0,Navy!W66,)))))))</f>
        <v>#N/A</v>
      </c>
      <c r="Q98" s="170" t="e">
        <f>IF(D98&lt;&gt;0,D98,IF($D$21=$M$10,'AF'!F65,IF($D$21=$M$11,'AF'!I65,IF($D$21='Interactive Worksheet'!$M$12,'AF'!L65,))))</f>
        <v>#N/A</v>
      </c>
      <c r="R98" s="170" t="e">
        <f>IF(D98&lt;&gt;0,D98*'Components and Space Standards'!C69,IF($D$21=$M$10,'AF'!H65,IF($D$21=$M$11,'AF'!K65,IF($D$21='Interactive Worksheet'!$M$12,'AF'!N65,))))</f>
        <v>#N/A</v>
      </c>
      <c r="S98" s="520" t="e">
        <f>IF($D98&lt;&gt;0,$D98,IF($D$21=$M$9,MC!F66,IF($D$21=$M$10,MC!I66,IF($D$21='Interactive Worksheet'!$M$11,MC!L66,IF($D$21='Interactive Worksheet'!$M$12,MC!O66,IF($D$21='Interactive Worksheet'!$M$13,MC!R66,))))))</f>
        <v>#N/A</v>
      </c>
      <c r="T98" s="520" t="e">
        <f>IF($D98&lt;&gt;0,$D98*'Components and Space Standards'!C69,IF($D$21=$M$9,MC!H66,IF($D$21=$M$10,MC!K66,IF($D$21='Interactive Worksheet'!$M$11,MC!N66,IF($D$21='Interactive Worksheet'!$M$12,MC!Q66,IF($D$21='Interactive Worksheet'!$M$13,MC!T66,))))))</f>
        <v>#N/A</v>
      </c>
      <c r="U98" s="160"/>
      <c r="V98" s="477"/>
      <c r="W98" s="27"/>
    </row>
    <row r="99" spans="1:22" s="34" customFormat="1" ht="15" customHeight="1">
      <c r="A99" s="453">
        <f>IF(OR($D$26&lt;&gt;"Yes",$D$26=0,$K$26&lt;&gt;"Yes"),,'Components and Space Standards'!A70)</f>
        <v>0</v>
      </c>
      <c r="B99" s="25"/>
      <c r="C99" s="51"/>
      <c r="D99" s="51"/>
      <c r="E99" s="252">
        <f>IF(OR($D$26&lt;&gt;"Yes",$D$26=0,$K$26&lt;&gt;"Yes"),,IF($D$5=$K$5,$M99&amp;" "&amp;'Components and Space Standards'!$D70&amp;".",IF($D$5=$K$6,$O99&amp;" "&amp;'Components and Space Standards'!$D70&amp;".",IF($D$5=$K$7,$Q99&amp;" "&amp;'Components and Space Standards'!$D70&amp;".",IF($D$5=$K$8,$S99&amp;" "&amp;'Components and Space Standards'!$D70&amp;".",)))))</f>
        <v>0</v>
      </c>
      <c r="F99" s="52"/>
      <c r="G99" s="250">
        <f t="shared" si="4"/>
        <v>0</v>
      </c>
      <c r="H99" s="45">
        <f t="shared" si="7"/>
        <v>0</v>
      </c>
      <c r="I99" s="33"/>
      <c r="J99" s="565"/>
      <c r="K99" s="171"/>
      <c r="L99" s="163"/>
      <c r="M99" s="510" t="e">
        <f>IF($D99&lt;&gt;0,$D99,IF($D$21=$M$9,Army!$F66,IF($D$21=$M$10,Army!$I66,IF($D$21='Interactive Worksheet'!$M$11,Army!$L66,IF($D$21='Interactive Worksheet'!$M$12,Army!$O66,IF($D$21='Interactive Worksheet'!$M$13,IF($M$17=0,Army!$R66,($M$17*Army!U66)+Army!R66)))))))</f>
        <v>#N/A</v>
      </c>
      <c r="N99" s="510" t="e">
        <f>IF($D99&lt;&gt;0,$D99*'Components and Space Standards'!$C70,IF($D$21=$M$9,Army!$H66,IF($D$21=$M$10,Army!$K66,IF($D$21='Interactive Worksheet'!$M$11,Army!$N66,IF($D$21='Interactive Worksheet'!$M$12,Army!$Q66,IF($D$21='Interactive Worksheet'!$M$13,IF($M$17=0,Army!$T66,($M$17*Army!W66)+Army!T66)))))))</f>
        <v>#N/A</v>
      </c>
      <c r="O99" s="517" t="e">
        <f>IF(D99&lt;&gt;0,D99,IF($D$21=$M$9,Navy!F67,IF($D$21=$M$10,Navy!I67,IF($D$21='Interactive Worksheet'!$M$11,Navy!L67,IF($D$21='Interactive Worksheet'!$M$12,Navy!O67,IF($D$21='Interactive Worksheet'!$M$13,Navy!R67,IF($O$18&gt;0,Navy!U67,)))))))</f>
        <v>#N/A</v>
      </c>
      <c r="P99" s="517" t="e">
        <f>IF(D99&lt;&gt;0,D99*'Components and Space Standards'!C70,IF($D$21=$M$9,Navy!H67,IF($D$21=$M$10,Navy!K67,IF($D$21='Interactive Worksheet'!$M$11,Navy!N67,IF($D$21='Interactive Worksheet'!$M$12,Navy!Q67,IF($D$21='Interactive Worksheet'!$M$13,Navy!T67,IF($O$18&gt;0,Navy!W67,)))))))</f>
        <v>#N/A</v>
      </c>
      <c r="Q99" s="170" t="e">
        <f>IF(D99&lt;&gt;0,D99,IF($D$21=$M$10,'AF'!F66,IF($D$21=$M$11,'AF'!I66,IF($D$21='Interactive Worksheet'!$M$12,'AF'!L66,))))</f>
        <v>#N/A</v>
      </c>
      <c r="R99" s="170" t="e">
        <f>IF(D99&lt;&gt;0,D99*'Components and Space Standards'!C70,IF($D$21=$M$10,'AF'!H66,IF($D$21=$M$11,'AF'!K66,IF($D$21='Interactive Worksheet'!$M$12,'AF'!N66,))))</f>
        <v>#N/A</v>
      </c>
      <c r="S99" s="520" t="e">
        <f>IF($D99&lt;&gt;0,$D99,IF($D$21=$M$9,MC!F67,IF($D$21=$M$10,MC!I67,IF($D$21='Interactive Worksheet'!$M$11,MC!L67,IF($D$21='Interactive Worksheet'!$M$12,MC!O67,IF($D$21='Interactive Worksheet'!$M$13,MC!R67,))))))</f>
        <v>#N/A</v>
      </c>
      <c r="T99" s="521" t="e">
        <f>IF($D99&lt;&gt;0,$D99*'Components and Space Standards'!C70,IF($D$21=$M$9,MC!H67,IF($D$21=$M$10,MC!K67,IF($D$21='Interactive Worksheet'!$M$11,MC!N67,IF($D$21='Interactive Worksheet'!$M$12,MC!Q67,IF($D$21='Interactive Worksheet'!$M$13,MC!T67,))))))</f>
        <v>#N/A</v>
      </c>
      <c r="U99" s="512">
        <f>(H99/420)*15*0.5</f>
        <v>0</v>
      </c>
      <c r="V99" s="477"/>
    </row>
    <row r="100" spans="1:22" s="34" customFormat="1" ht="15" customHeight="1">
      <c r="A100" s="453">
        <f>IF(OR($D$26&lt;&gt;"Yes",$D$26=0,$K$26&lt;&gt;"Yes"),,'Components and Space Standards'!A71)</f>
        <v>0</v>
      </c>
      <c r="B100" s="42"/>
      <c r="C100" s="51"/>
      <c r="D100" s="51"/>
      <c r="E100" s="252">
        <f>IF(OR($D$26&lt;&gt;"Yes",$D$26=0,$K$26&lt;&gt;"Yes"),,IF($D$5=$K$5,$M100&amp;" "&amp;'Components and Space Standards'!$D71&amp;".",IF($D$5=$K$6,$O100&amp;" "&amp;'Components and Space Standards'!$D71&amp;".",IF($D$5=$K$7,$Q100&amp;" "&amp;'Components and Space Standards'!$D71&amp;".",IF($D$5=$K$8,$S100&amp;" "&amp;'Components and Space Standards'!$D71&amp;".",)))))</f>
        <v>0</v>
      </c>
      <c r="F100" s="52"/>
      <c r="G100" s="250">
        <f t="shared" si="4"/>
        <v>0</v>
      </c>
      <c r="H100" s="45">
        <f t="shared" si="7"/>
        <v>0</v>
      </c>
      <c r="I100" s="33"/>
      <c r="J100" s="565"/>
      <c r="K100" s="171"/>
      <c r="L100" s="163"/>
      <c r="M100" s="510" t="e">
        <f>IF($D100&lt;&gt;0,$D100,IF($D$21=$M$9,Army!$F67,IF($D$21=$M$10,Army!$I67,IF($D$21='Interactive Worksheet'!$M$11,Army!$L67,IF($D$21='Interactive Worksheet'!$M$12,Army!$O67,IF($D$21='Interactive Worksheet'!$M$13,IF($M$17=0,Army!$R67,($M$17*Army!U67)+Army!R67)))))))</f>
        <v>#N/A</v>
      </c>
      <c r="N100" s="510" t="e">
        <f>IF($D100&lt;&gt;0,$D100*'Components and Space Standards'!$C71,IF($D$21=$M$9,Army!$H67,IF($D$21=$M$10,Army!$K67,IF($D$21='Interactive Worksheet'!$M$11,Army!$N67,IF($D$21='Interactive Worksheet'!$M$12,Army!$Q67,IF($D$21='Interactive Worksheet'!$M$13,IF($M$17=0,Army!$T67,($M$17*Army!W67)+Army!T67)))))))</f>
        <v>#N/A</v>
      </c>
      <c r="O100" s="517" t="e">
        <f>IF(D100&lt;&gt;0,D100,IF($D$21=$M$9,Navy!F68,IF($D$21=$M$10,Navy!I68,IF($D$21='Interactive Worksheet'!$M$11,Navy!L68,IF($D$21='Interactive Worksheet'!$M$12,Navy!O68,IF($D$21='Interactive Worksheet'!$M$13,Navy!R68,IF($O$18&gt;0,Navy!U68,)))))))</f>
        <v>#N/A</v>
      </c>
      <c r="P100" s="517" t="e">
        <f>IF(D100&lt;&gt;0,D100*'Components and Space Standards'!C71,IF($D$21=$M$9,Navy!H68,IF($D$21=$M$10,Navy!K68,IF($D$21='Interactive Worksheet'!$M$11,Navy!N68,IF($D$21='Interactive Worksheet'!$M$12,Navy!Q68,IF($D$21='Interactive Worksheet'!$M$13,Navy!T68,IF($O$18&gt;0,Navy!W68,)))))))</f>
        <v>#N/A</v>
      </c>
      <c r="Q100" s="170" t="e">
        <f>IF(D100&lt;&gt;0,D100,IF($D$21=$M$10,'AF'!F67,IF($D$21=$M$11,'AF'!I67,IF($D$21='Interactive Worksheet'!$M$12,'AF'!L67,))))</f>
        <v>#N/A</v>
      </c>
      <c r="R100" s="170" t="e">
        <f>IF(D100&lt;&gt;0,D100*'Components and Space Standards'!C71,IF($D$21=$M$10,'AF'!H67,IF($D$21=$M$11,'AF'!K67,IF($D$21='Interactive Worksheet'!$M$12,'AF'!N67,))))</f>
        <v>#N/A</v>
      </c>
      <c r="S100" s="520" t="e">
        <f>IF($D100&lt;&gt;0,$D100,IF($D$21=$M$9,MC!F68,IF($D$21=$M$10,MC!I68,IF($D$21='Interactive Worksheet'!$M$11,MC!L68,IF($D$21='Interactive Worksheet'!$M$12,MC!O68,IF($D$21='Interactive Worksheet'!$M$13,MC!R68,))))))</f>
        <v>#N/A</v>
      </c>
      <c r="T100" s="520" t="e">
        <f>IF($D100&lt;&gt;0,$D100*'Components and Space Standards'!C71,IF($D$21=$M$9,MC!H68,IF($D$21=$M$10,MC!K68,IF($D$21='Interactive Worksheet'!$M$11,MC!N68,IF($D$21='Interactive Worksheet'!$M$12,MC!Q68,IF($D$21='Interactive Worksheet'!$M$13,MC!T68,))))))</f>
        <v>#N/A</v>
      </c>
      <c r="U100" s="160"/>
      <c r="V100" s="477"/>
    </row>
    <row r="101" spans="1:22" s="34" customFormat="1" ht="15" customHeight="1" thickBot="1">
      <c r="A101" s="381"/>
      <c r="B101" s="397"/>
      <c r="C101" s="398"/>
      <c r="D101" s="398"/>
      <c r="E101" s="385"/>
      <c r="F101" s="386"/>
      <c r="G101" s="399"/>
      <c r="H101" s="400"/>
      <c r="I101" s="33"/>
      <c r="J101" s="565"/>
      <c r="K101" s="171"/>
      <c r="L101" s="163"/>
      <c r="M101" s="288"/>
      <c r="N101" s="288"/>
      <c r="O101" s="288"/>
      <c r="P101" s="288"/>
      <c r="Q101" s="288"/>
      <c r="R101" s="288"/>
      <c r="S101" s="288"/>
      <c r="T101" s="288"/>
      <c r="U101" s="160"/>
      <c r="V101" s="477"/>
    </row>
    <row r="102" spans="1:22" s="34" customFormat="1" ht="24.75" customHeight="1">
      <c r="A102" s="305">
        <f>IF(OR($D$26&lt;&gt;"Yes",$D$26=0,$K$26&lt;&gt;"Yes"),,'Components and Space Standards'!A72)</f>
        <v>0</v>
      </c>
      <c r="B102" s="393"/>
      <c r="C102" s="394"/>
      <c r="D102" s="51"/>
      <c r="E102" s="67" t="s">
        <v>218</v>
      </c>
      <c r="F102" s="25"/>
      <c r="G102" s="401" t="s">
        <v>17</v>
      </c>
      <c r="H102" s="402" t="s">
        <v>18</v>
      </c>
      <c r="I102" s="33"/>
      <c r="J102" s="565"/>
      <c r="K102" s="171"/>
      <c r="L102" s="163"/>
      <c r="M102" s="159"/>
      <c r="N102" s="159"/>
      <c r="O102" s="159" t="e">
        <f>IF(D102&lt;&gt;0,D102,IF($D$21=$M$9,Navy!F69,IF($D$21=$M$10,Navy!I69,IF($D$21='Interactive Worksheet'!$M$11,Navy!L69,IF($D$21='Interactive Worksheet'!$M$12,Navy!O69,IF($D$21='Interactive Worksheet'!$M$13,Navy!R69,))))))</f>
        <v>#N/A</v>
      </c>
      <c r="P102" s="159" t="e">
        <f>IF(D102&lt;&gt;0,D102*'Components and Space Standards'!C72,IF($D$21=$M$9,Navy!H69,IF($D$21=$M$10,Navy!K69,IF($D$21='Interactive Worksheet'!$M$11,Navy!N69,IF($D$21='Interactive Worksheet'!$M$12,Navy!Q69,IF($D$21='Interactive Worksheet'!$M$13,Navy!T69,))))))</f>
        <v>#N/A</v>
      </c>
      <c r="Q102" s="159" t="e">
        <f>IF(D102&lt;&gt;0,D102,IF($D$21=$M$10,'AF'!F68,IF($D$21=$M$11,'AF'!I68,IF($D$21='Interactive Worksheet'!$M$12,'AF'!L68,))))</f>
        <v>#N/A</v>
      </c>
      <c r="R102" s="159" t="e">
        <f>IF(D102&lt;&gt;0,D102*'Components and Space Standards'!C72,IF($D$21=$M$10,'AF'!H68,IF($D$21=$M$11,'AF'!K68,IF($D$21='Interactive Worksheet'!$M$12,'AF'!N68,))))</f>
        <v>#N/A</v>
      </c>
      <c r="S102" s="159" t="e">
        <f>IF($D102&lt;&gt;0,$D102,IF($D$21=$M$9,MC!F69,IF($D$21=$M$10,MC!I69,IF($D$21='Interactive Worksheet'!$M$11,MC!L69,IF($D$21='Interactive Worksheet'!$M$12,MC!O69,IF($D$21='Interactive Worksheet'!$M$13,MC!R69,))))))</f>
        <v>#N/A</v>
      </c>
      <c r="T102" s="159" t="e">
        <f>IF($D102&lt;&gt;0,$D102*'Components and Space Standards'!C72,IF($D$21=$M$9,MC!H69,IF($D$21=$M$10,MC!K69,IF($D$21='Interactive Worksheet'!$M$11,MC!N69,IF($D$21='Interactive Worksheet'!$M$12,MC!Q69,IF($D$21='Interactive Worksheet'!$M$13,MC!T69,))))))</f>
        <v>#N/A</v>
      </c>
      <c r="U102" s="160"/>
      <c r="V102" s="477"/>
    </row>
    <row r="103" spans="1:26" s="34" customFormat="1" ht="24.75" customHeight="1">
      <c r="A103" s="251">
        <f>IF(OR($D$26&lt;&gt;"Yes",$D$26=0,$K$26&lt;&gt;"Yes"),,'Components and Space Standards'!A75)</f>
        <v>0</v>
      </c>
      <c r="B103" s="42"/>
      <c r="C103" s="51"/>
      <c r="D103" s="51"/>
      <c r="E103" s="57"/>
      <c r="F103" s="25"/>
      <c r="G103" s="463"/>
      <c r="H103" s="464"/>
      <c r="I103" s="33"/>
      <c r="J103" s="565"/>
      <c r="K103" s="171"/>
      <c r="L103" s="163"/>
      <c r="M103" s="291"/>
      <c r="N103" s="291"/>
      <c r="O103" s="291"/>
      <c r="P103" s="291"/>
      <c r="Q103" s="291"/>
      <c r="R103" s="291"/>
      <c r="S103" s="291"/>
      <c r="T103" s="291"/>
      <c r="U103" s="160"/>
      <c r="V103" s="477"/>
      <c r="W103" s="586"/>
      <c r="X103" s="27"/>
      <c r="Y103" s="27"/>
      <c r="Z103" s="27"/>
    </row>
    <row r="104" spans="1:26" s="34" customFormat="1" ht="15" customHeight="1">
      <c r="A104" s="246">
        <f>IF(OR($D$26&lt;&gt;"Yes",$D$26=0,$K$26&lt;&gt;"Yes"),,'Components and Space Standards'!A76)</f>
        <v>0</v>
      </c>
      <c r="B104" s="42"/>
      <c r="C104" s="252">
        <f>IF(OR($D$26&lt;&gt;"Yes",$D$26=0,$K$26&lt;&gt;"Yes"),,"To change default, select new:")</f>
        <v>0</v>
      </c>
      <c r="D104" s="279"/>
      <c r="E104" s="462">
        <f>IF(OR($D$26&lt;&gt;"Yes",$D$26=0,$K$26&lt;&gt;"Yes"),,IF(H104='Components and Space Standards'!C77,'Components and Space Standards'!D77,IF(H104='Components and Space Standards'!C77*0.5,'Components and Space Standards'!D77,IF(H104='Components and Space Standards'!C78,'Components and Space Standards'!D78,IF(H104='Components and Space Standards'!C78*0.5,'Components and Space Standards'!D78,IF(H104='Components and Space Standards'!C79,'Components and Space Standards'!D79,IF(H104='Components and Space Standards'!C79*0.5,'Components and Space Standards'!D79,IF(H104='Components and Space Standards'!C80,'Components and Space Standards'!D80,))))))))</f>
        <v>0</v>
      </c>
      <c r="F104" s="25"/>
      <c r="G104" s="250">
        <f>ROUND(H104*$K$33,2)</f>
        <v>0</v>
      </c>
      <c r="H104" s="45">
        <f>IF(OR($D$26&lt;&gt;"Yes",$D$26=0,$K$26&lt;&gt;"Yes"),,IF($D$5=$K$5,N104,IF($D$5=$K$6,P104,IF($D$5=$K$7,R104,IF($D$5=$K$8,T104,)))))</f>
        <v>0</v>
      </c>
      <c r="I104" s="33"/>
      <c r="J104" s="566">
        <f>IF(D104&lt;&gt;0,"D",)</f>
        <v>0</v>
      </c>
      <c r="K104" s="33" t="s">
        <v>353</v>
      </c>
      <c r="L104" s="163"/>
      <c r="M104" s="281" t="e">
        <f>IF($D$104&lt;&gt;0,"Error",IF(SUM(M108:M111)&gt;1,"Error",))</f>
        <v>#N/A</v>
      </c>
      <c r="N104" s="281" t="e">
        <f>IF(M104="Error",M104,SUM(N108:N111))</f>
        <v>#N/A</v>
      </c>
      <c r="O104" s="281" t="e">
        <f>IF($D$104&lt;&gt;0,"See D103",IF(SUM(O108:O111)&gt;1,"Error",))</f>
        <v>#N/A</v>
      </c>
      <c r="P104" s="281">
        <f>IF($D$104&lt;&gt;0,IF($D$104=$K$104,0,IF($D$104=$K$105,'Components and Space Standards'!$C$77,IF($D$104=$K$106,'Components and Space Standards'!$C$79,IF($D$104=$K$107,'Components and Space Standards'!$C$80,IF(O104="Error",O104,SUM(P108:P111)))))),IF(OR(L11=1,L12=1),'Components and Space Standards'!$C$79,IF(OR(L13=1,G15=1),'Components and Space Standards'!$C$80,)))</f>
        <v>0</v>
      </c>
      <c r="Q104" s="281" t="e">
        <f>IF($D$104&lt;&gt;0,"See D103",IF(SUM(Q108:Q111)&gt;1,"Error",))</f>
        <v>#N/A</v>
      </c>
      <c r="R104" s="281" t="e">
        <f>IF($D$104&lt;&gt;0,IF($D$104=$K$105,'Components and Space Standards'!$C$77,IF('Interactive Worksheet'!$D$104='Interactive Worksheet'!$K$106,'Components and Space Standards'!$C$79,IF('Interactive Worksheet'!$D$104='Interactive Worksheet'!$K$107,'Components and Space Standards'!$C$80,IF(Q104="Error",Q104,SUM(R108:R111))))),IF(Q104="Error",Q104,SUM(R108:R111)))</f>
        <v>#N/A</v>
      </c>
      <c r="S104" s="281" t="e">
        <f>IF($D$104&lt;&gt;0,"See D103",IF(SUM(S108:S111)&gt;1,"Error",))</f>
        <v>#N/A</v>
      </c>
      <c r="T104" s="511" t="e">
        <f>IF($D$104&lt;&gt;0,IF($D$104=$K$105,'Components and Space Standards'!$C$77,IF('Interactive Worksheet'!$D$104='Interactive Worksheet'!$K$106,'Components and Space Standards'!$C$79,IF('Interactive Worksheet'!$D$104='Interactive Worksheet'!$K$107,'Components and Space Standards'!$C$80,IF(S104="Error",S104,SUM(T108:T111))))),IF(S104="Error",S104,SUM(T108:T111)))</f>
        <v>#N/A</v>
      </c>
      <c r="U104" s="512">
        <f>IF(H104='Components and Space Standards'!C77*0.5,('Components and Space Standards'!H77/20),IF(H104='Components and Space Standards'!C77,('Components and Space Standards'!H77/20),IF(H104='Components and Space Standards'!C78*0.5,('Components and Space Standards'!H78/20),IF(H104='Components and Space Standards'!C78,('Components and Space Standards'!H78/20),IF(H104='Components and Space Standards'!C79*0.5,('Components and Space Standards'!H79/20),IF(H104='Components and Space Standards'!C79,('Components and Space Standards'!H79/20),IF(H104='Components and Space Standards'!C80*0.5,('Components and Space Standards'!H80/20),IF(H104='Components and Space Standards'!C80,('Components and Space Standards'!H80/20),0))))))))</f>
        <v>0</v>
      </c>
      <c r="V104" s="477"/>
      <c r="W104" s="643"/>
      <c r="X104" s="587"/>
      <c r="Y104" s="27"/>
      <c r="Z104" s="27"/>
    </row>
    <row r="105" spans="1:26" s="34" customFormat="1" ht="15" customHeight="1">
      <c r="A105" s="687"/>
      <c r="B105" s="688"/>
      <c r="C105" s="688"/>
      <c r="D105" s="688"/>
      <c r="E105" s="57"/>
      <c r="F105" s="25"/>
      <c r="G105" s="284"/>
      <c r="H105" s="285"/>
      <c r="I105" s="33"/>
      <c r="J105" s="565"/>
      <c r="K105" s="171" t="s">
        <v>314</v>
      </c>
      <c r="L105" s="163"/>
      <c r="M105" s="288"/>
      <c r="N105" s="288"/>
      <c r="O105" s="288"/>
      <c r="P105" s="288"/>
      <c r="Q105" s="288"/>
      <c r="R105" s="288"/>
      <c r="S105" s="288"/>
      <c r="T105" s="288"/>
      <c r="U105" s="160"/>
      <c r="V105" s="477"/>
      <c r="W105" s="643"/>
      <c r="X105" s="27"/>
      <c r="Y105" s="27"/>
      <c r="Z105" s="27"/>
    </row>
    <row r="106" spans="1:26" s="34" customFormat="1" ht="15" customHeight="1">
      <c r="A106" s="687"/>
      <c r="B106" s="688"/>
      <c r="C106" s="688"/>
      <c r="D106" s="688"/>
      <c r="E106" s="57"/>
      <c r="F106" s="25"/>
      <c r="G106" s="71"/>
      <c r="H106" s="49"/>
      <c r="I106" s="33"/>
      <c r="J106" s="565"/>
      <c r="K106" s="171" t="s">
        <v>315</v>
      </c>
      <c r="L106" s="163"/>
      <c r="M106" s="159"/>
      <c r="N106" s="159"/>
      <c r="O106" s="159"/>
      <c r="P106" s="159"/>
      <c r="Q106" s="159"/>
      <c r="R106" s="159"/>
      <c r="S106" s="159"/>
      <c r="T106" s="159"/>
      <c r="U106" s="160"/>
      <c r="V106" s="477"/>
      <c r="W106" s="643"/>
      <c r="X106" s="27"/>
      <c r="Y106" s="27"/>
      <c r="Z106" s="27"/>
    </row>
    <row r="107" spans="1:26" s="34" customFormat="1" ht="15" customHeight="1">
      <c r="A107" s="687"/>
      <c r="B107" s="688"/>
      <c r="C107" s="688"/>
      <c r="D107" s="688"/>
      <c r="E107" s="57"/>
      <c r="F107" s="25"/>
      <c r="G107" s="286"/>
      <c r="H107" s="287"/>
      <c r="I107" s="33"/>
      <c r="J107" s="565"/>
      <c r="K107" s="171" t="s">
        <v>316</v>
      </c>
      <c r="L107" s="163"/>
      <c r="M107" s="703" t="s">
        <v>352</v>
      </c>
      <c r="N107" s="703"/>
      <c r="O107" s="703"/>
      <c r="P107" s="703"/>
      <c r="Q107" s="703"/>
      <c r="R107" s="703"/>
      <c r="S107" s="703"/>
      <c r="T107" s="703"/>
      <c r="U107" s="160"/>
      <c r="V107" s="477"/>
      <c r="W107" s="429"/>
      <c r="X107" s="27"/>
      <c r="Y107" s="27"/>
      <c r="Z107" s="27"/>
    </row>
    <row r="108" spans="1:26" s="34" customFormat="1" ht="15" customHeight="1" hidden="1">
      <c r="A108" s="322">
        <f>IF(OR($D$26&lt;&gt;"Yes",$D$26=0,$K$26&lt;&gt;"Yes"),,'Components and Space Standards'!A77)</f>
        <v>0</v>
      </c>
      <c r="B108" s="465"/>
      <c r="C108" s="466"/>
      <c r="D108" s="467"/>
      <c r="E108" s="468"/>
      <c r="F108" s="469"/>
      <c r="G108" s="470"/>
      <c r="H108" s="471"/>
      <c r="I108" s="33"/>
      <c r="J108" s="565"/>
      <c r="K108" s="171"/>
      <c r="L108" s="163"/>
      <c r="M108" s="281" t="e">
        <f>IF($D108&lt;&gt;0,$D108,IF($D$21=$M$9,Army!$F71,IF($D$21=$M$10,Army!$I71,IF($D$21='Interactive Worksheet'!$M$11,Army!$L71,IF($D$21='Interactive Worksheet'!$M$12,Army!$O71,IF($D$21='Interactive Worksheet'!$M$13,Army!$R71,))))))</f>
        <v>#N/A</v>
      </c>
      <c r="N108" s="281" t="e">
        <f>IF($D108&lt;&gt;0,$D108*'Components and Space Standards'!$C77,IF($D$21=$M$9,Army!$H71,IF($D$21=$M$10,Army!$K71,IF($D$21='Interactive Worksheet'!$M$11,Army!$N71,IF($D$21='Interactive Worksheet'!$M$12,Army!$Q71,IF($D$21='Interactive Worksheet'!$M$13,Army!$T71,))))))</f>
        <v>#N/A</v>
      </c>
      <c r="O108" s="517" t="e">
        <f>IF(D108&lt;&gt;0,D108,IF($D$21=$M$9,Navy!F72,IF($D$21=$M$10,Navy!I72,IF($D$21='Interactive Worksheet'!$M$11,Navy!L72,IF($D$21='Interactive Worksheet'!$M$12,Navy!O72,IF($D$21='Interactive Worksheet'!$M$13,Navy!R72,IF($O$18&gt;0,Navy!U72,)))))))</f>
        <v>#N/A</v>
      </c>
      <c r="P108" s="517" t="e">
        <f>IF(D108&lt;&gt;0,D108*'Components and Space Standards'!C77,IF($D$21=$M$9,Navy!H72,IF($D$21=$M$10,Navy!K72,IF($D$21='Interactive Worksheet'!$M$11,Navy!N72,IF($D$21='Interactive Worksheet'!$M$12,Navy!Q72,IF($D$21='Interactive Worksheet'!$M$13,Navy!T72,IF($O$18&gt;0,Navy!W72,)))))))</f>
        <v>#N/A</v>
      </c>
      <c r="Q108" s="170" t="e">
        <f>IF(D108&lt;&gt;0,D108,IF($D$21=$M$10,'AF'!F71,IF($D$21=$M$11,'AF'!I71,IF($D$21='Interactive Worksheet'!$M$12,'AF'!L71,))))</f>
        <v>#N/A</v>
      </c>
      <c r="R108" s="170" t="e">
        <f>IF(D108&lt;&gt;0,D108*'Components and Space Standards'!C77,IF($D$21=$M$10,'AF'!H71,IF($D$21=$M$11,'AF'!K71,IF($D$21='Interactive Worksheet'!$M$12,'AF'!N71,))))</f>
        <v>#N/A</v>
      </c>
      <c r="S108" s="520" t="e">
        <f>IF($D108&lt;&gt;0,$D108,IF($D$21=$M$9,MC!F72,IF($D$21=$M$10,MC!I72,IF($D$21='Interactive Worksheet'!$M$11,MC!L72,IF($D$21='Interactive Worksheet'!$M$12,MC!O72,IF($D$21='Interactive Worksheet'!$M$13,MC!R72,))))))</f>
        <v>#N/A</v>
      </c>
      <c r="T108" s="520" t="e">
        <f>IF($D108&lt;&gt;0,$D108*'Components and Space Standards'!C77,IF($D$21=$M$9,MC!H72,IF($D$21=$M$10,MC!K72,IF($D$21='Interactive Worksheet'!$M$11,MC!N72,IF($D$21='Interactive Worksheet'!$M$12,MC!Q72,IF($D$21='Interactive Worksheet'!$M$13,MC!T72,))))))</f>
        <v>#N/A</v>
      </c>
      <c r="U108" s="160"/>
      <c r="V108" s="477"/>
      <c r="W108" s="429"/>
      <c r="X108" s="27"/>
      <c r="Y108" s="27"/>
      <c r="Z108" s="27"/>
    </row>
    <row r="109" spans="1:26" s="34" customFormat="1" ht="15" customHeight="1" hidden="1">
      <c r="A109" s="322">
        <f>IF(OR($D$26&lt;&gt;"Yes",$D$26=0,$K$26&lt;&gt;"Yes"),,'Components and Space Standards'!A78)</f>
        <v>0</v>
      </c>
      <c r="B109" s="465"/>
      <c r="C109" s="466"/>
      <c r="D109" s="467"/>
      <c r="E109" s="468"/>
      <c r="F109" s="469"/>
      <c r="G109" s="470"/>
      <c r="H109" s="471"/>
      <c r="I109" s="33"/>
      <c r="J109" s="565"/>
      <c r="K109" s="171"/>
      <c r="L109" s="163"/>
      <c r="M109" s="281" t="e">
        <f>IF($D109&lt;&gt;0,$D109,IF($D$21=$M$9,Army!$F72,IF($D$21=$M$10,Army!$I72,IF($D$21='Interactive Worksheet'!$M$11,Army!$L72,IF($D$21='Interactive Worksheet'!$M$12,Army!$O72,IF($D$21='Interactive Worksheet'!$M$13,Army!$R72,))))))</f>
        <v>#N/A</v>
      </c>
      <c r="N109" s="281" t="e">
        <f>IF($D109&lt;&gt;0,$D109*'Components and Space Standards'!$C78,IF($D$21=$M$9,Army!$H72,IF($D$21=$M$10,Army!$K72,IF($D$21='Interactive Worksheet'!$M$11,Army!$N72,IF($D$21='Interactive Worksheet'!$M$12,Army!$Q72,IF($D$21='Interactive Worksheet'!$M$13,Army!$T72,))))))</f>
        <v>#N/A</v>
      </c>
      <c r="O109" s="517" t="e">
        <f>IF(D109&lt;&gt;0,D109,IF($D$21=$M$9,Navy!F73,IF($D$21=$M$10,Navy!I73,IF($D$21='Interactive Worksheet'!$M$11,Navy!L73,IF($D$21='Interactive Worksheet'!$M$12,Navy!O73,IF($D$21='Interactive Worksheet'!$M$13,Navy!R73,IF($O$18&gt;0,Navy!U73,)))))))</f>
        <v>#N/A</v>
      </c>
      <c r="P109" s="517" t="e">
        <f>IF(D109&lt;&gt;0,D109*'Components and Space Standards'!C78,IF($D$21=$M$9,Navy!H73,IF($D$21=$M$10,Navy!K73,IF($D$21='Interactive Worksheet'!$M$11,Navy!N73,IF($D$21='Interactive Worksheet'!$M$12,Navy!Q73,IF($D$21='Interactive Worksheet'!$M$13,Navy!T73,IF($O$18&gt;0,Navy!W73,)))))))</f>
        <v>#N/A</v>
      </c>
      <c r="Q109" s="170"/>
      <c r="R109" s="170"/>
      <c r="S109" s="520" t="e">
        <f>IF($D109&lt;&gt;0,$D109,IF($D$21=$M$9,MC!F73,IF($D$21=$M$10,MC!I73,IF($D$21='Interactive Worksheet'!$M$11,MC!L73,IF($D$21='Interactive Worksheet'!$M$12,MC!O73,IF($D$21='Interactive Worksheet'!$M$13,MC!R73,))))))</f>
        <v>#N/A</v>
      </c>
      <c r="T109" s="520" t="e">
        <f>IF($D109&lt;&gt;0,$D109*'Components and Space Standards'!C78,IF($D$21=$M$9,MC!H73,IF($D$21=$M$10,MC!K73,IF($D$21='Interactive Worksheet'!$M$11,MC!N73,IF($D$21='Interactive Worksheet'!$M$12,MC!Q73,IF($D$21='Interactive Worksheet'!$M$13,MC!T73,))))))</f>
        <v>#N/A</v>
      </c>
      <c r="U109" s="160"/>
      <c r="V109" s="477"/>
      <c r="W109" s="429"/>
      <c r="X109" s="27"/>
      <c r="Y109" s="27"/>
      <c r="Z109" s="27"/>
    </row>
    <row r="110" spans="1:26" s="34" customFormat="1" ht="15" customHeight="1" hidden="1">
      <c r="A110" s="322">
        <f>IF(OR($D$26&lt;&gt;"Yes",$D$26=0,$K$26&lt;&gt;"Yes"),,'Components and Space Standards'!A79)</f>
        <v>0</v>
      </c>
      <c r="B110" s="472"/>
      <c r="C110" s="473"/>
      <c r="D110" s="467"/>
      <c r="E110" s="468"/>
      <c r="F110" s="469"/>
      <c r="G110" s="470"/>
      <c r="H110" s="471"/>
      <c r="I110" s="33"/>
      <c r="J110" s="565"/>
      <c r="K110" s="171"/>
      <c r="L110" s="163"/>
      <c r="M110" s="281" t="e">
        <f>IF($D110&lt;&gt;0,$D110,IF($D$21=$M$9,Army!$F73,IF($D$21=$M$10,Army!$I73,IF($D$21='Interactive Worksheet'!$M$11,Army!$L73,IF($D$21='Interactive Worksheet'!$M$12,Army!$O73,IF($D$21='Interactive Worksheet'!$M$13,Army!$R73,))))))</f>
        <v>#N/A</v>
      </c>
      <c r="N110" s="281" t="e">
        <f>IF($D110&lt;&gt;0,$D110*'Components and Space Standards'!$C79,IF($D$21=$M$9,Army!$H73,IF($D$21=$M$10,Army!$K73,IF($D$21='Interactive Worksheet'!$M$11,Army!$N73,IF($D$21='Interactive Worksheet'!$M$12,Army!$Q73,IF($D$21='Interactive Worksheet'!$M$13,Army!$T73,))))))</f>
        <v>#N/A</v>
      </c>
      <c r="O110" s="517" t="e">
        <f>IF(D110&lt;&gt;0,D110,IF($D$21=$M$9,Navy!F74,IF($D$21=$M$10,Navy!I74,IF($D$21='Interactive Worksheet'!$M$11,Navy!L74,IF($D$21='Interactive Worksheet'!$M$12,Navy!O74,IF($D$21='Interactive Worksheet'!$M$13,Navy!R74,IF($O$18&gt;0,Navy!U74,)))))))</f>
        <v>#N/A</v>
      </c>
      <c r="P110" s="517" t="e">
        <f>IF(D110&lt;&gt;0,D110*'Components and Space Standards'!C79,IF($D$21=$M$9,Navy!H74,IF($D$21=$M$10,Navy!K74,IF($D$21='Interactive Worksheet'!$M$11,Navy!N74,IF($D$21='Interactive Worksheet'!$M$12,Navy!Q74,IF($D$21='Interactive Worksheet'!$M$13,Navy!T74,IF($O$18&gt;0,Navy!W74,)))))))</f>
        <v>#N/A</v>
      </c>
      <c r="Q110" s="170" t="e">
        <f>IF(D110&lt;&gt;0,D110,IF($D$21=$M$10,'AF'!F72,IF($D$21=$M$11,'AF'!I72,IF($D$21='Interactive Worksheet'!$M$12,'AF'!L72,))))</f>
        <v>#N/A</v>
      </c>
      <c r="R110" s="170" t="e">
        <f>IF(D110&lt;&gt;0,D110*'Components and Space Standards'!C79,IF($D$21=$M$10,'AF'!H72,IF($D$21=$M$11,'AF'!K72,IF($D$21='Interactive Worksheet'!$M$12,'AF'!N72,))))</f>
        <v>#N/A</v>
      </c>
      <c r="S110" s="520" t="e">
        <f>IF($D110&lt;&gt;0,$D110,IF($D$21=$M$9,MC!F74,IF($D$21=$M$10,MC!I74,IF($D$21='Interactive Worksheet'!$M$11,MC!L74,IF($D$21='Interactive Worksheet'!$M$12,MC!O74,IF($D$21='Interactive Worksheet'!$M$13,MC!R74,))))))</f>
        <v>#N/A</v>
      </c>
      <c r="T110" s="520" t="e">
        <f>IF($D110&lt;&gt;0,$D110*'Components and Space Standards'!C79,IF($D$21=$M$9,MC!H74,IF($D$21=$M$10,MC!K74,IF($D$21='Interactive Worksheet'!$M$11,MC!N74,IF($D$21='Interactive Worksheet'!$M$12,MC!Q74,IF($D$21='Interactive Worksheet'!$M$13,MC!T74,))))))</f>
        <v>#N/A</v>
      </c>
      <c r="U110" s="160"/>
      <c r="V110" s="477"/>
      <c r="W110" s="429"/>
      <c r="X110" s="27"/>
      <c r="Y110" s="27"/>
      <c r="Z110" s="27"/>
    </row>
    <row r="111" spans="1:41" s="34" customFormat="1" ht="15" customHeight="1" hidden="1">
      <c r="A111" s="322">
        <f>IF(OR($D$26&lt;&gt;"Yes",$D$26=0,$K$26&lt;&gt;"Yes"),,'Components and Space Standards'!A80)</f>
        <v>0</v>
      </c>
      <c r="B111" s="472"/>
      <c r="C111" s="474"/>
      <c r="D111" s="467"/>
      <c r="E111" s="468"/>
      <c r="F111" s="469"/>
      <c r="G111" s="470"/>
      <c r="H111" s="471"/>
      <c r="I111" s="33"/>
      <c r="J111" s="565"/>
      <c r="K111" s="175"/>
      <c r="L111" s="163"/>
      <c r="M111" s="281" t="e">
        <f>IF($D111&lt;&gt;0,$D111,IF($D$21=$M$9,Army!$F74,IF($D$21=$M$10,Army!$I74,IF($D$21='Interactive Worksheet'!$M$11,Army!$L74,IF($D$21='Interactive Worksheet'!$M$12,Army!$O74,IF($D$21='Interactive Worksheet'!$M$13,Army!$R74,))))))</f>
        <v>#N/A</v>
      </c>
      <c r="N111" s="281" t="e">
        <f>IF($D111&lt;&gt;0,$D111*'Components and Space Standards'!$C80,IF($D$21=$M$9,Army!$H74,IF($D$21=$M$10,Army!$K74,IF($D$21='Interactive Worksheet'!$M$11,Army!$N74,IF($D$21='Interactive Worksheet'!$M$12,Army!$Q74,IF($D$21='Interactive Worksheet'!$M$13,Army!$T74,))))))</f>
        <v>#N/A</v>
      </c>
      <c r="O111" s="517" t="e">
        <f>IF(D111&lt;&gt;0,D111,IF($D$21=$M$9,Navy!F75,IF($D$21=$M$10,Navy!I75,IF($D$21='Interactive Worksheet'!$M$11,Navy!L75,IF($D$21='Interactive Worksheet'!$M$12,Navy!O75,IF($D$21='Interactive Worksheet'!$M$13,Navy!R75,IF($O$18&gt;0,Navy!U75,)))))))</f>
        <v>#N/A</v>
      </c>
      <c r="P111" s="517" t="e">
        <f>IF(D111&lt;&gt;0,D111*'Components and Space Standards'!C80,IF($D$21=$M$9,Navy!H75,IF($D$21=$M$10,Navy!K75,IF($D$21='Interactive Worksheet'!$M$11,Navy!N75,IF($D$21='Interactive Worksheet'!$M$12,Navy!Q75,IF($D$21='Interactive Worksheet'!$M$13,Navy!T75,IF($O$18&gt;0,Navy!W75,)))))))</f>
        <v>#N/A</v>
      </c>
      <c r="Q111" s="170" t="e">
        <f>IF(D111&lt;&gt;0,D111,IF($D$21=$M$10,'AF'!F73,IF($D$21=$M$11,'AF'!I73,IF($D$21='Interactive Worksheet'!$M$12,'AF'!L73,))))</f>
        <v>#N/A</v>
      </c>
      <c r="R111" s="170" t="e">
        <f>IF(D111&lt;&gt;0,D111*'Components and Space Standards'!C80,IF($D$21=$M$10,'AF'!H73,IF($D$21=$M$11,'AF'!K73,IF($D$21='Interactive Worksheet'!$M$12,'AF'!N73,))))</f>
        <v>#N/A</v>
      </c>
      <c r="S111" s="520" t="e">
        <f>IF($D111&lt;&gt;0,$D111,IF($D$21=$M$9,MC!F75,IF($D$21=$M$10,MC!I75,IF($D$21='Interactive Worksheet'!$M$11,MC!L75,IF($D$21='Interactive Worksheet'!$M$12,MC!O75,IF($D$21='Interactive Worksheet'!$M$13,MC!R75,))))))</f>
        <v>#N/A</v>
      </c>
      <c r="T111" s="520" t="e">
        <f>IF($D111&lt;&gt;0,$D111*'Components and Space Standards'!C80,IF($D$21=$M$9,MC!H75,IF($D$21=$M$10,MC!K75,IF($D$21='Interactive Worksheet'!$M$11,MC!N75,IF($D$21='Interactive Worksheet'!$M$12,MC!Q75,IF($D$21='Interactive Worksheet'!$M$13,MC!T75,))))))</f>
        <v>#N/A</v>
      </c>
      <c r="U111" s="160"/>
      <c r="V111" s="477"/>
      <c r="W111" s="429"/>
      <c r="X111" s="27"/>
      <c r="Y111" s="27"/>
      <c r="Z111" s="27"/>
      <c r="AA111" s="27"/>
      <c r="AB111" s="27"/>
      <c r="AC111" s="27"/>
      <c r="AD111" s="27"/>
      <c r="AE111" s="27"/>
      <c r="AF111" s="27"/>
      <c r="AG111" s="27"/>
      <c r="AH111" s="27"/>
      <c r="AI111" s="27"/>
      <c r="AJ111" s="27"/>
      <c r="AK111" s="27"/>
      <c r="AL111" s="27"/>
      <c r="AM111" s="27"/>
      <c r="AN111" s="27"/>
      <c r="AO111" s="27"/>
    </row>
    <row r="112" spans="1:41" s="34" customFormat="1" ht="15" customHeight="1">
      <c r="A112" s="246">
        <f>IF(OR($D$26&lt;&gt;"Yes",$D$26=0,$K$26&lt;&gt;"Yes"),,'Components and Space Standards'!A81)</f>
        <v>0</v>
      </c>
      <c r="B112" s="25"/>
      <c r="C112" s="252">
        <f>IF(OR($D$26&lt;&gt;"Yes",$D$26=0,$K$26&lt;&gt;"Yes"),,"To change default, enter new quantity:")</f>
        <v>0</v>
      </c>
      <c r="D112" s="279"/>
      <c r="E112" s="252">
        <f>IF(OR($D$26&lt;&gt;"Yes",$D$26=0,$K$26&lt;&gt;"Yes"),,IF($D$5=$K$5,$M112&amp;" "&amp;'Components and Space Standards'!$D81&amp;".",IF($D$5=$K$6,$O112&amp;" "&amp;'Components and Space Standards'!$D81&amp;".",IF($D$5=$K$7,$Q112&amp;" "&amp;'Components and Space Standards'!$D81&amp;".",IF($D$5=$K$8,$S112&amp;" "&amp;'Components and Space Standards'!$D81&amp;".",)))))</f>
        <v>0</v>
      </c>
      <c r="F112" s="52"/>
      <c r="G112" s="250">
        <f t="shared" si="4"/>
        <v>0</v>
      </c>
      <c r="H112" s="45">
        <f>IF(OR($D$26&lt;&gt;"Yes",$D$26=0,$K$26&lt;&gt;"Yes",$H$104=0,$D$104="None"),,IF($D$5=$K$5,N112,IF($D$5=$K$6,P112,IF($D$5=$K$7,R112,IF($D$5=$K$8,T112,)))))</f>
        <v>0</v>
      </c>
      <c r="I112" s="33"/>
      <c r="J112" s="566">
        <f>IF(D112&lt;&gt;0,"D",)</f>
        <v>0</v>
      </c>
      <c r="K112" s="175"/>
      <c r="L112" s="163"/>
      <c r="M112" s="510" t="e">
        <f>IF($D112&lt;&gt;0,$D112,IF($D$21=$M$9,Army!$F75,IF($D$21=$M$10,Army!$I75,IF($D$21='Interactive Worksheet'!$M$11,Army!$L75,IF($D$21='Interactive Worksheet'!$M$12,Army!$O75,IF($D$21='Interactive Worksheet'!$M$13,IF($M$17=0,Army!$R75,($M$17*Army!U75)+Army!R75)))))))</f>
        <v>#N/A</v>
      </c>
      <c r="N112" s="510" t="e">
        <f>IF($D112&lt;&gt;0,$D112*'Components and Space Standards'!$C81,IF($D$21=$M$9,Army!$H75,IF($D$21=$M$10,Army!$K75,IF($D$21='Interactive Worksheet'!$M$11,Army!$N75,IF($D$21='Interactive Worksheet'!$M$12,Army!$Q75,IF($D$21='Interactive Worksheet'!$M$13,IF($M$17=0,Army!$T75,($M$17*Army!W75)+Army!T75)))))))</f>
        <v>#N/A</v>
      </c>
      <c r="O112" s="281" t="e">
        <f>IF(D104=K104,0,IF(D112&lt;&gt;0,D112,IF($D$21=$M$9,Navy!F76,IF($D$21=$M$10,Navy!I76,IF($D$21='Interactive Worksheet'!$M$11,Navy!L76,IF($D$21='Interactive Worksheet'!$M$12,Navy!O76,IF($D$21='Interactive Worksheet'!$M$13,Navy!R76,IF($O$18&gt;0,Navy!U76,))))))))</f>
        <v>#N/A</v>
      </c>
      <c r="P112" s="281" t="e">
        <f>IF(D104=K104,0,IF(D112&lt;&gt;0,D112*'Components and Space Standards'!C81,IF($D$21=$M$9,Navy!H76,IF($D$21=$M$10,Navy!K76,IF($D$21='Interactive Worksheet'!$M$11,Navy!N76,IF($D$21='Interactive Worksheet'!$M$12,Navy!Q76,IF($D$21='Interactive Worksheet'!$M$13,Navy!T76,IF($G$15&gt;0,Navy!W76,))))))))</f>
        <v>#N/A</v>
      </c>
      <c r="Q112" s="170" t="e">
        <f>IF(D112&lt;&gt;0,D112,IF($D$21=$M$10,'AF'!F74,IF($D$21=$M$11,'AF'!I74,IF($D$21='Interactive Worksheet'!$M$12,'AF'!L74,))))</f>
        <v>#N/A</v>
      </c>
      <c r="R112" s="170" t="e">
        <f>IF(D112&lt;&gt;0,D112*'Components and Space Standards'!C81,IF($D$21=$M$10,'AF'!H74,IF($D$21=$M$11,'AF'!K74,IF($D$21='Interactive Worksheet'!$M$12,'AF'!N74,))))</f>
        <v>#N/A</v>
      </c>
      <c r="S112" s="520" t="e">
        <f>IF($D112&lt;&gt;0,$D112,IF($D$21=$M$9,MC!F76,IF($D$21=$M$10,MC!I76,IF($D$21='Interactive Worksheet'!$M$11,MC!L76,IF($D$21='Interactive Worksheet'!$M$12,MC!O76,IF($D$21='Interactive Worksheet'!$M$13,MC!R76,))))))</f>
        <v>#N/A</v>
      </c>
      <c r="T112" s="520" t="e">
        <f>IF($D112&lt;&gt;0,$D112*'Components and Space Standards'!C81,IF($D$21=$M$9,MC!H76,IF($D$21=$M$10,MC!K76,IF($D$21='Interactive Worksheet'!$M$11,MC!N76,IF($D$21='Interactive Worksheet'!$M$12,MC!Q76,IF($D$21='Interactive Worksheet'!$M$13,MC!T76,))))))</f>
        <v>#N/A</v>
      </c>
      <c r="U112" s="160"/>
      <c r="V112" s="477"/>
      <c r="W112" s="588"/>
      <c r="X112" s="27"/>
      <c r="Y112" s="27"/>
      <c r="Z112" s="27"/>
      <c r="AA112" s="27"/>
      <c r="AB112" s="27"/>
      <c r="AC112" s="27"/>
      <c r="AD112" s="27"/>
      <c r="AE112" s="27"/>
      <c r="AF112" s="27"/>
      <c r="AG112" s="27"/>
      <c r="AH112" s="27"/>
      <c r="AI112" s="27"/>
      <c r="AJ112" s="27"/>
      <c r="AK112" s="27"/>
      <c r="AL112" s="27"/>
      <c r="AM112" s="27"/>
      <c r="AN112" s="27"/>
      <c r="AO112" s="27"/>
    </row>
    <row r="113" spans="1:23" s="34" customFormat="1" ht="15" customHeight="1">
      <c r="A113" s="453">
        <f>IF(OR($D$26&lt;&gt;"Yes",$D$26=0,$K$26&lt;&gt;"Yes"),,'Components and Space Standards'!A82)</f>
        <v>0</v>
      </c>
      <c r="B113" s="25"/>
      <c r="C113" s="252">
        <f>IF(OR($D$26&lt;&gt;"Yes",$D$26=0,$K$26&lt;&gt;"Yes"),,"For this option, enter required rooms:")</f>
        <v>0</v>
      </c>
      <c r="D113" s="584"/>
      <c r="E113" s="252">
        <f>IF(OR($D$26&lt;&gt;"Yes",$D$26=0,$K$26&lt;&gt;"Yes"),,IF($D$5=$K$5,$M113&amp;" "&amp;'Components and Space Standards'!$D82&amp;".",IF($D$5=$K$6,$O113&amp;" "&amp;'Components and Space Standards'!$D82&amp;".",IF($D$5=$K$7,$Q113&amp;" "&amp;'Components and Space Standards'!$D82&amp;".",IF($D$5=$K$8,$S113&amp;" "&amp;'Components and Space Standards'!$D82&amp;".",)))))</f>
        <v>0</v>
      </c>
      <c r="F113" s="52"/>
      <c r="G113" s="250">
        <f t="shared" si="4"/>
        <v>0</v>
      </c>
      <c r="H113" s="45">
        <f aca="true" t="shared" si="8" ref="H113:H125">IF(OR($D$26&lt;&gt;"Yes",$D$26=0,$K$26&lt;&gt;"Yes"),,IF($D$5=$K$5,N113,IF($D$5=$K$6,P113,IF($D$5=$K$7,R113,IF($D$5=$K$8,T113,)))))</f>
        <v>0</v>
      </c>
      <c r="I113" s="33"/>
      <c r="J113" s="583"/>
      <c r="K113" s="175"/>
      <c r="L113" s="163"/>
      <c r="M113" s="510">
        <f>IF($D113&lt;&gt;0,$D113,0)</f>
        <v>0</v>
      </c>
      <c r="N113" s="510" t="e">
        <f>IF($D113&lt;&gt;0,$D113*'Components and Space Standards'!$C82,IF($D$21=$M$9,Army!$H76,IF($D$21=$M$10,Army!$K76,IF($D$21='Interactive Worksheet'!$M$11,Army!$N76,IF($D$21='Interactive Worksheet'!$M$12,Army!$Q76,IF($D$21='Interactive Worksheet'!$M$13,IF($M$17=0,Army!$T76,($M$17*Army!W76)+Army!T76)))))))</f>
        <v>#N/A</v>
      </c>
      <c r="O113" s="510">
        <f>IF($D113&lt;&gt;0,$D113,0)</f>
        <v>0</v>
      </c>
      <c r="P113" s="517" t="e">
        <f>IF(D113&lt;&gt;0,D113*'Components and Space Standards'!C82,IF($D$21=$M$9,Navy!H77,IF($D$21=$M$10,Navy!K77,IF($D$21='Interactive Worksheet'!$M$11,Navy!N77,IF($D$21='Interactive Worksheet'!$M$12,Navy!Q77,IF($D$21='Interactive Worksheet'!$M$13,Navy!T77,IF($O$18&gt;0,Navy!W77,)))))))</f>
        <v>#N/A</v>
      </c>
      <c r="Q113" s="510">
        <f>IF($D113&lt;&gt;0,$D113,0)</f>
        <v>0</v>
      </c>
      <c r="R113" s="170" t="e">
        <f>IF(D113&lt;&gt;0,D113*'Components and Space Standards'!C82,IF($D$21=$M$10,'AF'!H75,IF($D$21=$M$11,'AF'!K75,IF($D$21='Interactive Worksheet'!$M$12,'AF'!N75,))))</f>
        <v>#N/A</v>
      </c>
      <c r="S113" s="510">
        <f>IF($D113&lt;&gt;0,$D113,0)</f>
        <v>0</v>
      </c>
      <c r="T113" s="520" t="e">
        <f>IF($D113&lt;&gt;0,$D113*'Components and Space Standards'!C82,IF($D$21=$M$9,MC!H77,IF($D$21=$M$10,MC!K77,IF($D$21='Interactive Worksheet'!$M$11,MC!N77,IF($D$21='Interactive Worksheet'!$M$12,MC!Q77,IF($D$21='Interactive Worksheet'!$M$13,MC!T77,))))))</f>
        <v>#N/A</v>
      </c>
      <c r="U113" s="160"/>
      <c r="V113" s="477"/>
      <c r="W113" s="442"/>
    </row>
    <row r="114" spans="1:31" s="34" customFormat="1" ht="15" customHeight="1">
      <c r="A114" s="453">
        <f>IF(OR($D$26&lt;&gt;"Yes",$D$26=0,$K$26&lt;&gt;"Yes"),,'Components and Space Standards'!A83)</f>
        <v>0</v>
      </c>
      <c r="B114" s="25"/>
      <c r="C114" s="252">
        <f>IF(OR($D$26&lt;&gt;"Yes",$D$26=0,$K$26&lt;&gt;"Yes"),,"For this option, select yes or no:")</f>
        <v>0</v>
      </c>
      <c r="D114" s="278"/>
      <c r="E114" s="252">
        <f>IF(OR($D$26&lt;&gt;"Yes",$D$26=0,$K$26&lt;&gt;"Yes"),,IF($D$5=$K$5,$M114&amp;" "&amp;'Components and Space Standards'!$D83&amp;".",IF($D$5=$K$6,$O114&amp;" "&amp;'Components and Space Standards'!$D83&amp;".",IF($D$5=$K$7,$Q114&amp;" "&amp;'Components and Space Standards'!$D83&amp;".",IF($D$5=$K$8,$S114&amp;" "&amp;'Components and Space Standards'!$D83&amp;".",)))))</f>
        <v>0</v>
      </c>
      <c r="F114" s="52"/>
      <c r="G114" s="250">
        <f t="shared" si="4"/>
        <v>0</v>
      </c>
      <c r="H114" s="45">
        <f t="shared" si="8"/>
        <v>0</v>
      </c>
      <c r="I114" s="33"/>
      <c r="J114" s="566">
        <f aca="true" t="shared" si="9" ref="J114:J119">IF(D114&lt;&gt;0,"D",)</f>
        <v>0</v>
      </c>
      <c r="K114" s="175"/>
      <c r="L114" s="163"/>
      <c r="M114" s="281">
        <f>IF($D114=$K$26,1,0)</f>
        <v>0</v>
      </c>
      <c r="N114" s="281">
        <f>IF($D114=$K$26,M$114*'Components and Space Standards'!$C83,0)</f>
        <v>0</v>
      </c>
      <c r="O114" s="281">
        <f>IF($D114=$K$26,1,0)</f>
        <v>0</v>
      </c>
      <c r="P114" s="281">
        <f>IF($D114=$K$26,$O114*'Components and Space Standards'!$C83,0)</f>
        <v>0</v>
      </c>
      <c r="Q114" s="281"/>
      <c r="R114" s="281"/>
      <c r="S114" s="281">
        <f>IF($D114=$K$26,1,0)</f>
        <v>0</v>
      </c>
      <c r="T114" s="281">
        <f>IF($D114=$K$26,S$114*'Components and Space Standards'!$C83,0)</f>
        <v>0</v>
      </c>
      <c r="U114" s="512">
        <f>(H114/120)*2</f>
        <v>0</v>
      </c>
      <c r="V114" s="477"/>
      <c r="W114" s="429"/>
      <c r="X114" s="159"/>
      <c r="Y114" s="159"/>
      <c r="Z114" s="159"/>
      <c r="AA114" s="159"/>
      <c r="AB114" s="159"/>
      <c r="AC114" s="159"/>
      <c r="AD114" s="159"/>
      <c r="AE114" s="159"/>
    </row>
    <row r="115" spans="1:26" s="34" customFormat="1" ht="15" customHeight="1">
      <c r="A115" s="453">
        <f>IF(OR($D$26&lt;&gt;"Yes",$D$26=0,$K$26&lt;&gt;"Yes"),,'Components and Space Standards'!A84)</f>
        <v>0</v>
      </c>
      <c r="B115" s="25"/>
      <c r="C115" s="252">
        <f>IF(OR($D$26&lt;&gt;"Yes",$D$26=0,$K$26&lt;&gt;"Yes"),,"For this option, select yes or no:")</f>
        <v>0</v>
      </c>
      <c r="D115" s="278"/>
      <c r="E115" s="252">
        <f>IF(OR($D$26&lt;&gt;"Yes",$D$26=0,$K$26&lt;&gt;"Yes"),,IF($D$5=$K$5,$M115&amp;" "&amp;'Components and Space Standards'!$D84&amp;".",IF($D$5=$K$6,$O115&amp;" "&amp;'Components and Space Standards'!$D84&amp;".",IF($D$5=$K$7,$Q115&amp;" "&amp;'Components and Space Standards'!$D84&amp;".",IF($D$5=$K$8,$S115&amp;" "&amp;'Components and Space Standards'!$D84&amp;".",)))))</f>
        <v>0</v>
      </c>
      <c r="F115" s="52"/>
      <c r="G115" s="250">
        <f t="shared" si="4"/>
        <v>0</v>
      </c>
      <c r="H115" s="45">
        <f t="shared" si="8"/>
        <v>0</v>
      </c>
      <c r="I115" s="33"/>
      <c r="J115" s="566">
        <f t="shared" si="9"/>
        <v>0</v>
      </c>
      <c r="K115" s="175"/>
      <c r="L115" s="163"/>
      <c r="M115" s="281">
        <f>IF($D115=$K$26,1,0)</f>
        <v>0</v>
      </c>
      <c r="N115" s="281">
        <f>IF($D115=$K$26,M$115*'Components and Space Standards'!$C84,0)</f>
        <v>0</v>
      </c>
      <c r="O115" s="281">
        <f>IF($D115=$K$26,1,0)</f>
        <v>0</v>
      </c>
      <c r="P115" s="281">
        <f>IF($D115=$K$26,O$115*'Components and Space Standards'!$C84,0)</f>
        <v>0</v>
      </c>
      <c r="Q115" s="281"/>
      <c r="R115" s="281"/>
      <c r="S115" s="281">
        <f>IF($D115=$K$26,1,0)</f>
        <v>0</v>
      </c>
      <c r="T115" s="281">
        <f>IF($D115=$K$26,S$114*'Components and Space Standards'!$C84,0)</f>
        <v>0</v>
      </c>
      <c r="U115" s="512">
        <f>(H115/125)*2</f>
        <v>0</v>
      </c>
      <c r="V115" s="477"/>
      <c r="W115" s="429"/>
      <c r="X115" s="27"/>
      <c r="Y115" s="27"/>
      <c r="Z115" s="27"/>
    </row>
    <row r="116" spans="1:26" s="34" customFormat="1" ht="15" customHeight="1">
      <c r="A116" s="453">
        <f>IF(OR($D$26&lt;&gt;"Yes",$D$26=0,$K$26&lt;&gt;"Yes"),,'Components and Space Standards'!A85)</f>
        <v>0</v>
      </c>
      <c r="B116" s="25"/>
      <c r="C116" s="252">
        <f>IF(OR($D$26&lt;&gt;"Yes",$D$26=0,$K$26&lt;&gt;"Yes"),,"For this option, select yes or no:")</f>
        <v>0</v>
      </c>
      <c r="D116" s="278"/>
      <c r="E116" s="252">
        <f>IF(OR($D$26&lt;&gt;"Yes",$D$26=0,$K$26&lt;&gt;"Yes"),,IF($D$5=$K$5,$M116&amp;" "&amp;'Components and Space Standards'!$D85&amp;".",IF($D$5=$K$6,$O116&amp;" "&amp;'Components and Space Standards'!$D85&amp;".",IF($D$5=$K$7,$Q116&amp;" "&amp;'Components and Space Standards'!$D85&amp;".",IF($D$5=$K$8,$S116&amp;" "&amp;'Components and Space Standards'!$D85&amp;".",)))))</f>
        <v>0</v>
      </c>
      <c r="F116" s="52"/>
      <c r="G116" s="250">
        <f t="shared" si="4"/>
        <v>0</v>
      </c>
      <c r="H116" s="45">
        <f t="shared" si="8"/>
        <v>0</v>
      </c>
      <c r="I116" s="33"/>
      <c r="J116" s="566">
        <f t="shared" si="9"/>
        <v>0</v>
      </c>
      <c r="K116" s="175"/>
      <c r="L116" s="163"/>
      <c r="M116" s="281">
        <f>IF($D116=$K$26,1,0)</f>
        <v>0</v>
      </c>
      <c r="N116" s="281">
        <f>IF($D116=$K$26,M$116*'Components and Space Standards'!$C85,0)</f>
        <v>0</v>
      </c>
      <c r="O116" s="281">
        <f>IF($D116=$K$26,1,0)</f>
        <v>0</v>
      </c>
      <c r="P116" s="281">
        <f>IF($D116=$K$26,O$116*'Components and Space Standards'!$C85,0)</f>
        <v>0</v>
      </c>
      <c r="Q116" s="281"/>
      <c r="R116" s="281"/>
      <c r="S116" s="281">
        <f>IF($D116=$K$26,1,0)</f>
        <v>0</v>
      </c>
      <c r="T116" s="281">
        <f>IF($D116=$K$26,S$114*'Components and Space Standards'!$C85,0)</f>
        <v>0</v>
      </c>
      <c r="U116" s="512"/>
      <c r="V116" s="477"/>
      <c r="W116" s="429"/>
      <c r="X116" s="27"/>
      <c r="Y116" s="27"/>
      <c r="Z116" s="27"/>
    </row>
    <row r="117" spans="1:26" s="34" customFormat="1" ht="15" customHeight="1">
      <c r="A117" s="453">
        <f>IF(OR($D$26&lt;&gt;"Yes",$D$26=0,$K$26&lt;&gt;"Yes"),,'Components and Space Standards'!A86)</f>
        <v>0</v>
      </c>
      <c r="B117" s="25"/>
      <c r="C117" s="252">
        <f>IF(OR($D$26&lt;&gt;"Yes",$D$26=0,$K$26&lt;&gt;"Yes"),,"For this option, select yes or no:")</f>
        <v>0</v>
      </c>
      <c r="D117" s="278"/>
      <c r="E117" s="252">
        <f>IF(OR($D$26&lt;&gt;"Yes",$D$26=0,$K$26&lt;&gt;"Yes"),,IF($D$5=$K$5,$M117&amp;" "&amp;'Components and Space Standards'!$D86&amp;".",IF($D$5=$K$6,$O117&amp;" "&amp;'Components and Space Standards'!$D86&amp;".",IF($D$5=$K$7,$Q117&amp;" "&amp;'Components and Space Standards'!$D86&amp;".",IF($D$5=$K$8,$S117&amp;" "&amp;'Components and Space Standards'!$D86&amp;".",)))))</f>
        <v>0</v>
      </c>
      <c r="F117" s="52"/>
      <c r="G117" s="250">
        <f t="shared" si="4"/>
        <v>0</v>
      </c>
      <c r="H117" s="45">
        <f t="shared" si="8"/>
        <v>0</v>
      </c>
      <c r="I117" s="33"/>
      <c r="J117" s="566">
        <f t="shared" si="9"/>
        <v>0</v>
      </c>
      <c r="K117" s="171"/>
      <c r="L117" s="163"/>
      <c r="M117" s="281">
        <f>IF($D117=$K$26,1,0)</f>
        <v>0</v>
      </c>
      <c r="N117" s="281">
        <f>IF($D117=$K$26,M$117*'Components and Space Standards'!$C86,0)</f>
        <v>0</v>
      </c>
      <c r="O117" s="281">
        <f>IF($D117=$K$26,1,0)</f>
        <v>0</v>
      </c>
      <c r="P117" s="281">
        <f>IF($D117=$K$26,O$117*'Components and Space Standards'!$C86,0)</f>
        <v>0</v>
      </c>
      <c r="Q117" s="281"/>
      <c r="R117" s="281"/>
      <c r="S117" s="281">
        <f>IF($D117=$K$26,1,0)</f>
        <v>0</v>
      </c>
      <c r="T117" s="281">
        <f>IF($D117=$K$26,S$117*'Components and Space Standards'!$C86,0)</f>
        <v>0</v>
      </c>
      <c r="U117" s="512"/>
      <c r="V117" s="477"/>
      <c r="W117" s="429"/>
      <c r="X117" s="27"/>
      <c r="Y117" s="27"/>
      <c r="Z117" s="27"/>
    </row>
    <row r="118" spans="1:26" s="34" customFormat="1" ht="15" customHeight="1">
      <c r="A118" s="453">
        <f>IF(OR($D$26&lt;&gt;"Yes",$D$26=0,$K$26&lt;&gt;"Yes"),,'Components and Space Standards'!A87)</f>
        <v>0</v>
      </c>
      <c r="B118" s="25"/>
      <c r="C118" s="252">
        <f>IF(OR($D$26&lt;&gt;"Yes",$D$26=0,$K$26&lt;&gt;"Yes"),,"For this option, enter required modules:")</f>
        <v>0</v>
      </c>
      <c r="D118" s="584"/>
      <c r="E118" s="252">
        <f>IF(OR($D$26&lt;&gt;"Yes",$D$26=0,$K$26&lt;&gt;"Yes"),,IF($D$5=$K$5,$M118&amp;" "&amp;'Components and Space Standards'!$D87&amp;".",IF($D$5=$K$6,$O118&amp;" "&amp;'Components and Space Standards'!$D87&amp;".",IF($D$5=$K$7,$Q118&amp;" "&amp;'Components and Space Standards'!$D87&amp;".",IF($D$5=$K$8,$S118&amp;" "&amp;'Components and Space Standards'!$D87&amp;".",)))))</f>
        <v>0</v>
      </c>
      <c r="F118" s="52"/>
      <c r="G118" s="250">
        <f t="shared" si="4"/>
        <v>0</v>
      </c>
      <c r="H118" s="45">
        <f t="shared" si="8"/>
        <v>0</v>
      </c>
      <c r="I118" s="33"/>
      <c r="J118" s="566">
        <f t="shared" si="9"/>
        <v>0</v>
      </c>
      <c r="K118" s="175"/>
      <c r="L118" s="163"/>
      <c r="M118" s="281" t="e">
        <f>IF($D118&lt;&gt;0,$D118,IF($D$21=$M$9,Army!$F81,IF($D$21=$M$10,Army!$I81,IF($D$21='Interactive Worksheet'!$M$11,Army!$L81,IF($D$21='Interactive Worksheet'!$M$12,Army!$O81,IF($D$21='Interactive Worksheet'!$M$13,IF($M$17=0,Army!$R81,($M$17*Army!U81)+Army!R81)))))))</f>
        <v>#N/A</v>
      </c>
      <c r="N118" s="281" t="e">
        <f>IF(AND($D118&lt;&gt;0,$D117&lt;&gt;"No"),$D118*'Components and Space Standards'!$C87,IF($D$21=$M$9,Army!$H81,IF($D$21=$M$10,Army!$K81,IF($D$21='Interactive Worksheet'!$M$11,Army!$N81,IF($D$21='Interactive Worksheet'!$M$12,Army!$Q81,IF($D$21='Interactive Worksheet'!$M$13,IF($M$17=0,Army!$T81,($M$17*Army!W81)+Army!T81)))))))</f>
        <v>#N/A</v>
      </c>
      <c r="O118" s="281" t="e">
        <f>IF(D118&lt;&gt;0,D118,IF($D$21=$M$9,Navy!F82,IF($D$21=$M$10,Navy!I82,IF($D$21='Interactive Worksheet'!$M$11,Navy!L82,IF($D$21='Interactive Worksheet'!$M$12,Navy!O82,IF($D$21='Interactive Worksheet'!$M$13,Navy!R82,IF($O$18&gt;0,Navy!U82,)))))))</f>
        <v>#N/A</v>
      </c>
      <c r="P118" s="281" t="e">
        <f>IF(AND($D118&lt;&gt;0,$D117&lt;&gt;"No"),D118*'Components and Space Standards'!C87,IF($D$21=$M$9,Navy!H82,IF($D$21=$M$10,Navy!K82,IF($D$21='Interactive Worksheet'!$M$11,Navy!N82,IF($D$21='Interactive Worksheet'!$M$12,Navy!Q82,IF($D$21='Interactive Worksheet'!$M$13,Navy!T82,IF($O$18&gt;0,Navy!W82,)))))))</f>
        <v>#N/A</v>
      </c>
      <c r="Q118" s="281" t="e">
        <f>IF(D118&lt;&gt;0,D118,IF($D$21=$M$10,'AF'!F80,IF($D$21=$M$11,'AF'!I80,IF($D$21='Interactive Worksheet'!$M$12,'AF'!L80,))))</f>
        <v>#N/A</v>
      </c>
      <c r="R118" s="281" t="e">
        <f>IF(AND($D118&lt;&gt;0,$D117&lt;&gt;"No"),D118*'Components and Space Standards'!C87,IF($D$21=$M$10,'AF'!H80,IF($D$21=$M$11,'AF'!K80,IF($D$21='Interactive Worksheet'!$M$12,'AF'!N80,))))</f>
        <v>#N/A</v>
      </c>
      <c r="S118" s="281" t="e">
        <f>IF($D118&lt;&gt;0,$D118,IF($D$21=$M$9,MC!F82,IF($D$21=$M$10,MC!I82,IF($D$21='Interactive Worksheet'!$M$11,MC!L82,IF($D$21='Interactive Worksheet'!$M$12,MC!O82,IF($D$21='Interactive Worksheet'!$M$13,MC!R82,))))))</f>
        <v>#N/A</v>
      </c>
      <c r="T118" s="281" t="e">
        <f>IF(AND($D118&lt;&gt;0,$D117&lt;&gt;"No"),$D118*'Components and Space Standards'!C87,IF($D$21=$M$9,MC!H82,IF($D$21=$M$10,MC!K82,IF($D$21='Interactive Worksheet'!$M$11,MC!N82,IF($D$21='Interactive Worksheet'!$M$12,MC!Q82,IF($D$21='Interactive Worksheet'!$M$13,MC!T82,))))))</f>
        <v>#N/A</v>
      </c>
      <c r="U118" s="512"/>
      <c r="V118" s="477"/>
      <c r="W118" s="644" t="s">
        <v>354</v>
      </c>
      <c r="X118" s="644"/>
      <c r="Y118" s="644"/>
      <c r="Z118" s="644"/>
    </row>
    <row r="119" spans="1:23" s="34" customFormat="1" ht="15" customHeight="1">
      <c r="A119" s="453">
        <f>IF(OR($D$26&lt;&gt;"Yes",$D$26=0,$K$26&lt;&gt;"Yes"),,'Components and Space Standards'!A88)</f>
        <v>0</v>
      </c>
      <c r="B119" s="25"/>
      <c r="C119" s="252">
        <f>IF(OR($D$26&lt;&gt;"Yes",$D$26=0,$K$26&lt;&gt;"Yes"),,IF(OR(D5=K5,D5=K6),"Does this facility include a pool (yes/no)?",IF(D5=K8,"For this option, select yes or no:",)))</f>
        <v>0</v>
      </c>
      <c r="D119" s="278"/>
      <c r="E119" s="252">
        <f>IF(OR($D$26&lt;&gt;"Yes",$D$26=0,$K$26&lt;&gt;"Yes"),,IF($D$5=$K$5,$M119&amp;" "&amp;'Components and Space Standards'!$D88&amp;".",IF($D$5=$K$6,$O119&amp;" "&amp;'Components and Space Standards'!$D88&amp;".",IF($D$5=$K$7,$Q119&amp;" "&amp;'Components and Space Standards'!$D88&amp;".",IF($D$5=$K$8,$S119&amp;" "&amp;'Components and Space Standards'!$D88&amp;".",)))))</f>
        <v>0</v>
      </c>
      <c r="F119" s="52"/>
      <c r="G119" s="250">
        <f t="shared" si="4"/>
        <v>0</v>
      </c>
      <c r="H119" s="45">
        <f t="shared" si="8"/>
        <v>0</v>
      </c>
      <c r="I119" s="33"/>
      <c r="J119" s="566">
        <f t="shared" si="9"/>
        <v>0</v>
      </c>
      <c r="K119" s="585" t="s">
        <v>358</v>
      </c>
      <c r="L119" s="163"/>
      <c r="M119" s="281">
        <f>IF($D119="Yes",IF($D$21=$M$9,Army!$F82,IF($D$21=$M$10,Army!$I82,IF($D$21='Interactive Worksheet'!$M$11,Army!$L82,IF($D$21='Interactive Worksheet'!$M$12,Army!$O82,IF($D$21='Interactive Worksheet'!$M$13,IF($M$17=0,Army!$R82,($M$17*Army!U82)+Army!R82)))))),0)</f>
        <v>0</v>
      </c>
      <c r="N119" s="281">
        <f>IF($D119="Yes",IF($D$21=$M$9,Army!$H82,IF($D$21=$M$10,Army!$K82,IF($D$21='Interactive Worksheet'!$M$11,Army!$N82,IF($D$21='Interactive Worksheet'!$M$12,Army!$Q82,IF($D$21='Interactive Worksheet'!$M$13,IF($M$17=0,Army!$T82,($M$17*Army!W82)+Army!T82)))))),0)</f>
        <v>0</v>
      </c>
      <c r="O119" s="281">
        <f>IF($D119="Yes",IF($D$21=$M$9,Navy!F83,IF($D$21=$M$10,Navy!I83,IF($D$21='Interactive Worksheet'!$M$11,Navy!L83,IF($D$21='Interactive Worksheet'!$M$12,Navy!O83,IF($D$21='Interactive Worksheet'!$M$13,Navy!R83,IF($O$18&gt;0,Navy!U83,)))))),0)</f>
        <v>0</v>
      </c>
      <c r="P119" s="281">
        <f>IF($D119="Yes",IF($D$21=$M$9,Navy!H83,IF($D$21=$M$10,Navy!K83,IF($D$21='Interactive Worksheet'!$M$11,Navy!N83,IF($D$21='Interactive Worksheet'!$M$12,Navy!Q83,IF($D$21='Interactive Worksheet'!$M$13,Navy!T83,IF($O$18&gt;0,Navy!W83,)))))),0)</f>
        <v>0</v>
      </c>
      <c r="Q119" s="170" t="e">
        <f>IF(D119&lt;&gt;0,D119,IF($D$21=$M$10,'AF'!F81,IF($D$21=$M$11,'AF'!I81,IF($D$21='Interactive Worksheet'!$M$12,'AF'!L81,))))</f>
        <v>#N/A</v>
      </c>
      <c r="R119" s="170" t="e">
        <f>IF(D119&lt;&gt;0,D119*'Components and Space Standards'!C88,IF($D$21=$M$10,'AF'!H81,IF($D$21=$M$11,'AF'!K81,IF($D$21='Interactive Worksheet'!$M$12,'AF'!N81,))))</f>
        <v>#N/A</v>
      </c>
      <c r="S119" s="281">
        <f>IF($D119="Yes",IF($D$21=$M$9,MC!F83,IF($D$21=$M$10,MC!I83,IF($D$21='Interactive Worksheet'!$M$11,MC!L83,IF($D$21='Interactive Worksheet'!$M$12,MC!O83,IF($D$21='Interactive Worksheet'!$M$13,MC!R83,))))),0)</f>
        <v>0</v>
      </c>
      <c r="T119" s="281">
        <f>IF($D119="Yes",IF($D$21=$M$9,MC!H83,IF($D$21=$M$10,MC!K83,IF($D$21='Interactive Worksheet'!$M$11,MC!N83,IF($D$21='Interactive Worksheet'!$M$12,MC!Q83,IF($D$21='Interactive Worksheet'!$M$13,MC!T83,))))),0)</f>
        <v>0</v>
      </c>
      <c r="U119" s="160"/>
      <c r="V119" s="477"/>
      <c r="W119" s="606"/>
    </row>
    <row r="120" spans="1:23" s="34" customFormat="1" ht="15" customHeight="1">
      <c r="A120" s="453">
        <f>IF(OR($D$26&lt;&gt;"Yes",$D$26=0,$K$26&lt;&gt;"Yes",D5=K6,L12&lt;&gt;1),,'Components and Space Standards'!A89)</f>
        <v>0</v>
      </c>
      <c r="B120" s="25"/>
      <c r="C120" s="252">
        <f>IF(OR($D$26&lt;&gt;"Yes",$D$26=0,$K$26&lt;&gt;"Yes"),,IF(AND(D5=K8,L12=1),"For this option, select yes or no:",))</f>
        <v>0</v>
      </c>
      <c r="D120" s="278"/>
      <c r="E120" s="252"/>
      <c r="F120" s="52"/>
      <c r="G120" s="250">
        <f>ROUND(H120*$K$33,2)</f>
        <v>0</v>
      </c>
      <c r="H120" s="45">
        <f>IF(OR($D$26&lt;&gt;"Yes",$D$26=0,$K$26&lt;&gt;"Yes"),,IF($D$5=$K$8,T120,))</f>
        <v>0</v>
      </c>
      <c r="I120" s="33"/>
      <c r="J120" s="566">
        <f>IF(D120&lt;&gt;0,"D",)</f>
        <v>0</v>
      </c>
      <c r="K120" s="585" t="s">
        <v>358</v>
      </c>
      <c r="L120" s="163"/>
      <c r="M120" s="281">
        <f>IF($D120="Yes",IF($D$21=$M$9,Army!$F83,IF($D$21=$M$10,Army!$I83,IF($D$21='Interactive Worksheet'!$M$11,Army!$L83,IF($D$21='Interactive Worksheet'!$M$12,Army!$O83,IF($D$21='Interactive Worksheet'!$M$13,IF($M$17=0,Army!$R83,($M$17*Army!U83)+Army!R83)))))),0)</f>
        <v>0</v>
      </c>
      <c r="N120" s="281">
        <f>IF($D120="Yes",IF($D$21=$M$9,Army!$H83,IF($D$21=$M$10,Army!$K83,IF($D$21='Interactive Worksheet'!$M$11,Army!$N83,IF($D$21='Interactive Worksheet'!$M$12,Army!$Q83,IF($D$21='Interactive Worksheet'!$M$13,IF($M$17=0,Army!$T83,($M$17*Army!W83)+Army!T83)))))),0)</f>
        <v>0</v>
      </c>
      <c r="O120" s="281">
        <f>IF($D120="Yes",IF($D$21=$M$9,Navy!F84,IF($D$21=$M$10,Navy!I84,IF($D$21='Interactive Worksheet'!$M$11,Navy!L84,IF($D$21='Interactive Worksheet'!$M$12,Navy!O84,IF($D$21='Interactive Worksheet'!$M$13,Navy!R84,IF($O$18&gt;0,Navy!U84,)))))),0)</f>
        <v>0</v>
      </c>
      <c r="P120" s="281">
        <f>IF($D120="Yes",IF($D$21=$M$9,Navy!H84,IF($D$21=$M$10,Navy!K84,IF($D$21='Interactive Worksheet'!$M$11,Navy!N84,IF($D$21='Interactive Worksheet'!$M$12,Navy!Q84,IF($D$21='Interactive Worksheet'!$M$13,Navy!T84,IF($O$18&gt;0,Navy!W84,)))))),0)</f>
        <v>0</v>
      </c>
      <c r="Q120" s="170">
        <v>1</v>
      </c>
      <c r="R120" s="170" t="e">
        <f>IF(D120&lt;&gt;0,'Components and Space Standards'!C89,IF($D$21=$M$10,'AF'!H82,IF($D$21=$M$11,'AF'!K82,IF($D$21='Interactive Worksheet'!$M$12,'AF'!N82,))))</f>
        <v>#N/A</v>
      </c>
      <c r="S120" s="281">
        <f>IF($D120="Yes",IF($D$21=$M$9,MC!F84,IF($D$21=$M$10,MC!I84,IF($D$21=$M$11,MC!L84,IF($D$21=$M$12,MC!O84,IF($D$21=$M$13,MC!R84,))))),0)</f>
        <v>0</v>
      </c>
      <c r="T120" s="281">
        <f>IF(AND($D120="Yes",L12=1),'Components and Space Standards'!C89,0)</f>
        <v>0</v>
      </c>
      <c r="U120" s="160"/>
      <c r="V120" s="477"/>
      <c r="W120" s="606"/>
    </row>
    <row r="121" spans="1:23" s="34" customFormat="1" ht="15" customHeight="1" hidden="1">
      <c r="A121" s="453">
        <f>IF(OR($D$26&lt;&gt;"Yes",$D$26=0,$K$26&lt;&gt;"Yes"),,'Components and Space Standards'!A89)</f>
        <v>0</v>
      </c>
      <c r="B121" s="25"/>
      <c r="C121" s="65"/>
      <c r="D121" s="55"/>
      <c r="E121" s="252">
        <f>IF(OR($D$26&lt;&gt;"Yes",$D$26=0,$K$26&lt;&gt;"Yes"),,IF($D$5=$K$5,$M121&amp;" "&amp;'Components and Space Standards'!$D89&amp;".",IF($D$5=$K$6,$O121&amp;" "&amp;'Components and Space Standards'!$D89&amp;".",IF($D$5=$K$7,$Q121&amp;" "&amp;'Components and Space Standards'!$D89&amp;".",IF($D$5=$K$8,$S121&amp;" "&amp;'Components and Space Standards'!$D89&amp;".",)))))</f>
        <v>0</v>
      </c>
      <c r="F121" s="52"/>
      <c r="G121" s="250">
        <f t="shared" si="4"/>
        <v>0</v>
      </c>
      <c r="H121" s="45">
        <f t="shared" si="8"/>
        <v>0</v>
      </c>
      <c r="I121" s="33"/>
      <c r="J121" s="565"/>
      <c r="K121" s="585" t="s">
        <v>11</v>
      </c>
      <c r="L121" s="163"/>
      <c r="M121" s="510" t="e">
        <f>IF($D121&lt;&gt;0,$D121,IF($D$21=$M$9,Army!$F83,IF($D$21=$M$10,Army!$I83,IF($D$21='Interactive Worksheet'!$M$11,Army!$L83,IF($D$21='Interactive Worksheet'!$M$12,Army!$O83,IF($D$21='Interactive Worksheet'!$M$13,IF($M$17=0,Army!$R83,($M$17*Army!U83)+Army!R83)))))))</f>
        <v>#N/A</v>
      </c>
      <c r="N121" s="510" t="e">
        <f>IF($D121&lt;&gt;0,$D121*'Components and Space Standards'!$C89,IF($D$21=$M$9,Army!$H83,IF($D$21=$M$10,Army!$K83,IF($D$21='Interactive Worksheet'!$M$11,Army!$N83,IF($D$21='Interactive Worksheet'!$M$12,Army!$Q83,IF($D$21='Interactive Worksheet'!$M$13,IF($M$17=0,Army!$T83,($M$17*Army!W83)+Army!T83)))))))</f>
        <v>#N/A</v>
      </c>
      <c r="O121" s="517" t="e">
        <f>IF(D121&lt;&gt;0,D121,IF($D$21=$M$9,Navy!F84,IF($D$21=$M$10,Navy!I84,IF($D$21='Interactive Worksheet'!$M$11,Navy!L84,IF($D$21='Interactive Worksheet'!$M$12,Navy!O84,IF($D$21='Interactive Worksheet'!$M$13,Navy!R84,IF($O$18&gt;0,Navy!U84,)))))))</f>
        <v>#N/A</v>
      </c>
      <c r="P121" s="517" t="e">
        <f>IF(D121&lt;&gt;0,D121*'Components and Space Standards'!C89,IF($D$21=$M$9,Navy!H84,IF($D$21=$M$10,Navy!K84,IF($D$21='Interactive Worksheet'!$M$11,Navy!N84,IF($D$21='Interactive Worksheet'!$M$12,Navy!Q84,IF($D$21='Interactive Worksheet'!$M$13,Navy!T84,IF($O$18&gt;0,Navy!W84,)))))))</f>
        <v>#N/A</v>
      </c>
      <c r="Q121" s="170" t="e">
        <f>IF(D121&lt;&gt;0,D121,IF($D$21=$M$10,'AF'!F82,IF($D$21=$M$11,'AF'!I82,IF($D$21='Interactive Worksheet'!$M$12,'AF'!L82,))))</f>
        <v>#N/A</v>
      </c>
      <c r="R121" s="170" t="e">
        <f>IF(D121&lt;&gt;0,D121*'Components and Space Standards'!C89,IF($D$21=$M$10,'AF'!H82,IF($D$21=$M$11,'AF'!K82,IF($D$21='Interactive Worksheet'!$M$12,'AF'!N82,))))</f>
        <v>#N/A</v>
      </c>
      <c r="S121" s="520" t="e">
        <f>IF($D121&lt;&gt;0,$D121,IF($D$21=$M$9,MC!F84,IF($D$21=$M$10,MC!I84,IF($D$21='Interactive Worksheet'!$M$11,MC!L84,IF($D$21='Interactive Worksheet'!$M$12,MC!O84,IF($D$21='Interactive Worksheet'!$M$13,MC!R84,))))))</f>
        <v>#N/A</v>
      </c>
      <c r="T121" s="520" t="e">
        <f>IF($D121&lt;&gt;0,$D121*'Components and Space Standards'!C89,IF($D$21=$M$9,MC!H84,IF($D$21=$M$10,MC!K84,IF($D$21='Interactive Worksheet'!$M$11,MC!N84,IF($D$21='Interactive Worksheet'!$M$12,MC!Q84,IF($D$21='Interactive Worksheet'!$M$13,MC!T84,))))))</f>
        <v>#N/A</v>
      </c>
      <c r="U121" s="160"/>
      <c r="V121" s="477"/>
      <c r="W121" s="429"/>
    </row>
    <row r="122" spans="1:22" s="34" customFormat="1" ht="15" customHeight="1" hidden="1">
      <c r="A122" s="453">
        <f>IF(OR($D$26&lt;&gt;"Yes",$D$26=0,$K$26&lt;&gt;"Yes"),,'Components and Space Standards'!A90)</f>
        <v>0</v>
      </c>
      <c r="B122" s="25"/>
      <c r="C122" s="53"/>
      <c r="D122" s="55"/>
      <c r="E122" s="252">
        <f>IF(OR($D$26&lt;&gt;"Yes",$D$26=0,$K$26&lt;&gt;"Yes"),,IF($D$5=$K$5,$M122&amp;" "&amp;'Components and Space Standards'!$D90&amp;".",IF($D$5=$K$6,$O122&amp;" "&amp;'Components and Space Standards'!$D90&amp;".",IF($D$5=$K$7,$Q122&amp;" "&amp;'Components and Space Standards'!$D90&amp;".",IF($D$5=$K$8,$S122&amp;" "&amp;'Components and Space Standards'!$D90&amp;".",)))))</f>
        <v>0</v>
      </c>
      <c r="F122" s="52"/>
      <c r="G122" s="250">
        <f t="shared" si="4"/>
        <v>0</v>
      </c>
      <c r="H122" s="45">
        <f t="shared" si="8"/>
        <v>0</v>
      </c>
      <c r="I122" s="33"/>
      <c r="J122" s="565"/>
      <c r="K122" s="175"/>
      <c r="L122" s="163"/>
      <c r="M122" s="510" t="e">
        <f>IF($D122&lt;&gt;0,$D122,IF($D$21=$M$9,Army!$F84,IF($D$21=$M$10,Army!$I84,IF($D$21='Interactive Worksheet'!$M$11,Army!$L84,IF($D$21='Interactive Worksheet'!$M$12,Army!$O84,IF($D$21='Interactive Worksheet'!$M$13,IF($M$17=0,Army!$R84,($M$17*Army!U84)+Army!R84)))))))</f>
        <v>#N/A</v>
      </c>
      <c r="N122" s="510" t="e">
        <f>IF($D122&lt;&gt;0,$D122*'Components and Space Standards'!$C90,IF($D$21=$M$9,Army!$H84,IF($D$21=$M$10,Army!$K84,IF($D$21='Interactive Worksheet'!$M$11,Army!$N84,IF($D$21='Interactive Worksheet'!$M$12,Army!$Q84,IF($D$21='Interactive Worksheet'!$M$13,IF($M$17=0,Army!$T84,($M$17*Army!W84)+Army!T84)))))))</f>
        <v>#N/A</v>
      </c>
      <c r="O122" s="517" t="e">
        <f>IF(D122&lt;&gt;0,D122,IF($D$21=$M$9,Navy!F85,IF($D$21=$M$10,Navy!I85,IF($D$21='Interactive Worksheet'!$M$11,Navy!L85,IF($D$21='Interactive Worksheet'!$M$12,Navy!O85,IF($D$21='Interactive Worksheet'!$M$13,Navy!R85,IF($O$18&gt;0,Navy!U85,)))))))</f>
        <v>#N/A</v>
      </c>
      <c r="P122" s="517" t="e">
        <f>IF(D122&lt;&gt;0,D122*'Components and Space Standards'!C90,IF($D$21=$M$9,Navy!H85,IF($D$21=$M$10,Navy!K85,IF($D$21='Interactive Worksheet'!$M$11,Navy!N85,IF($D$21='Interactive Worksheet'!$M$12,Navy!Q85,IF($D$21='Interactive Worksheet'!$M$13,Navy!T85,IF($O$18&gt;0,Navy!W85,)))))))</f>
        <v>#N/A</v>
      </c>
      <c r="Q122" s="170" t="e">
        <f>IF(D122&lt;&gt;0,D122,IF($D$21=$M$10,'AF'!F83,IF($D$21=$M$11,'AF'!I83,IF($D$21='Interactive Worksheet'!$M$12,'AF'!L83,))))</f>
        <v>#N/A</v>
      </c>
      <c r="R122" s="170" t="e">
        <f>IF(D122&lt;&gt;0,D122*'Components and Space Standards'!C90,IF($D$21=$M$10,'AF'!H83,IF($D$21=$M$11,'AF'!K83,IF($D$21='Interactive Worksheet'!$M$12,'AF'!N83,))))</f>
        <v>#N/A</v>
      </c>
      <c r="S122" s="520" t="e">
        <f>IF($D122&lt;&gt;0,$D122,IF($D$21=$M$9,MC!F85,IF($D$21=$M$10,MC!I85,IF($D$21='Interactive Worksheet'!$M$11,MC!L85,IF($D$21='Interactive Worksheet'!$M$12,MC!O85,IF($D$21='Interactive Worksheet'!$M$13,MC!R85,))))))</f>
        <v>#N/A</v>
      </c>
      <c r="T122" s="520" t="e">
        <f>IF($D122&lt;&gt;0,$D122*'Components and Space Standards'!C90,IF($D$21=$M$9,MC!H85,IF($D$21=$M$10,MC!K85,IF($D$21='Interactive Worksheet'!$M$11,MC!N85,IF($D$21='Interactive Worksheet'!$M$12,MC!Q85,IF($D$21='Interactive Worksheet'!$M$13,MC!T85,))))))</f>
        <v>#N/A</v>
      </c>
      <c r="U122" s="160"/>
      <c r="V122" s="477"/>
    </row>
    <row r="123" spans="1:23" s="34" customFormat="1" ht="15" customHeight="1">
      <c r="A123" s="453">
        <f>IF(OR($D$26&lt;&gt;"Yes",$D$26=0,$K$26&lt;&gt;"Yes"),,'Components and Space Standards'!A91)</f>
        <v>0</v>
      </c>
      <c r="B123" s="25"/>
      <c r="C123" s="252">
        <f>IF(OR($D$26&lt;&gt;"Yes",$D$26=0,$K$26&lt;&gt;"Yes"),,"For this option, select yes or no:")</f>
        <v>0</v>
      </c>
      <c r="D123" s="278"/>
      <c r="E123" s="252">
        <f>IF(OR($D$26&lt;&gt;"Yes",$D$26=0,$K$26&lt;&gt;"Yes"),,IF($D$5=$K$5,$M123&amp;" "&amp;'Components and Space Standards'!$D91&amp;".",IF($D$5=$K$6,$O123&amp;" "&amp;'Components and Space Standards'!$D91&amp;".",IF($D$5=$K$7,$Q123&amp;" "&amp;'Components and Space Standards'!$D91&amp;".",IF($D$5=$K$8,$S123&amp;" "&amp;'Components and Space Standards'!$D91&amp;".",)))))</f>
        <v>0</v>
      </c>
      <c r="F123" s="52"/>
      <c r="G123" s="250">
        <f t="shared" si="4"/>
        <v>0</v>
      </c>
      <c r="H123" s="45">
        <f>IF(OR($D$26&lt;&gt;"Yes",$D$26=0,$K$26&lt;&gt;"Yes"),,IF($D$5=$K$5,N123,IF($D$5=$K$6,P123,IF($D$5=$K$7,R123,IF($D$5=$K$8,T123,)))))</f>
        <v>0</v>
      </c>
      <c r="I123" s="33"/>
      <c r="J123" s="566">
        <f>IF(D123&lt;&gt;0,"D",)</f>
        <v>0</v>
      </c>
      <c r="K123" s="175">
        <f>IF($D$5=$K$8,"Yes",)</f>
        <v>0</v>
      </c>
      <c r="L123" s="163"/>
      <c r="M123" s="510" t="e">
        <f>IF($D123&lt;&gt;0,$D123,IF($D$21=$M$9,Army!$F85,IF($D$21=$M$10,Army!$I85,IF($D$21='Interactive Worksheet'!$M$11,Army!$L85,IF($D$21='Interactive Worksheet'!$M$12,Army!$O85,IF($D$21='Interactive Worksheet'!$M$13,IF($M$17=0,Army!$R85,($M$17*Army!U85)+Army!R85)))))))</f>
        <v>#N/A</v>
      </c>
      <c r="N123" s="510" t="e">
        <f>IF($D123&lt;&gt;0,$D123*'Components and Space Standards'!$C91,IF($D$21=$M$9,Army!$H85,IF($D$21=$M$10,Army!$K85,IF($D$21='Interactive Worksheet'!$M$11,Army!$N85,IF($D$21='Interactive Worksheet'!$M$12,Army!$Q85,IF($D$21='Interactive Worksheet'!$M$13,IF($M$17=0,Army!$T85,($M$17*Army!W85)+Army!T85)))))))</f>
        <v>#N/A</v>
      </c>
      <c r="O123" s="517" t="e">
        <f>IF(D123&lt;&gt;0,D123,IF($D$21=$M$9,Navy!F86,IF($D$21=$M$10,Navy!I86,IF($D$21='Interactive Worksheet'!$M$11,Navy!L86,IF($D$21='Interactive Worksheet'!$M$12,Navy!O86,IF($D$21='Interactive Worksheet'!$M$13,Navy!R86,IF($O$18&gt;0,Navy!U86,)))))))</f>
        <v>#N/A</v>
      </c>
      <c r="P123" s="517" t="e">
        <f>IF(D123&lt;&gt;0,D123*'Components and Space Standards'!C91,IF($D$21=$M$9,Navy!H86,IF($D$21=$M$10,Navy!K86,IF($D$21='Interactive Worksheet'!$M$11,Navy!N86,IF($D$21='Interactive Worksheet'!$M$12,Navy!Q86,IF($D$21='Interactive Worksheet'!$M$13,Navy!T86,IF($O$18&gt;0,Navy!W86,)))))))</f>
        <v>#N/A</v>
      </c>
      <c r="Q123" s="170" t="e">
        <f>IF(D123&lt;&gt;0,D123,IF($D$21=$M$10,'AF'!F84,IF($D$21=$M$11,'AF'!I84,IF($D$21='Interactive Worksheet'!$M$12,'AF'!L84,))))</f>
        <v>#N/A</v>
      </c>
      <c r="R123" s="170" t="e">
        <f>IF(D123&lt;&gt;0,D123*'Components and Space Standards'!C91,IF($D$21=$M$10,'AF'!H84,IF($D$21=$M$11,'AF'!K84,IF($D$21='Interactive Worksheet'!$M$12,'AF'!N84,))))</f>
        <v>#N/A</v>
      </c>
      <c r="S123" s="281">
        <f>IF($D123="Yes",IF($D$21=$M$9,MC!F86,IF($D$21=$M$10,MC!I86,IF($D$21='Interactive Worksheet'!$M$11,MC!L86,IF($D$21='Interactive Worksheet'!$M$12,MC!O86,IF($D$21='Interactive Worksheet'!$M$13,MC!R86,))))),0)</f>
        <v>0</v>
      </c>
      <c r="T123" s="511">
        <f>IF($D123="Yes",IF($D$21=$M$9,MC!H86,IF($D$21=$M$10,MC!K86,IF($D$21='Interactive Worksheet'!$M$11,MC!N86,IF($D$21='Interactive Worksheet'!$M$12,MC!Q86,IF($D$21='Interactive Worksheet'!$M$13,MC!T86,))))),0)</f>
        <v>0</v>
      </c>
      <c r="U123" s="512">
        <f>((H123*0.5)/50)*1</f>
        <v>0</v>
      </c>
      <c r="V123" s="477"/>
      <c r="W123" s="429"/>
    </row>
    <row r="124" spans="1:23" s="34" customFormat="1" ht="15" customHeight="1" thickBot="1">
      <c r="A124" s="453">
        <f>IF(OR($D$26&lt;&gt;"Yes",$D$26=0,$K$26&lt;&gt;"Yes",D5=K6),,'Components and Space Standards'!A62)</f>
        <v>0</v>
      </c>
      <c r="B124" s="25"/>
      <c r="C124" s="53"/>
      <c r="D124" s="55"/>
      <c r="E124" s="252">
        <f>IF(OR($D$26&lt;&gt;"Yes",$D$26=0,$K$26&lt;&gt;"Yes"),,IF($D$5=$K$5,$M124&amp;" "&amp;'Components and Space Standards'!$D92&amp;".",IF($D$5=$K$6,$O124&amp;" "&amp;'Components and Space Standards'!$D92&amp;".",IF($D$5=$K$7,$Q124&amp;" "&amp;'Components and Space Standards'!$D92&amp;".",IF($D$5=$K$8,$S124&amp;" "&amp;'Components and Space Standards'!$D92&amp;".",)))))</f>
        <v>0</v>
      </c>
      <c r="F124" s="52"/>
      <c r="G124" s="250">
        <f t="shared" si="4"/>
        <v>0</v>
      </c>
      <c r="H124" s="45">
        <f t="shared" si="8"/>
        <v>0</v>
      </c>
      <c r="I124" s="33"/>
      <c r="J124" s="565"/>
      <c r="K124" s="171">
        <f>IF($D$5=$K$8,"No",)</f>
        <v>0</v>
      </c>
      <c r="L124" s="163"/>
      <c r="M124" s="510" t="e">
        <f>IF($D124&lt;&gt;0,$D124,IF($D$21=$M$9,Army!$F86,IF($D$21=$M$10,Army!$I86,IF($D$21='Interactive Worksheet'!$M$11,Army!$L86,IF($D$21='Interactive Worksheet'!$M$12,Army!$O86,IF($D$21='Interactive Worksheet'!$M$13,IF($M$17=0,Army!$R86,($M$17*Army!U86)+Army!R86)))))))</f>
        <v>#N/A</v>
      </c>
      <c r="N124" s="510" t="e">
        <f>IF($D124&lt;&gt;0,$D124*'Components and Space Standards'!$C92,IF($D$21=$M$9,Army!$H86,IF($D$21=$M$10,Army!$K86,IF($D$21='Interactive Worksheet'!$M$11,Army!$N86,IF($D$21='Interactive Worksheet'!$M$12,Army!$Q86,IF($D$21='Interactive Worksheet'!$M$13,IF($M$17=0,Army!$T86,($M$17*Army!W86)+Army!T86)))))))</f>
        <v>#N/A</v>
      </c>
      <c r="O124" s="517" t="e">
        <f>IF(D124&lt;&gt;0,D124,IF($D$21=$M$9,Navy!F87,IF($D$21=$M$10,Navy!I87,IF($D$21='Interactive Worksheet'!$M$11,Navy!L87,IF($D$21='Interactive Worksheet'!$M$12,Navy!O87,IF($D$21='Interactive Worksheet'!$M$13,Navy!R87,IF($O$18&gt;0,Navy!U87,)))))))</f>
        <v>#N/A</v>
      </c>
      <c r="P124" s="517" t="e">
        <f>IF(D124&lt;&gt;0,D124*'Components and Space Standards'!C92,IF($D$21=$M$9,Navy!H87,IF($D$21=$M$10,Navy!K87,IF($D$21='Interactive Worksheet'!$M$11,Navy!N87,IF($D$21='Interactive Worksheet'!$M$12,Navy!Q87,IF($D$21='Interactive Worksheet'!$M$13,Navy!T87,IF($O$18&gt;0,Navy!W87,)))))))</f>
        <v>#N/A</v>
      </c>
      <c r="Q124" s="170" t="e">
        <f>IF(D124&lt;&gt;0,D124,IF($D$21=$M$10,'AF'!F85,IF($D$21=$M$11,'AF'!I85,IF($D$21='Interactive Worksheet'!$M$12,'AF'!L85,))))</f>
        <v>#N/A</v>
      </c>
      <c r="R124" s="170" t="e">
        <f>IF(D124&lt;&gt;0,D124*'Components and Space Standards'!C92,IF($D$21=$M$10,'AF'!H85,IF($D$21=$M$11,'AF'!K85,IF($D$21='Interactive Worksheet'!$M$12,'AF'!N85,))))</f>
        <v>#N/A</v>
      </c>
      <c r="S124" s="520" t="e">
        <f>IF($D124&lt;&gt;0,$D124,IF($D$21=$M$9,MC!F87,IF($D$21=$M$10,MC!I87,IF($D$21='Interactive Worksheet'!$M$11,MC!L87,IF($D$21='Interactive Worksheet'!$M$12,MC!O87,IF($D$21='Interactive Worksheet'!$M$13,MC!R87,))))))</f>
        <v>#N/A</v>
      </c>
      <c r="T124" s="520" t="e">
        <f>IF($D124&lt;&gt;0,$D124*'Components and Space Standards'!C92,IF($D$21=$M$9,MC!H87,IF($D$21=$M$10,MC!K87,IF($D$21='Interactive Worksheet'!$M$11,MC!N87,IF($D$21='Interactive Worksheet'!$M$12,MC!Q87,IF($D$21='Interactive Worksheet'!$M$13,MC!T87,))))))</f>
        <v>#N/A</v>
      </c>
      <c r="U124" s="160"/>
      <c r="V124" s="477"/>
      <c r="W124" s="442"/>
    </row>
    <row r="125" spans="1:23" s="34" customFormat="1" ht="15" customHeight="1" hidden="1" thickBot="1">
      <c r="A125" s="453">
        <f>IF(OR($D$26&lt;&gt;"Yes",$D$26=0,$K$26&lt;&gt;"Yes"),,'Components and Space Standards'!A93)</f>
        <v>0</v>
      </c>
      <c r="B125" s="25"/>
      <c r="C125" s="65"/>
      <c r="D125" s="55"/>
      <c r="E125" s="252">
        <f>IF(OR($D$26&lt;&gt;"Yes",$D$26=0,$K$26&lt;&gt;"Yes"),,IF($D$5=$K$5,$M125&amp;" "&amp;'Components and Space Standards'!$D93&amp;".",IF($D$5=$K$6,$O125&amp;" "&amp;'Components and Space Standards'!$D93&amp;".",IF($D$5=$K$7,$Q125&amp;" "&amp;'Components and Space Standards'!$D93&amp;".",IF($D$5=$K$8,$S125&amp;" "&amp;'Components and Space Standards'!$D93&amp;".",)))))</f>
        <v>0</v>
      </c>
      <c r="F125" s="52"/>
      <c r="G125" s="250">
        <f>ROUND(H125*$K$33,2)</f>
        <v>0</v>
      </c>
      <c r="H125" s="45">
        <f t="shared" si="8"/>
        <v>0</v>
      </c>
      <c r="I125" s="33"/>
      <c r="J125" s="565"/>
      <c r="K125" s="175"/>
      <c r="L125" s="163"/>
      <c r="M125" s="510" t="e">
        <f>IF($D125&lt;&gt;0,$D125,IF($D$21=$M$9,Army!$F87,IF($D$21=$M$10,Army!$I87,IF($D$21='Interactive Worksheet'!$M$11,Army!$L87,IF($D$21='Interactive Worksheet'!$M$12,Army!$O87,IF($D$21='Interactive Worksheet'!$M$13,IF($M$17=0,Army!$R87,($M$17*Army!U87)+Army!R87)))))))</f>
        <v>#N/A</v>
      </c>
      <c r="N125" s="510" t="e">
        <f>IF($D125&lt;&gt;0,$D125*'Components and Space Standards'!$C93,IF($D$21=$M$9,Army!$H87,IF($D$21=$M$10,Army!$K87,IF($D$21='Interactive Worksheet'!$M$11,Army!$N87,IF($D$21='Interactive Worksheet'!$M$12,Army!$Q87,IF($D$21='Interactive Worksheet'!$M$13,IF($M$17=0,Army!$T87,($M$17*Army!W87)+Army!T87)))))))</f>
        <v>#N/A</v>
      </c>
      <c r="O125" s="517" t="e">
        <f>IF(D125&lt;&gt;0,D125,IF($D$21=$M$9,Navy!F88,IF($D$21=$M$10,Navy!I88,IF($D$21='Interactive Worksheet'!$M$11,Navy!L88,IF($D$21='Interactive Worksheet'!$M$12,Navy!O88,IF($D$21='Interactive Worksheet'!$M$13,Navy!R88,IF($O$18&gt;0,Navy!U88,)))))))</f>
        <v>#N/A</v>
      </c>
      <c r="P125" s="517" t="e">
        <f>IF(D125&lt;&gt;0,D125*'Components and Space Standards'!C93,IF($D$21=$M$9,Navy!H88,IF($D$21=$M$10,Navy!K88,IF($D$21='Interactive Worksheet'!$M$11,Navy!N88,IF($D$21='Interactive Worksheet'!$M$12,Navy!Q88,IF($D$21='Interactive Worksheet'!$M$13,Navy!T88,IF($O$18&gt;0,Navy!W88,)))))))</f>
        <v>#N/A</v>
      </c>
      <c r="Q125" s="170" t="e">
        <f>IF(D125&lt;&gt;0,D125,IF($D$21=$M$10,'AF'!F86,IF($D$21=$M$11,'AF'!I86,IF($D$21='Interactive Worksheet'!$M$12,'AF'!L86,))))</f>
        <v>#N/A</v>
      </c>
      <c r="R125" s="170" t="e">
        <f>IF(D125&lt;&gt;0,D125*'Components and Space Standards'!C93,IF($D$21=$M$10,'AF'!H86,IF($D$21=$M$11,'AF'!K86,IF($D$21='Interactive Worksheet'!$M$12,'AF'!N86,))))</f>
        <v>#N/A</v>
      </c>
      <c r="S125" s="520" t="e">
        <f>IF($D125&lt;&gt;0,$D125,IF($D$21=$M$9,MC!F88,IF($D$21=$M$10,MC!I88,IF($D$21='Interactive Worksheet'!$M$11,MC!L88,IF($D$21='Interactive Worksheet'!$M$12,MC!O88,IF($D$21='Interactive Worksheet'!$M$13,MC!R88,))))))</f>
        <v>#N/A</v>
      </c>
      <c r="T125" s="520" t="e">
        <f>IF($D125&lt;&gt;0,$D125*'Components and Space Standards'!C93,IF($D$21=$M$9,MC!H88,IF($D$21=$M$10,MC!K88,IF($D$21='Interactive Worksheet'!$M$11,MC!N88,IF($D$21='Interactive Worksheet'!$M$12,MC!Q88,IF($D$21='Interactive Worksheet'!$M$13,MC!T88,))))))</f>
        <v>#N/A</v>
      </c>
      <c r="U125" s="435"/>
      <c r="V125" s="477"/>
      <c r="W125" s="308"/>
    </row>
    <row r="126" spans="1:23" s="34" customFormat="1" ht="15" customHeight="1" thickBot="1">
      <c r="A126" s="381"/>
      <c r="B126" s="382"/>
      <c r="C126" s="383"/>
      <c r="D126" s="384"/>
      <c r="E126" s="385"/>
      <c r="F126" s="386"/>
      <c r="G126" s="387"/>
      <c r="H126" s="388"/>
      <c r="I126" s="33"/>
      <c r="J126" s="565"/>
      <c r="K126" s="175"/>
      <c r="L126" s="163"/>
      <c r="M126" s="662" t="s">
        <v>300</v>
      </c>
      <c r="N126" s="663"/>
      <c r="O126" s="663"/>
      <c r="P126" s="663"/>
      <c r="Q126" s="663"/>
      <c r="R126" s="663"/>
      <c r="S126" s="663"/>
      <c r="T126" s="663"/>
      <c r="U126" s="513">
        <f>ROUNDUP(SUM(U35:U125),0)</f>
        <v>2</v>
      </c>
      <c r="V126" s="477"/>
      <c r="W126" s="308"/>
    </row>
    <row r="127" spans="1:23" s="34" customFormat="1" ht="24.75" customHeight="1">
      <c r="A127" s="305">
        <f>IF(OR($D$26&lt;&gt;"Yes",$D$26=0,$K$26&lt;&gt;"Yes"),,'Components and Space Standards'!A36)</f>
        <v>0</v>
      </c>
      <c r="B127" s="439"/>
      <c r="C127" s="440"/>
      <c r="D127" s="84"/>
      <c r="E127" s="84"/>
      <c r="F127" s="84"/>
      <c r="G127" s="48"/>
      <c r="H127" s="49"/>
      <c r="I127" s="33"/>
      <c r="J127" s="565"/>
      <c r="K127" s="171"/>
      <c r="L127" s="163"/>
      <c r="M127" s="477"/>
      <c r="N127" s="477"/>
      <c r="O127" s="477"/>
      <c r="P127" s="477"/>
      <c r="Q127" s="477"/>
      <c r="R127" s="477"/>
      <c r="S127" s="477"/>
      <c r="T127" s="477"/>
      <c r="U127" s="160"/>
      <c r="V127" s="477"/>
      <c r="W127" s="308"/>
    </row>
    <row r="128" spans="1:23" s="34" customFormat="1" ht="15" customHeight="1">
      <c r="A128" s="687">
        <f>IF(OR($D$26&lt;&gt;"Yes",$D$26=0,$K$26&lt;&gt;"Yes"),,"The following Locker Room spaces are based on total building occupancy, which is driven by the selctions made on this spreadsheet.")</f>
        <v>0</v>
      </c>
      <c r="B128" s="688"/>
      <c r="C128" s="688"/>
      <c r="D128" s="688"/>
      <c r="E128" s="84"/>
      <c r="F128" s="84"/>
      <c r="G128" s="48"/>
      <c r="H128" s="49"/>
      <c r="I128" s="33"/>
      <c r="J128" s="565"/>
      <c r="K128" s="171" t="s">
        <v>302</v>
      </c>
      <c r="L128" s="163"/>
      <c r="M128" s="159"/>
      <c r="N128" s="159"/>
      <c r="O128" s="159"/>
      <c r="P128" s="159"/>
      <c r="Q128" s="159"/>
      <c r="R128" s="159"/>
      <c r="S128" s="159"/>
      <c r="T128" s="159"/>
      <c r="U128" s="160"/>
      <c r="V128" s="477"/>
      <c r="W128" s="308"/>
    </row>
    <row r="129" spans="1:23" s="34" customFormat="1" ht="15" customHeight="1">
      <c r="A129" s="687"/>
      <c r="B129" s="688"/>
      <c r="C129" s="688"/>
      <c r="D129" s="688"/>
      <c r="E129" s="84"/>
      <c r="F129" s="84"/>
      <c r="G129" s="48"/>
      <c r="H129" s="49"/>
      <c r="I129" s="33"/>
      <c r="J129" s="565"/>
      <c r="K129" s="171" t="s">
        <v>301</v>
      </c>
      <c r="L129" s="163"/>
      <c r="M129" s="159"/>
      <c r="N129" s="159"/>
      <c r="O129" s="159"/>
      <c r="P129" s="159"/>
      <c r="Q129" s="159"/>
      <c r="R129" s="159"/>
      <c r="S129" s="159"/>
      <c r="T129" s="159"/>
      <c r="U129" s="160"/>
      <c r="V129" s="477"/>
      <c r="W129" s="308"/>
    </row>
    <row r="130" spans="1:23" s="34" customFormat="1" ht="15" customHeight="1">
      <c r="A130" s="687"/>
      <c r="B130" s="688"/>
      <c r="C130" s="688"/>
      <c r="D130" s="688"/>
      <c r="E130" s="84"/>
      <c r="F130" s="84"/>
      <c r="G130" s="48"/>
      <c r="H130" s="49"/>
      <c r="I130" s="33"/>
      <c r="J130" s="565"/>
      <c r="K130" s="171" t="s">
        <v>303</v>
      </c>
      <c r="L130" s="163"/>
      <c r="M130" s="291"/>
      <c r="N130" s="291"/>
      <c r="O130" s="291"/>
      <c r="P130" s="291"/>
      <c r="Q130" s="291"/>
      <c r="R130" s="291"/>
      <c r="S130" s="291"/>
      <c r="T130" s="291"/>
      <c r="U130" s="160"/>
      <c r="V130" s="477"/>
      <c r="W130" s="308"/>
    </row>
    <row r="131" spans="1:23" s="34" customFormat="1" ht="15" customHeight="1">
      <c r="A131" s="246">
        <f>IF(OR($D$26&lt;&gt;"Yes",$D$26=0,$K$26&lt;&gt;"Yes"),,IF($D$5=$K$5,M131,IF($D$5=$K$6,O131,IF($D$5=$K$7,Q131,IF($D$5=$K$8,S131,)))))</f>
        <v>0</v>
      </c>
      <c r="B131" s="437"/>
      <c r="C131" s="437"/>
      <c r="D131" s="437"/>
      <c r="E131" s="57">
        <f>IF(OR($D$26&lt;&gt;"Yes",$D$26=0,$K$26&lt;&gt;"Yes"),,"To change this default split, select new:")</f>
        <v>0</v>
      </c>
      <c r="F131" s="683"/>
      <c r="G131" s="683"/>
      <c r="H131" s="684"/>
      <c r="I131" s="33"/>
      <c r="J131" s="566">
        <f>IF(F131&lt;&gt;0,"F",)</f>
        <v>0</v>
      </c>
      <c r="K131" s="171" t="s">
        <v>304</v>
      </c>
      <c r="L131" s="163"/>
      <c r="M131" s="281" t="s">
        <v>305</v>
      </c>
      <c r="N131" s="281">
        <f>IF($F$131&lt;&gt;0,(IF($F$131=$K$128,0.5,IF($F$131=$K$129,0.6,IF($F$131=$K$130,0.7,IF($F$131=$K$131,0.8,IF($F$131=$K$132,0.9,0.6)))))),0.6)</f>
        <v>0.6</v>
      </c>
      <c r="O131" s="281" t="s">
        <v>306</v>
      </c>
      <c r="P131" s="281">
        <f>IF($F$131&lt;&gt;0,(IF($F$131=$K$128,0.5,IF($F$131=$K$129,0.6,IF($F$131=$K$130,0.7,IF($F$131=$K$131,0.8,IF($F$131=$K$132,0.9,0.6)))))),0.6)</f>
        <v>0.6</v>
      </c>
      <c r="Q131" s="281" t="s">
        <v>307</v>
      </c>
      <c r="R131" s="281">
        <f>IF($F$131&lt;&gt;0,(IF($F$131=$K$128,0.5,IF($F$131=$K$129,0.6,IF($F$131=$K$130,0.7,IF($F$131=$K$131,0.8,IF($F$131=$K$132,0.9,0.6)))))),0.6)</f>
        <v>0.6</v>
      </c>
      <c r="S131" s="281" t="s">
        <v>308</v>
      </c>
      <c r="T131" s="281">
        <f>IF($F$131&lt;&gt;0,(IF($F$131=$K$128,0.5,IF($F$131=$K$129,0.6,IF($F$131=$K$130,0.7,IF($F$131=$K$131,0.8,IF($F$131=$K$132,0.9,0.8)))))),0.8)</f>
        <v>0.8</v>
      </c>
      <c r="U131" s="160"/>
      <c r="V131" s="477"/>
      <c r="W131" s="443" t="s">
        <v>350</v>
      </c>
    </row>
    <row r="132" spans="1:23" s="34" customFormat="1" ht="15" customHeight="1">
      <c r="A132" s="436"/>
      <c r="B132" s="437"/>
      <c r="C132" s="437"/>
      <c r="D132" s="437"/>
      <c r="E132" s="84"/>
      <c r="F132" s="84"/>
      <c r="G132" s="48"/>
      <c r="H132" s="49"/>
      <c r="I132" s="33"/>
      <c r="J132" s="565"/>
      <c r="K132" s="171" t="s">
        <v>310</v>
      </c>
      <c r="L132" s="163"/>
      <c r="M132" s="501"/>
      <c r="N132" s="501"/>
      <c r="O132" s="501"/>
      <c r="P132" s="501"/>
      <c r="Q132" s="501"/>
      <c r="R132" s="501"/>
      <c r="S132" s="501"/>
      <c r="T132" s="501"/>
      <c r="U132" s="160"/>
      <c r="V132" s="477"/>
      <c r="W132" s="442"/>
    </row>
    <row r="133" spans="1:23" s="34" customFormat="1" ht="15" customHeight="1">
      <c r="A133" s="246">
        <f>IF(OR($D$26&lt;&gt;"Yes",$D$26=0,$K$26&lt;&gt;"Yes"),,'Components and Space Standards'!A37)</f>
        <v>0</v>
      </c>
      <c r="B133" s="25"/>
      <c r="C133" s="50"/>
      <c r="D133" s="77"/>
      <c r="E133" s="252"/>
      <c r="F133" s="52"/>
      <c r="G133" s="445">
        <f>ROUND(H133*$K$33,2)</f>
        <v>0</v>
      </c>
      <c r="H133" s="45">
        <f>IF(OR($D$26&lt;&gt;"Yes",$D$26=0,$K$26&lt;&gt;"Yes"),,IF($D$5=$K$5,N133,IF($D$5=$K$6,P133,IF($D$5=$K$7,R133,IF($D$5=$K$8,T133,)))))</f>
        <v>0</v>
      </c>
      <c r="I133" s="33"/>
      <c r="J133" s="565"/>
      <c r="K133" s="171"/>
      <c r="L133" s="163"/>
      <c r="M133" s="170"/>
      <c r="N133" s="281">
        <f>(N134+N138+N139)</f>
        <v>8</v>
      </c>
      <c r="O133" s="170"/>
      <c r="P133" s="281">
        <f>(P134+P138+P139)</f>
        <v>8</v>
      </c>
      <c r="Q133" s="170"/>
      <c r="R133" s="170"/>
      <c r="S133" s="170"/>
      <c r="T133" s="281">
        <f>(T134+T138+T139)</f>
        <v>8</v>
      </c>
      <c r="U133" s="160"/>
      <c r="V133" s="477"/>
      <c r="W133" s="442"/>
    </row>
    <row r="134" spans="1:23" s="34" customFormat="1" ht="15" customHeight="1">
      <c r="A134" s="322">
        <f>IF(OR($D$26&lt;&gt;"Yes",$D$26=0,$K$26&lt;&gt;"Yes"),,'Components and Space Standards'!A38)</f>
        <v>0</v>
      </c>
      <c r="B134" s="25"/>
      <c r="C134" s="252">
        <f>IF(OR($D$26&lt;&gt;"Yes",$D$26=0,$K$26&lt;&gt;"Yes"),,"To change default, select new:")</f>
        <v>0</v>
      </c>
      <c r="D134" s="441"/>
      <c r="E134" s="252">
        <f>IF(OR($D$26&lt;&gt;"Yes",$D$26=0,$K$26&lt;&gt;"Yes"),,IF($D$5=$K$5,L134&amp;" "&amp;'Components and Space Standards'!$D38&amp;" in "&amp;M134&amp;" slots.",IF($D$5=$K$6,L134&amp;" "&amp;'Components and Space Standards'!$D38&amp;" in "&amp;O134&amp;" slots.",IF($D$5=$K$7,L134&amp;" "&amp;'Components and Space Standards'!$D38&amp;" in "&amp;Q134&amp;" slots.",IF($D$5=$K$8,L134&amp;" "&amp;'Components and Space Standards'!$D38&amp;" in "&amp;S134&amp;" slots.",)))))</f>
        <v>0</v>
      </c>
      <c r="F134" s="52"/>
      <c r="G134" s="423"/>
      <c r="H134" s="424"/>
      <c r="I134" s="33"/>
      <c r="J134" s="566">
        <f>IF(D134&lt;&gt;0,"D",)</f>
        <v>0</v>
      </c>
      <c r="K134" s="171">
        <f>IF(D134=0,0.66,IF(D134=$K$136,0.5,IF(D134=$K$137,0.6,IF(D134=$K$138,0.75,IF(D134=$K$139,1,0.66)))))</f>
        <v>0.66</v>
      </c>
      <c r="L134" s="163">
        <f>ROUND(IF($D$5=$K$5,$M134/$K134,IF($D$5=$K$6,$O134/$K134,IF($D$5=$K$7,$Q134/$K134,IF($D$5=$K$8,$S134/$K134,)))),0)</f>
        <v>2</v>
      </c>
      <c r="M134" s="281">
        <f>ROUND($K$134*N$131*$U$126,0)</f>
        <v>1</v>
      </c>
      <c r="N134" s="281">
        <f>M134*'Components and Space Standards'!$C$38</f>
        <v>8</v>
      </c>
      <c r="O134" s="281">
        <f>ROUND($K$134*P131*$U$126,0)</f>
        <v>1</v>
      </c>
      <c r="P134" s="281">
        <f>O134*'Components and Space Standards'!$C$38</f>
        <v>8</v>
      </c>
      <c r="Q134" s="170" t="e">
        <f>IF(D134&lt;&gt;0,D134,IF($D$21=$M$10,'AF'!F36,IF($D$21=$M$11,'AF'!I36,IF($D$21='Interactive Worksheet'!$M$12,'AF'!L36,))))</f>
        <v>#N/A</v>
      </c>
      <c r="R134" s="170" t="e">
        <f>IF(D134&lt;&gt;0,D134*'Components and Space Standards'!C38,IF($D$21=$M$10,'AF'!H36,IF($D$21=$M$11,'AF'!K36,IF($D$21='Interactive Worksheet'!$M$12,'AF'!N36,))))</f>
        <v>#N/A</v>
      </c>
      <c r="S134" s="281">
        <f>ROUND($K$134*T131*$U$126,0)</f>
        <v>1</v>
      </c>
      <c r="T134" s="281">
        <f>S134*'Components and Space Standards'!$C$38</f>
        <v>8</v>
      </c>
      <c r="U134" s="160"/>
      <c r="V134" s="477"/>
      <c r="W134" s="645" t="s">
        <v>351</v>
      </c>
    </row>
    <row r="135" spans="1:23" s="34" customFormat="1" ht="15" customHeight="1">
      <c r="A135" s="685">
        <f>IF(OR($D$26&lt;&gt;"Yes",$D$26=0,$K$26&lt;&gt;"Yes"),,IF(D5=K5,"Army designates 2 spaces (slots) for every 3 lockers (66%).  This is 1 full-sized &amp; 2 half-sized lockers for every 3 required.  To change this default (with CFSC approval), select new configuration.  ALSO: See Women's "&amp;'Components and Space Standards'!A42&amp;".",IF(D5=K6,"Navy designates 2 spaces (slots) for every 3 lockers (66%).  This is 1 full-sized &amp; 2 half-sized lockers for every 3 required.  To change this default, select new configuration.  ALSO: See Women's "&amp;'Components and Space Standards'!A42&amp;".",IF(D5=K8,"Marine Corps designates 2 spaces (slots) for every 3 lockers (66%).  This is 1 full-sized &amp; 2 half-sized lockers for every 3 required.  To change this default, select new configuration.  ALSO: See Women's "&amp;'Components and Space Standards'!A42&amp;"."))))</f>
        <v>0</v>
      </c>
      <c r="B135" s="686"/>
      <c r="C135" s="686"/>
      <c r="D135" s="686"/>
      <c r="E135" s="252"/>
      <c r="F135" s="52"/>
      <c r="G135" s="425"/>
      <c r="H135" s="426"/>
      <c r="I135" s="33"/>
      <c r="J135" s="565"/>
      <c r="K135" s="171"/>
      <c r="L135" s="163"/>
      <c r="M135" s="448"/>
      <c r="N135" s="288"/>
      <c r="O135" s="288"/>
      <c r="P135" s="288"/>
      <c r="Q135" s="288"/>
      <c r="R135" s="288"/>
      <c r="S135" s="288"/>
      <c r="T135" s="449"/>
      <c r="U135" s="160"/>
      <c r="V135" s="477"/>
      <c r="W135" s="645"/>
    </row>
    <row r="136" spans="1:23" s="34" customFormat="1" ht="15" customHeight="1">
      <c r="A136" s="685"/>
      <c r="B136" s="686"/>
      <c r="C136" s="686"/>
      <c r="D136" s="686"/>
      <c r="E136" s="252"/>
      <c r="F136" s="52"/>
      <c r="G136" s="425"/>
      <c r="H136" s="426"/>
      <c r="I136" s="33"/>
      <c r="J136" s="565"/>
      <c r="K136" s="171">
        <f>IF(D5=K5,,"2 lockers/1 slot")</f>
        <v>0</v>
      </c>
      <c r="L136" s="163"/>
      <c r="M136" s="289"/>
      <c r="N136" s="159"/>
      <c r="O136" s="159"/>
      <c r="P136" s="159"/>
      <c r="Q136" s="159"/>
      <c r="R136" s="159"/>
      <c r="S136" s="159"/>
      <c r="T136" s="450"/>
      <c r="U136" s="160"/>
      <c r="V136" s="477"/>
      <c r="W136" s="429"/>
    </row>
    <row r="137" spans="1:23" s="34" customFormat="1" ht="15" customHeight="1">
      <c r="A137" s="685"/>
      <c r="B137" s="686"/>
      <c r="C137" s="686"/>
      <c r="D137" s="686"/>
      <c r="E137" s="252"/>
      <c r="F137" s="52"/>
      <c r="G137" s="425"/>
      <c r="H137" s="426"/>
      <c r="I137" s="33"/>
      <c r="J137" s="565"/>
      <c r="K137" s="171" t="s">
        <v>342</v>
      </c>
      <c r="L137" s="163"/>
      <c r="M137" s="290"/>
      <c r="N137" s="291"/>
      <c r="O137" s="291"/>
      <c r="P137" s="291"/>
      <c r="Q137" s="291"/>
      <c r="R137" s="291"/>
      <c r="S137" s="291"/>
      <c r="T137" s="451"/>
      <c r="U137" s="160"/>
      <c r="V137" s="477"/>
      <c r="W137" s="429"/>
    </row>
    <row r="138" spans="1:23" s="34" customFormat="1" ht="15" customHeight="1">
      <c r="A138" s="322">
        <f>IF(OR($D$26&lt;&gt;"Yes",$D$26=0,$K$26&lt;&gt;"Yes"),,'Components and Space Standards'!A39)</f>
        <v>0</v>
      </c>
      <c r="B138" s="25"/>
      <c r="C138" s="51"/>
      <c r="D138" s="51"/>
      <c r="E138" s="252">
        <f>IF(OR($D$26&lt;&gt;"Yes",$D$26=0,$K$26&lt;&gt;"Yes"),,IF($D$5=$K$5,$M138&amp;" "&amp;'Components and Space Standards'!$D39&amp;".",IF($D$5=$K$6,$O138&amp;" "&amp;'Components and Space Standards'!$D39&amp;".",IF($D$5=$K$7,$Q138&amp;" "&amp;'Components and Space Standards'!$D39&amp;".",IF($D$5=$K$8,$S138&amp;" "&amp;'Components and Space Standards'!$D39&amp;".",)))))</f>
        <v>0</v>
      </c>
      <c r="F138" s="52"/>
      <c r="G138" s="425"/>
      <c r="H138" s="426"/>
      <c r="I138" s="33"/>
      <c r="J138" s="565"/>
      <c r="K138" s="171" t="s">
        <v>343</v>
      </c>
      <c r="L138" s="163"/>
      <c r="M138" s="281">
        <f>ROUND(IF($D138&lt;&gt;0,$D138,($L$134/22)),0)</f>
        <v>0</v>
      </c>
      <c r="N138" s="281">
        <f>M138*'Components and Space Standards'!$C39</f>
        <v>0</v>
      </c>
      <c r="O138" s="281">
        <f>ROUND(IF($D138&lt;&gt;0,$D138,($L$134/22)),0)</f>
        <v>0</v>
      </c>
      <c r="P138" s="281">
        <f>O138*'Components and Space Standards'!$C39</f>
        <v>0</v>
      </c>
      <c r="Q138" s="170" t="e">
        <f>IF(D138&lt;&gt;0,D138,IF($D$21=$M$10,'AF'!F37,IF($D$21=$M$11,'AF'!I37,IF($D$21='Interactive Worksheet'!$M$12,'AF'!L37,))))</f>
        <v>#N/A</v>
      </c>
      <c r="R138" s="170" t="e">
        <f>IF(D138&lt;&gt;0,D138*'Components and Space Standards'!C39,IF($D$21=$M$10,'AF'!H37,IF($D$21=$M$11,'AF'!K37,IF($D$21='Interactive Worksheet'!$M$12,'AF'!N37,))))</f>
        <v>#N/A</v>
      </c>
      <c r="S138" s="281">
        <f>ROUND(IF($D138&lt;&gt;0,$D138,($L$134/22)),0)</f>
        <v>0</v>
      </c>
      <c r="T138" s="281">
        <f>S138*'Components and Space Standards'!$C39</f>
        <v>0</v>
      </c>
      <c r="U138" s="160"/>
      <c r="V138" s="477"/>
      <c r="W138" s="429"/>
    </row>
    <row r="139" spans="1:23" s="34" customFormat="1" ht="15" customHeight="1">
      <c r="A139" s="322">
        <f>IF(OR($D$26&lt;&gt;"Yes",$D$26=0,$K$26&lt;&gt;"Yes"),,'Components and Space Standards'!A40)</f>
        <v>0</v>
      </c>
      <c r="B139" s="25"/>
      <c r="C139" s="50"/>
      <c r="D139" s="77"/>
      <c r="E139" s="252">
        <f>IF(OR($D$26&lt;&gt;"Yes",$D$26=0,$K$26&lt;&gt;"Yes"),,IF($D$5=$K$5,$M139&amp;" "&amp;'Components and Space Standards'!$D40&amp;".",IF($D$5=$K$6,$O139&amp;" "&amp;'Components and Space Standards'!$D40&amp;".",IF($D$5=$K$7,$Q139&amp;" "&amp;'Components and Space Standards'!$D40&amp;".",IF($D$5=$K$8,$S139&amp;" "&amp;'Components and Space Standards'!$D40&amp;".",)))))</f>
        <v>0</v>
      </c>
      <c r="F139" s="52"/>
      <c r="G139" s="427"/>
      <c r="H139" s="428"/>
      <c r="I139" s="33"/>
      <c r="J139" s="565"/>
      <c r="K139" s="171">
        <f>IF(D5=K5,,"1 locker/1 slot")</f>
        <v>0</v>
      </c>
      <c r="L139" s="163"/>
      <c r="M139" s="281">
        <f>ROUND(IF($D139&lt;&gt;0,$D139,($L$134/30)),0)</f>
        <v>0</v>
      </c>
      <c r="N139" s="281">
        <f>M139*'Components and Space Standards'!$C40</f>
        <v>0</v>
      </c>
      <c r="O139" s="281">
        <f>ROUND(IF($D139&lt;&gt;0,$D139,($L$134/30)),0)</f>
        <v>0</v>
      </c>
      <c r="P139" s="281">
        <f>O139*'Components and Space Standards'!$C40</f>
        <v>0</v>
      </c>
      <c r="Q139" s="170" t="e">
        <f>IF(D139&lt;&gt;0,D139,IF($D$21=$M$10,'AF'!F38,IF($D$21=$M$11,'AF'!I38,IF($D$21='Interactive Worksheet'!$M$12,'AF'!L38,))))</f>
        <v>#N/A</v>
      </c>
      <c r="R139" s="170" t="e">
        <f>IF(D139&lt;&gt;0,D139*'Components and Space Standards'!C40,IF($D$21=$M$10,'AF'!H38,IF($D$21=$M$11,'AF'!K38,IF($D$21='Interactive Worksheet'!$M$12,'AF'!N38,))))</f>
        <v>#N/A</v>
      </c>
      <c r="S139" s="281">
        <f>ROUND(IF($D139&lt;&gt;0,$D139,($L$134/30)),0)</f>
        <v>0</v>
      </c>
      <c r="T139" s="281">
        <f>S139*'Components and Space Standards'!$C40</f>
        <v>0</v>
      </c>
      <c r="U139" s="160"/>
      <c r="V139" s="477"/>
      <c r="W139" s="429"/>
    </row>
    <row r="140" spans="1:23" s="34" customFormat="1" ht="15" customHeight="1">
      <c r="A140" s="246">
        <f>IF(OR($D$26&lt;&gt;"Yes",$D$26=0,$K$26&lt;&gt;"Yes"),,'Components and Space Standards'!A41)</f>
        <v>0</v>
      </c>
      <c r="B140" s="25"/>
      <c r="C140" s="51"/>
      <c r="D140" s="51"/>
      <c r="E140" s="252"/>
      <c r="F140" s="52"/>
      <c r="G140" s="445">
        <f>ROUND(H140*$K$33,2)</f>
        <v>0</v>
      </c>
      <c r="H140" s="45">
        <f>IF(OR($D$26&lt;&gt;"Yes",$D$26=0,$K$26&lt;&gt;"Yes"),,IF($D$5=$K$5,N140,IF($D$5=$K$6,P140,IF($D$5=$K$7,R140,IF($D$5=$K$8,T140,)))))</f>
        <v>0</v>
      </c>
      <c r="I140" s="33"/>
      <c r="J140" s="565"/>
      <c r="K140" s="171"/>
      <c r="L140" s="163"/>
      <c r="M140" s="170"/>
      <c r="N140" s="281">
        <f>(N141+N142+N143)</f>
        <v>8</v>
      </c>
      <c r="O140" s="170"/>
      <c r="P140" s="281">
        <f>(P141+P142+P143)</f>
        <v>8</v>
      </c>
      <c r="Q140" s="170"/>
      <c r="R140" s="170"/>
      <c r="S140" s="170"/>
      <c r="T140" s="281">
        <f>(T141+T142+T143)</f>
        <v>0</v>
      </c>
      <c r="U140" s="160"/>
      <c r="V140" s="477"/>
      <c r="W140" s="429"/>
    </row>
    <row r="141" spans="1:23" s="34" customFormat="1" ht="15" customHeight="1">
      <c r="A141" s="322">
        <f>IF(OR($D$26&lt;&gt;"Yes",$D$26=0,$K$26&lt;&gt;"Yes"),,'Components and Space Standards'!A42)</f>
        <v>0</v>
      </c>
      <c r="B141" s="25"/>
      <c r="C141" s="252">
        <f>IF(OR($D$26&lt;&gt;"Yes",$D$26=0,$K$26&lt;&gt;"Yes"),,"To change default, select new:")</f>
        <v>0</v>
      </c>
      <c r="D141" s="441"/>
      <c r="E141" s="252">
        <f>IF(OR($D$26&lt;&gt;"Yes",$D$26=0,$K$26&lt;&gt;"Yes"),,IF($D$5=$K$5,L141&amp;" "&amp;'Components and Space Standards'!$D42&amp;" in "&amp;M141&amp;" slots.",IF($D$5=$K$6,L141&amp;" "&amp;'Components and Space Standards'!$D42&amp;" in "&amp;O141&amp;" slots.",IF($D$5=$K$7,L141&amp;" "&amp;'Components and Space Standards'!$D42&amp;" in "&amp;Q141&amp;" slots.",IF($D$5=$K$8,L141&amp;" "&amp;'Components and Space Standards'!$D42&amp;" in "&amp;S141&amp;" slots.",)))))</f>
        <v>0</v>
      </c>
      <c r="F141" s="52"/>
      <c r="G141" s="423"/>
      <c r="H141" s="424"/>
      <c r="I141" s="33"/>
      <c r="J141" s="566">
        <f>IF(D141&lt;&gt;0,"D",)</f>
        <v>0</v>
      </c>
      <c r="K141" s="171">
        <f>IF(D141=0,0.66,IF(D141=$K$136,0.5,IF(D141=$K$137,0.6,IF(D141=$K$138,0.75,IF(D141=$K$139,1,0.66)))))</f>
        <v>0.66</v>
      </c>
      <c r="L141" s="163">
        <f>ROUND(IF($D$5=$K$5,$M141/$K141,IF($D$5=$K$6,$O141/$K141,IF($D$5=$K$7,$Q141/$K141,IF($D$5=$K$8,$S141/$K141,)))),0)</f>
        <v>2</v>
      </c>
      <c r="M141" s="281">
        <f>ROUND($K$141*(1-N$131)*$U$126,0)</f>
        <v>1</v>
      </c>
      <c r="N141" s="281">
        <f>M141*'Components and Space Standards'!$C$38</f>
        <v>8</v>
      </c>
      <c r="O141" s="281">
        <f>ROUND($K$141*(1-P$131)*$U$126,0)</f>
        <v>1</v>
      </c>
      <c r="P141" s="281">
        <f>O141*'Components and Space Standards'!$C$38</f>
        <v>8</v>
      </c>
      <c r="Q141" s="170" t="e">
        <f>IF(D141&lt;&gt;0,D141,IF($D$21=$M$10,'AF'!F40,IF($D$21=$M$11,'AF'!I40,IF($D$21='Interactive Worksheet'!$M$12,'AF'!L40,))))</f>
        <v>#N/A</v>
      </c>
      <c r="R141" s="170" t="e">
        <f>IF(D141&lt;&gt;0,D141*'Components and Space Standards'!C42,IF($D$21=$M$10,'AF'!H40,IF($D$21=$M$11,'AF'!K40,IF($D$21='Interactive Worksheet'!$M$12,'AF'!N40,))))</f>
        <v>#N/A</v>
      </c>
      <c r="S141" s="281">
        <f>ROUND($K$141*(1-T$131)*$U$126,0)</f>
        <v>0</v>
      </c>
      <c r="T141" s="281">
        <f>S141*'Components and Space Standards'!$C$38</f>
        <v>0</v>
      </c>
      <c r="U141" s="160"/>
      <c r="V141" s="477"/>
      <c r="W141" s="429"/>
    </row>
    <row r="142" spans="1:23" s="34" customFormat="1" ht="15" customHeight="1">
      <c r="A142" s="322">
        <f>IF(OR($D$26&lt;&gt;"Yes",$D$26=0,$K$26&lt;&gt;"Yes"),,'Components and Space Standards'!A43)</f>
        <v>0</v>
      </c>
      <c r="B142" s="25"/>
      <c r="C142" s="51"/>
      <c r="D142" s="51"/>
      <c r="E142" s="252">
        <f>IF(OR($D$26&lt;&gt;"Yes",$D$26=0,$K$26&lt;&gt;"Yes"),,IF($D$5=$K$5,$M142&amp;" "&amp;'Components and Space Standards'!$D43&amp;".",IF($D$5=$K$6,$O142&amp;" "&amp;'Components and Space Standards'!$D43&amp;".",IF($D$5=$K$7,$Q142&amp;" "&amp;'Components and Space Standards'!$D43&amp;".",IF($D$5=$K$8,$S142&amp;" "&amp;'Components and Space Standards'!$D43&amp;".",)))))</f>
        <v>0</v>
      </c>
      <c r="F142" s="52"/>
      <c r="G142" s="425"/>
      <c r="H142" s="426"/>
      <c r="I142" s="33"/>
      <c r="J142" s="565"/>
      <c r="K142" s="171"/>
      <c r="L142" s="163"/>
      <c r="M142" s="281">
        <f>ROUND(IF($D142&lt;&gt;0,$D142,($L$141/22)),0)</f>
        <v>0</v>
      </c>
      <c r="N142" s="281">
        <f>M142*'Components and Space Standards'!$C43</f>
        <v>0</v>
      </c>
      <c r="O142" s="281">
        <f>ROUND(IF($D142&lt;&gt;0,$D142,($L$141/22)),0)</f>
        <v>0</v>
      </c>
      <c r="P142" s="281">
        <f>O142*'Components and Space Standards'!$C43</f>
        <v>0</v>
      </c>
      <c r="Q142" s="170" t="e">
        <f>IF(D142&lt;&gt;0,D142,IF($D$21=$M$10,'AF'!F41,IF($D$21=$M$11,'AF'!I41,IF($D$21='Interactive Worksheet'!$M$12,'AF'!L41,))))</f>
        <v>#N/A</v>
      </c>
      <c r="R142" s="170" t="e">
        <f>IF(D142&lt;&gt;0,D142*'Components and Space Standards'!C43,IF($D$21=$M$10,'AF'!H41,IF($D$21=$M$11,'AF'!K41,IF($D$21='Interactive Worksheet'!$M$12,'AF'!N41,))))</f>
        <v>#N/A</v>
      </c>
      <c r="S142" s="281">
        <f>ROUND(IF($D142&lt;&gt;0,$D142,($L$141/22)),0)</f>
        <v>0</v>
      </c>
      <c r="T142" s="281">
        <f>S142*'Components and Space Standards'!$C43</f>
        <v>0</v>
      </c>
      <c r="U142" s="160"/>
      <c r="V142" s="477"/>
      <c r="W142" s="308"/>
    </row>
    <row r="143" spans="1:23" s="34" customFormat="1" ht="15" customHeight="1">
      <c r="A143" s="322">
        <f>IF(OR($D$26&lt;&gt;"Yes",$D$26=0,$K$26&lt;&gt;"Yes"),,'Components and Space Standards'!A44)</f>
        <v>0</v>
      </c>
      <c r="B143" s="25"/>
      <c r="C143" s="50"/>
      <c r="D143" s="77"/>
      <c r="E143" s="252">
        <f>IF(OR($D$26&lt;&gt;"Yes",$D$26=0,$K$26&lt;&gt;"Yes"),,IF($D$5=$K$5,$M143&amp;" "&amp;'Components and Space Standards'!$D44&amp;".",IF($D$5=$K$6,$O143&amp;" "&amp;'Components and Space Standards'!$D44&amp;".",IF($D$5=$K$7,$Q143&amp;" "&amp;'Components and Space Standards'!$D44&amp;".",IF($D$5=$K$8,$S143&amp;" "&amp;'Components and Space Standards'!$D44&amp;".",)))))</f>
        <v>0</v>
      </c>
      <c r="F143" s="52"/>
      <c r="G143" s="425"/>
      <c r="H143" s="426"/>
      <c r="I143" s="33"/>
      <c r="J143" s="565"/>
      <c r="K143" s="171"/>
      <c r="L143" s="163"/>
      <c r="M143" s="281">
        <f>ROUND(IF($D143&lt;&gt;0,$D143,($L$141/20)),0)</f>
        <v>0</v>
      </c>
      <c r="N143" s="281">
        <f>M143*'Components and Space Standards'!$C44</f>
        <v>0</v>
      </c>
      <c r="O143" s="281">
        <f>ROUND(IF($D143&lt;&gt;0,$D143,($L$141/20)),0)</f>
        <v>0</v>
      </c>
      <c r="P143" s="281">
        <f>O143*'Components and Space Standards'!$C44</f>
        <v>0</v>
      </c>
      <c r="Q143" s="170" t="e">
        <f>IF(D143&lt;&gt;0,D143,IF($D$21=$M$10,'AF'!F42,IF($D$21=$M$11,'AF'!I42,IF($D$21='Interactive Worksheet'!$M$12,'AF'!L42,))))</f>
        <v>#N/A</v>
      </c>
      <c r="R143" s="170" t="e">
        <f>IF(D143&lt;&gt;0,D143*'Components and Space Standards'!C44,IF($D$21=$M$10,'AF'!H42,IF($D$21=$M$11,'AF'!K42,IF($D$21='Interactive Worksheet'!$M$12,'AF'!N42,))))</f>
        <v>#N/A</v>
      </c>
      <c r="S143" s="281">
        <f>ROUND(IF($D143&lt;&gt;0,$D143,($L$141/20)),0)</f>
        <v>0</v>
      </c>
      <c r="T143" s="281">
        <f>S143*'Components and Space Standards'!$C44</f>
        <v>0</v>
      </c>
      <c r="U143" s="160"/>
      <c r="V143" s="477"/>
      <c r="W143" s="308"/>
    </row>
    <row r="144" spans="1:23" s="34" customFormat="1" ht="15" customHeight="1" thickBot="1">
      <c r="A144" s="381"/>
      <c r="B144" s="382"/>
      <c r="C144" s="383"/>
      <c r="D144" s="384"/>
      <c r="E144" s="385"/>
      <c r="F144" s="386"/>
      <c r="G144" s="387"/>
      <c r="H144" s="388"/>
      <c r="I144" s="33"/>
      <c r="J144" s="565"/>
      <c r="K144" s="171"/>
      <c r="L144" s="163"/>
      <c r="M144" s="159"/>
      <c r="N144" s="159"/>
      <c r="O144" s="159"/>
      <c r="P144" s="159"/>
      <c r="Q144" s="159"/>
      <c r="R144" s="159"/>
      <c r="S144" s="159"/>
      <c r="T144" s="159"/>
      <c r="U144" s="160"/>
      <c r="V144" s="477"/>
      <c r="W144" s="308"/>
    </row>
    <row r="145" spans="1:23" s="34" customFormat="1" ht="24.75" customHeight="1">
      <c r="A145" s="419" t="s">
        <v>19</v>
      </c>
      <c r="B145" s="420"/>
      <c r="C145" s="394"/>
      <c r="D145" s="51"/>
      <c r="E145" s="84"/>
      <c r="F145" s="84"/>
      <c r="G145" s="84"/>
      <c r="H145" s="74"/>
      <c r="I145" s="24"/>
      <c r="J145" s="569"/>
      <c r="K145" s="175"/>
      <c r="L145" s="163"/>
      <c r="M145" s="291"/>
      <c r="N145" s="291"/>
      <c r="O145" s="291" t="e">
        <f>IF(D145&lt;&gt;0,D145,IF($D$21=$M$9,Navy!F90,IF($D$21=$M$10,Navy!I90,IF($D$21='Interactive Worksheet'!$M$11,Navy!L90,IF($D$21='Interactive Worksheet'!$M$12,Navy!O90,IF($D$21='Interactive Worksheet'!$M$13,Navy!R90,))))))</f>
        <v>#N/A</v>
      </c>
      <c r="P145" s="291" t="e">
        <f>IF(D145&lt;&gt;0,D145*'Components and Space Standards'!C95,IF($D$21=$M$9,Navy!H90,IF($D$21=$M$10,Navy!K90,IF($D$21='Interactive Worksheet'!$M$11,Navy!N90,IF($D$21='Interactive Worksheet'!$M$12,Navy!Q90,IF($D$21='Interactive Worksheet'!$M$13,Navy!T90,))))))</f>
        <v>#N/A</v>
      </c>
      <c r="Q145" s="291" t="e">
        <f>IF(D145&lt;&gt;0,D145,IF($D$21=$M$10,'AF'!F88,IF($D$21=$M$11,'AF'!I88,IF($D$21='Interactive Worksheet'!$M$12,'AF'!L88,))))</f>
        <v>#N/A</v>
      </c>
      <c r="R145" s="291" t="e">
        <f>IF(D145&lt;&gt;0,D145*'Components and Space Standards'!C95,IF($D$21=$M$10,'AF'!H88,IF($D$21=$M$11,'AF'!K88,IF($D$21='Interactive Worksheet'!$M$12,'AF'!N88,))))</f>
        <v>#N/A</v>
      </c>
      <c r="S145" s="291" t="e">
        <f>IF($D145&lt;&gt;0,$D145,IF($D$21=$M$9,MC!F90,IF($D$21=$M$10,MC!I90,IF($D$21='Interactive Worksheet'!$M$11,MC!L90,IF($D$21='Interactive Worksheet'!$M$12,MC!O90,IF($D$21='Interactive Worksheet'!$M$13,MC!R90,))))))</f>
        <v>#N/A</v>
      </c>
      <c r="T145" s="291" t="e">
        <f>IF($D145&lt;&gt;0,$D145*'Components and Space Standards'!C95,IF($D$21=$M$9,MC!H90,IF($D$21=$M$10,MC!K90,IF($D$21='Interactive Worksheet'!$M$11,MC!N90,IF($D$21='Interactive Worksheet'!$M$12,MC!Q90,IF($D$21='Interactive Worksheet'!$M$13,MC!T90,))))))</f>
        <v>#N/A</v>
      </c>
      <c r="U145" s="160"/>
      <c r="V145" s="477"/>
      <c r="W145" s="308"/>
    </row>
    <row r="146" spans="1:23" s="34" customFormat="1" ht="15" customHeight="1">
      <c r="A146" s="54"/>
      <c r="B146" s="268"/>
      <c r="C146" s="51"/>
      <c r="D146" s="51"/>
      <c r="E146" s="84"/>
      <c r="F146" s="84"/>
      <c r="G146" s="84"/>
      <c r="H146" s="74"/>
      <c r="I146" s="24"/>
      <c r="J146" s="569"/>
      <c r="K146" s="175"/>
      <c r="L146" s="163"/>
      <c r="M146" s="170"/>
      <c r="N146" s="170"/>
      <c r="O146" s="170"/>
      <c r="P146" s="170"/>
      <c r="Q146" s="170"/>
      <c r="R146" s="170"/>
      <c r="S146" s="170"/>
      <c r="T146" s="170"/>
      <c r="U146" s="160"/>
      <c r="V146" s="477"/>
      <c r="W146" s="308"/>
    </row>
    <row r="147" spans="1:23" s="34" customFormat="1" ht="15" customHeight="1">
      <c r="A147" s="54"/>
      <c r="B147" s="268"/>
      <c r="C147" s="389"/>
      <c r="D147" s="51"/>
      <c r="E147" s="57" t="s">
        <v>20</v>
      </c>
      <c r="F147" s="84"/>
      <c r="G147" s="98">
        <f>H147*$K$33</f>
        <v>0</v>
      </c>
      <c r="H147" s="59">
        <f>SUM(H34:H146)</f>
        <v>0</v>
      </c>
      <c r="I147" s="24"/>
      <c r="J147" s="569"/>
      <c r="K147" s="175"/>
      <c r="L147" s="163"/>
      <c r="M147" s="170"/>
      <c r="N147" s="170"/>
      <c r="O147" s="170"/>
      <c r="P147" s="170"/>
      <c r="Q147" s="170"/>
      <c r="R147" s="170"/>
      <c r="S147" s="170"/>
      <c r="T147" s="170"/>
      <c r="U147" s="160"/>
      <c r="V147" s="477"/>
      <c r="W147" s="308"/>
    </row>
    <row r="148" spans="1:23" s="34" customFormat="1" ht="15" customHeight="1">
      <c r="A148" s="54"/>
      <c r="B148" s="268"/>
      <c r="C148" s="390"/>
      <c r="D148" s="51"/>
      <c r="E148" s="84"/>
      <c r="F148" s="84"/>
      <c r="G148" s="84"/>
      <c r="H148" s="74"/>
      <c r="I148" s="24"/>
      <c r="J148" s="569"/>
      <c r="K148" s="598">
        <v>0.25</v>
      </c>
      <c r="L148" s="163"/>
      <c r="M148" s="170"/>
      <c r="N148" s="170"/>
      <c r="O148" s="170"/>
      <c r="P148" s="170"/>
      <c r="Q148" s="170"/>
      <c r="R148" s="170"/>
      <c r="S148" s="170"/>
      <c r="T148" s="170"/>
      <c r="U148" s="160"/>
      <c r="V148" s="477"/>
      <c r="W148" s="308"/>
    </row>
    <row r="149" spans="1:23" s="34" customFormat="1" ht="15" customHeight="1">
      <c r="A149" s="54"/>
      <c r="B149" s="268"/>
      <c r="C149" s="43" t="s">
        <v>376</v>
      </c>
      <c r="D149" s="279"/>
      <c r="E149" s="599" t="str">
        <f>IF(D149=0,"Net-to-Gross factor at "&amp;K150,"Net-to-Gross factor at "&amp;D149)</f>
        <v>Net-to-Gross factor at 0.27</v>
      </c>
      <c r="F149" s="84"/>
      <c r="G149" s="99">
        <f>G147*$K$149</f>
        <v>0</v>
      </c>
      <c r="H149" s="59">
        <f>IF($D$149=0,0.27*H147,H147*$D$149)</f>
        <v>0</v>
      </c>
      <c r="I149" s="24"/>
      <c r="J149" s="566">
        <f>IF(D149&lt;&gt;0,"D",)</f>
        <v>0</v>
      </c>
      <c r="K149" s="598">
        <v>0.26</v>
      </c>
      <c r="L149" s="163"/>
      <c r="M149" s="170"/>
      <c r="N149" s="170"/>
      <c r="O149" s="170"/>
      <c r="P149" s="170"/>
      <c r="Q149" s="170"/>
      <c r="R149" s="170"/>
      <c r="S149" s="170"/>
      <c r="T149" s="170"/>
      <c r="U149" s="160"/>
      <c r="V149" s="477"/>
      <c r="W149" s="589" t="s">
        <v>384</v>
      </c>
    </row>
    <row r="150" spans="1:23" s="34" customFormat="1" ht="15" customHeight="1">
      <c r="A150" s="56"/>
      <c r="B150" s="58"/>
      <c r="C150" s="600" t="s">
        <v>377</v>
      </c>
      <c r="D150" s="84"/>
      <c r="E150" s="84"/>
      <c r="F150" s="84"/>
      <c r="G150" s="84"/>
      <c r="H150" s="74"/>
      <c r="I150" s="24"/>
      <c r="J150" s="569"/>
      <c r="K150" s="598">
        <v>0.27</v>
      </c>
      <c r="L150" s="163"/>
      <c r="M150" s="170"/>
      <c r="N150" s="170"/>
      <c r="O150" s="170"/>
      <c r="P150" s="170"/>
      <c r="Q150" s="170"/>
      <c r="R150" s="170"/>
      <c r="S150" s="170"/>
      <c r="T150" s="170"/>
      <c r="U150" s="160"/>
      <c r="V150" s="477"/>
      <c r="W150" s="308"/>
    </row>
    <row r="151" spans="1:23" s="34" customFormat="1" ht="15" customHeight="1">
      <c r="A151" s="56"/>
      <c r="B151" s="58"/>
      <c r="C151" s="390"/>
      <c r="D151" s="58"/>
      <c r="E151" s="57" t="s">
        <v>12</v>
      </c>
      <c r="F151" s="58"/>
      <c r="G151" s="98">
        <f>G149+G147</f>
        <v>0</v>
      </c>
      <c r="H151" s="59">
        <f>H149+H147</f>
        <v>0</v>
      </c>
      <c r="I151" s="24"/>
      <c r="J151" s="569"/>
      <c r="K151" s="598">
        <v>0.28</v>
      </c>
      <c r="L151" s="163"/>
      <c r="M151" s="170"/>
      <c r="N151" s="170"/>
      <c r="O151" s="170"/>
      <c r="P151" s="170"/>
      <c r="Q151" s="170"/>
      <c r="R151" s="170"/>
      <c r="S151" s="170"/>
      <c r="T151" s="170"/>
      <c r="U151" s="160"/>
      <c r="V151" s="477"/>
      <c r="W151" s="308"/>
    </row>
    <row r="152" spans="1:23" s="34" customFormat="1" ht="15" customHeight="1" thickBot="1">
      <c r="A152" s="60"/>
      <c r="B152" s="61"/>
      <c r="C152" s="61"/>
      <c r="D152" s="61"/>
      <c r="E152" s="62"/>
      <c r="F152" s="61"/>
      <c r="G152" s="63"/>
      <c r="H152" s="64"/>
      <c r="I152" s="24"/>
      <c r="J152" s="569"/>
      <c r="K152" s="598">
        <v>0.29</v>
      </c>
      <c r="L152" s="163"/>
      <c r="M152" s="288"/>
      <c r="N152" s="288"/>
      <c r="O152" s="288" t="e">
        <f>IF(D152&lt;&gt;0,D152,IF($D$21=$M$9,Navy!F97,IF($D$21=$M$10,Navy!I97,IF($D$21='Interactive Worksheet'!$M$11,Navy!L97,IF($D$21='Interactive Worksheet'!$M$12,Navy!O97,IF($D$21='Interactive Worksheet'!$M$13,Navy!R97,))))))</f>
        <v>#N/A</v>
      </c>
      <c r="P152" s="288" t="e">
        <f>IF(D152&lt;&gt;0,D152*'Components and Space Standards'!C102,IF($D$21=$M$9,Navy!H97,IF($D$21=$M$10,Navy!K97,IF($D$21='Interactive Worksheet'!$M$11,Navy!N97,IF($D$21='Interactive Worksheet'!$M$12,Navy!Q97,IF($D$21='Interactive Worksheet'!$M$13,Navy!T97,))))))</f>
        <v>#N/A</v>
      </c>
      <c r="Q152" s="288" t="e">
        <f>IF(D152&lt;&gt;0,D152,IF($D$21=$M$10,'AF'!F95,IF($D$21=$M$11,'AF'!I95,IF($D$21='Interactive Worksheet'!$M$12,'AF'!L95,))))</f>
        <v>#N/A</v>
      </c>
      <c r="R152" s="288" t="e">
        <f>IF(D152&lt;&gt;0,D152*'Components and Space Standards'!C102,IF($D$21=$M$10,'AF'!H95,IF($D$21=$M$11,'AF'!K95,IF($D$21='Interactive Worksheet'!$M$12,'AF'!N95,))))</f>
        <v>#N/A</v>
      </c>
      <c r="S152" s="288" t="e">
        <f>IF($D152&lt;&gt;0,$D152,IF($D$21=$M$9,MC!F97,IF($D$21=$M$10,MC!I97,IF($D$21='Interactive Worksheet'!$M$11,MC!L97,IF($D$21='Interactive Worksheet'!$M$12,MC!O97,IF($D$21='Interactive Worksheet'!$M$13,MC!R97,))))))</f>
        <v>#N/A</v>
      </c>
      <c r="T152" s="288" t="e">
        <f>IF($D152&lt;&gt;0,$D152*'Components and Space Standards'!C102,IF($D$21=$M$9,MC!H97,IF($D$21=$M$10,MC!K97,IF($D$21='Interactive Worksheet'!$M$11,MC!N97,IF($D$21='Interactive Worksheet'!$M$12,MC!Q97,IF($D$21='Interactive Worksheet'!$M$13,MC!T97,))))))</f>
        <v>#N/A</v>
      </c>
      <c r="U152" s="160"/>
      <c r="V152" s="477"/>
      <c r="W152" s="308"/>
    </row>
    <row r="153" spans="1:22" s="34" customFormat="1" ht="24.75" customHeight="1">
      <c r="A153" s="419">
        <f>IF(OR($D$26&lt;&gt;"Yes",$D$26=0,$K$26&lt;&gt;"Yes"),,'Components and Space Standards'!A94)</f>
        <v>0</v>
      </c>
      <c r="B153" s="420"/>
      <c r="C153" s="394"/>
      <c r="D153" s="47"/>
      <c r="E153" s="67" t="s">
        <v>218</v>
      </c>
      <c r="F153" s="25"/>
      <c r="G153" s="401" t="s">
        <v>17</v>
      </c>
      <c r="H153" s="402" t="s">
        <v>18</v>
      </c>
      <c r="I153" s="33"/>
      <c r="J153" s="565"/>
      <c r="K153" s="598">
        <v>0.3</v>
      </c>
      <c r="L153" s="163"/>
      <c r="M153" s="291"/>
      <c r="N153" s="291"/>
      <c r="O153" s="291" t="e">
        <f>IF(D153&lt;&gt;0,D153,IF($D$21=$M$9,Navy!F98,IF($D$21=$M$10,Navy!I98,IF($D$21='Interactive Worksheet'!$M$11,Navy!L98,IF($D$21='Interactive Worksheet'!$M$12,Navy!O98,IF($D$21='Interactive Worksheet'!$M$13,Navy!R98,))))))</f>
        <v>#N/A</v>
      </c>
      <c r="P153" s="291" t="e">
        <f>IF(D153&lt;&gt;0,D153*'Components and Space Standards'!C103,IF($D$21=$M$9,Navy!H98,IF($D$21=$M$10,Navy!K98,IF($D$21='Interactive Worksheet'!$M$11,Navy!N98,IF($D$21='Interactive Worksheet'!$M$12,Navy!Q98,IF($D$21='Interactive Worksheet'!$M$13,Navy!T98,))))))</f>
        <v>#N/A</v>
      </c>
      <c r="Q153" s="291" t="e">
        <f>IF(D153&lt;&gt;0,D153,IF($D$21=$M$10,'AF'!F96,IF($D$21=$M$11,'AF'!I96,IF($D$21='Interactive Worksheet'!$M$12,'AF'!L96,))))</f>
        <v>#N/A</v>
      </c>
      <c r="R153" s="291" t="e">
        <f>IF(D153&lt;&gt;0,D153*'Components and Space Standards'!C103,IF($D$21=$M$10,'AF'!H96,IF($D$21=$M$11,'AF'!K96,IF($D$21='Interactive Worksheet'!$M$12,'AF'!N96,))))</f>
        <v>#N/A</v>
      </c>
      <c r="S153" s="291" t="e">
        <f>IF($D153&lt;&gt;0,$D153,IF($D$21=$M$9,MC!F98,IF($D$21=$M$10,MC!I98,IF($D$21='Interactive Worksheet'!$M$11,MC!L98,IF($D$21='Interactive Worksheet'!$M$12,MC!O98,IF($D$21='Interactive Worksheet'!$M$13,MC!R98,))))))</f>
        <v>#N/A</v>
      </c>
      <c r="T153" s="291" t="e">
        <f>IF($D153&lt;&gt;0,$D153*'Components and Space Standards'!C103,IF($D$21=$M$9,MC!H98,IF($D$21=$M$10,MC!K98,IF($D$21='Interactive Worksheet'!$M$11,MC!N98,IF($D$21='Interactive Worksheet'!$M$12,MC!Q98,IF($D$21='Interactive Worksheet'!$M$13,MC!T98,))))))</f>
        <v>#N/A</v>
      </c>
      <c r="U153" s="160"/>
      <c r="V153" s="477"/>
    </row>
    <row r="154" spans="1:23" s="34" customFormat="1" ht="15" customHeight="1">
      <c r="A154" s="246">
        <f>IF(OR($D$26&lt;&gt;"Yes",$D$26=0,$K$26&lt;&gt;"Yes"),,'Components and Space Standards'!A95)</f>
        <v>0</v>
      </c>
      <c r="B154" s="25"/>
      <c r="C154" s="65"/>
      <c r="D154" s="55"/>
      <c r="E154" s="252">
        <f>IF(OR($D$26&lt;&gt;"Yes",$D$26=0,$K$26&lt;&gt;"Yes"),,IF($D$5=$K$5,$M154&amp;" "&amp;'Components and Space Standards'!$D95&amp;".",IF($D$5=$K$6,$O154&amp;" "&amp;'Components and Space Standards'!$D95&amp;".",IF($D$5=$K$7,$Q154&amp;" "&amp;'Components and Space Standards'!$D95&amp;".",IF($D$5=$K$8,$S154&amp;" "&amp;'Components and Space Standards'!$D95&amp;".",)))))</f>
        <v>0</v>
      </c>
      <c r="F154" s="52"/>
      <c r="G154" s="250">
        <f aca="true" t="shared" si="10" ref="G154:G159">ROUND(H154*$K$33,2)</f>
        <v>0</v>
      </c>
      <c r="H154" s="45">
        <f aca="true" t="shared" si="11" ref="H154:H159">IF(OR($D$26&lt;&gt;"Yes",$D$26=0,$K$26&lt;&gt;"Yes"),,IF($D$5=$K$5,N154,IF($D$5=$K$6,P154,IF($D$5=$K$7,R154,IF($D$5=$K$8,T154,)))))</f>
        <v>0</v>
      </c>
      <c r="I154" s="33"/>
      <c r="J154" s="565"/>
      <c r="K154" s="175"/>
      <c r="L154" s="163"/>
      <c r="M154" s="510" t="e">
        <f>IF($D154&lt;&gt;0,$D154,IF($D$21=$M$9,Army!$F89,IF($D$21=$M$10,Army!$I89,IF($D$21='Interactive Worksheet'!$M$11,Army!$L89,IF($D$21='Interactive Worksheet'!$M$12,Army!$O89,IF($D$21='Interactive Worksheet'!$M$13,IF($M$17=0,Army!$R89,($M$17*Army!U89)+Army!R89)))))))</f>
        <v>#N/A</v>
      </c>
      <c r="N154" s="510" t="e">
        <f>IF($D154&lt;&gt;0,$D154*'Components and Space Standards'!$C95,IF($D$21=$M$9,Army!$H89,IF($D$21=$M$10,Army!$K89,IF($D$21='Interactive Worksheet'!$M$11,Army!$N89,IF($D$21='Interactive Worksheet'!$M$12,Army!$Q89,IF($D$21='Interactive Worksheet'!$M$13,IF($M$17=0,Army!$T89,($M$17*Army!W89)+Army!T89)))))))</f>
        <v>#N/A</v>
      </c>
      <c r="O154" s="517" t="e">
        <f>IF(D154&lt;&gt;0,D154,IF($D$21=$M$9,Navy!F90,IF($D$21=$M$10,Navy!I90,IF($D$21='Interactive Worksheet'!$M$11,Navy!L90,IF($D$21='Interactive Worksheet'!$M$12,Navy!O90,IF($D$21='Interactive Worksheet'!$M$13,Navy!R90,IF($O$18&gt;0,Navy!U90,)))))))</f>
        <v>#N/A</v>
      </c>
      <c r="P154" s="517" t="e">
        <f>IF(D154&lt;&gt;0,D154*'Components and Space Standards'!C95,IF($D$21=$M$9,Navy!H90,IF($D$21=$M$10,Navy!K90,IF($D$21='Interactive Worksheet'!$M$11,Navy!N90,IF($D$21='Interactive Worksheet'!$M$12,Navy!Q90,IF($D$21='Interactive Worksheet'!$M$13,Navy!T90,IF($O$18&gt;0,Navy!W90,)))))))</f>
        <v>#N/A</v>
      </c>
      <c r="Q154" s="281"/>
      <c r="R154" s="281"/>
      <c r="S154" s="520" t="e">
        <f>IF($D154&lt;&gt;0,$D154,IF($D$21=$M$9,MC!F90,IF($D$21=$M$10,MC!I90,IF($D$21='Interactive Worksheet'!$M$11,MC!L90,IF($D$21='Interactive Worksheet'!$M$12,MC!O90,IF($D$21='Interactive Worksheet'!$M$13,MC!R90,))))))</f>
        <v>#N/A</v>
      </c>
      <c r="T154" s="520" t="e">
        <f>IF($D154&lt;&gt;0,$D154*'Components and Space Standards'!C95,IF($D$21=$M$9,MC!H90,IF($D$21=$M$10,MC!K90,IF($D$21='Interactive Worksheet'!$M$11,MC!N90,IF($D$21='Interactive Worksheet'!$M$12,MC!Q90,IF($D$21='Interactive Worksheet'!$M$13,MC!T90,))))))</f>
        <v>#N/A</v>
      </c>
      <c r="U154" s="160"/>
      <c r="V154" s="477"/>
      <c r="W154" s="682"/>
    </row>
    <row r="155" spans="1:23" s="34" customFormat="1" ht="15" customHeight="1">
      <c r="A155" s="246">
        <f>IF(OR($D$26&lt;&gt;"Yes",$D$26=0,$K$26&lt;&gt;"Yes"),,'Components and Space Standards'!A96)</f>
        <v>0</v>
      </c>
      <c r="B155" s="25"/>
      <c r="C155" s="252">
        <f>IF(OR($D$26&lt;&gt;"Yes",$D$26=0,$K$26&lt;&gt;"Yes"),,"For this option, select yes or no:")</f>
        <v>0</v>
      </c>
      <c r="D155" s="278"/>
      <c r="E155" s="252">
        <f>IF(OR($D$26&lt;&gt;"Yes",$D$26=0,$K$26&lt;&gt;"Yes"),,IF($D$5=$K$5,$M155&amp;" "&amp;'Components and Space Standards'!$D96&amp;".",IF($D$5=$K$6,$O155&amp;" "&amp;'Components and Space Standards'!$D96&amp;".",IF($D$5=$K$7,$Q155&amp;" "&amp;'Components and Space Standards'!$D96&amp;".",IF($D$5=$K$8,$S155&amp;" "&amp;'Components and Space Standards'!$D96&amp;".",)))))</f>
        <v>0</v>
      </c>
      <c r="F155" s="52"/>
      <c r="G155" s="250">
        <f t="shared" si="10"/>
        <v>0</v>
      </c>
      <c r="H155" s="45">
        <f t="shared" si="11"/>
        <v>0</v>
      </c>
      <c r="I155" s="33"/>
      <c r="J155" s="566">
        <f>IF(D155&lt;&gt;0,"D",)</f>
        <v>0</v>
      </c>
      <c r="K155" s="175" t="s">
        <v>339</v>
      </c>
      <c r="L155" s="163"/>
      <c r="M155" s="281" t="e">
        <f>IF($D$21=$M$9,Army!$F90,IF($D$21=$M$10,Army!$I90,IF($D$21='Interactive Worksheet'!$M$11,Army!$L90,IF($D$21='Interactive Worksheet'!$M$12,Army!$O90,IF($D$21='Interactive Worksheet'!$M$13,IF($M$17=0,Army!$R90,($M$17*Army!U90)+Army!R90))))))</f>
        <v>#N/A</v>
      </c>
      <c r="N155" s="281" t="e">
        <f>IF($D$21=$M$9,Army!$H90,IF($D$21=$M$10,Army!$K90,IF($D$21='Interactive Worksheet'!$M$11,Army!$N90,IF($D$21='Interactive Worksheet'!$M$12,Army!$Q90,IF($D$21='Interactive Worksheet'!$M$13,IF($M$17=0,Army!$T90,($M$17*Army!W90)+Army!T90))))))</f>
        <v>#N/A</v>
      </c>
      <c r="O155" s="281" t="e">
        <f>IF($D$21=$M$9,Navy!F91,IF($D$21=$M$10,Navy!I91,IF($D$21='Interactive Worksheet'!$M$11,Navy!L91,IF($D$21='Interactive Worksheet'!$M$12,Navy!O91,IF($D$21='Interactive Worksheet'!$M$13,Navy!R91,IF($O$18&gt;0,Navy!U91,))))))</f>
        <v>#N/A</v>
      </c>
      <c r="P155" s="281" t="e">
        <f>IF($D$21=$M$9,Navy!H91,IF($D$21=$M$10,Navy!K91,IF($D$21='Interactive Worksheet'!$M$11,Navy!N91,IF($D$21='Interactive Worksheet'!$M$12,Navy!Q91,IF($D$21='Interactive Worksheet'!$M$13,Navy!T91,IF($O$18&gt;0,Navy!W91,))))))</f>
        <v>#N/A</v>
      </c>
      <c r="Q155" s="281"/>
      <c r="R155" s="281"/>
      <c r="S155" s="281">
        <f>IF($D155="Yes",1,)</f>
        <v>0</v>
      </c>
      <c r="T155" s="281" t="e">
        <f>IF($D155="Yes",1*'Components and Space Standards'!C96,IF($D$21=$M$9,MC!H100,IF($D$21=$M$10,MC!K100,IF($D$21='Interactive Worksheet'!$M$11,MC!N100,IF($D$21='Interactive Worksheet'!$M$12,MC!Q100,IF($D$21='Interactive Worksheet'!$M$13,MC!T100,))))))</f>
        <v>#N/A</v>
      </c>
      <c r="U155" s="160"/>
      <c r="V155" s="477"/>
      <c r="W155" s="682"/>
    </row>
    <row r="156" spans="1:21" ht="15" customHeight="1">
      <c r="A156" s="246">
        <f>IF(OR($D$26&lt;&gt;"Yes",$D$26=0,$K$26&lt;&gt;"Yes"),,'Components and Space Standards'!A97)</f>
        <v>0</v>
      </c>
      <c r="B156" s="58"/>
      <c r="C156" s="65"/>
      <c r="D156" s="55"/>
      <c r="E156" s="252">
        <f>IF(OR($D$26&lt;&gt;"Yes",$D$26=0,$K$26&lt;&gt;"Yes"),,IF($D$5=$K$5,$M156&amp;" "&amp;'Components and Space Standards'!$D97&amp;".",IF($D$5=$K$6,$O156&amp;" "&amp;'Components and Space Standards'!$D97&amp;".",IF($D$5=$K$7,$Q156&amp;" "&amp;'Components and Space Standards'!$D97&amp;".",IF($D$5=$K$8,$S156&amp;" "&amp;'Components and Space Standards'!$D97&amp;".",)))))</f>
        <v>0</v>
      </c>
      <c r="F156" s="52"/>
      <c r="G156" s="250">
        <f t="shared" si="10"/>
        <v>0</v>
      </c>
      <c r="H156" s="45">
        <f t="shared" si="11"/>
        <v>0</v>
      </c>
      <c r="K156" s="175"/>
      <c r="M156" s="510" t="e">
        <f>IF($D156&lt;&gt;0,$D156,IF($D$21=$M$9,Army!$F91,IF($D$21=$M$10,Army!$I91,IF($D$21='Interactive Worksheet'!$M$11,Army!$L91,IF($D$21='Interactive Worksheet'!$M$12,Army!$O91,IF($D$21='Interactive Worksheet'!$M$13,IF($M$17=0,Army!$R91,($M$17*Army!U91)+Army!R91)))))))</f>
        <v>#N/A</v>
      </c>
      <c r="N156" s="510" t="e">
        <f>IF($D156&lt;&gt;0,$D156*'Components and Space Standards'!$C97,IF($D$21=$M$9,Army!$H91,IF($D$21=$M$10,Army!$K91,IF($D$21='Interactive Worksheet'!$M$11,Army!$N91,IF($D$21='Interactive Worksheet'!$M$12,Army!$Q91,IF($D$21='Interactive Worksheet'!$M$13,IF($M$17=0,Army!$T91,($M$17*Army!W91)+Army!T91)))))))</f>
        <v>#N/A</v>
      </c>
      <c r="O156" s="517" t="e">
        <f>IF(D156&lt;&gt;0,D156,IF($D$21=$M$9,Navy!F92,IF($D$21=$M$10,Navy!I92,IF($D$21='Interactive Worksheet'!$M$11,Navy!L92,IF($D$21='Interactive Worksheet'!$M$12,Navy!O92,IF($D$21='Interactive Worksheet'!$M$13,Navy!R92,IF($O$18&gt;0,Navy!U92,)))))))</f>
        <v>#N/A</v>
      </c>
      <c r="P156" s="517" t="e">
        <f>IF(D156&lt;&gt;0,D156*'Components and Space Standards'!C97,IF($D$21=$M$9,Navy!H92,IF($D$21=$M$10,Navy!K92,IF($D$21='Interactive Worksheet'!$M$11,Navy!N92,IF($D$21='Interactive Worksheet'!$M$12,Navy!Q92,IF($D$21='Interactive Worksheet'!$M$13,Navy!T92,IF($O$18&gt;0,Navy!W92,)))))))</f>
        <v>#N/A</v>
      </c>
      <c r="Q156" s="281"/>
      <c r="R156" s="281"/>
      <c r="S156" s="520" t="e">
        <f>IF($D156&lt;&gt;0,$D156,IF($D$21=$M$9,MC!F92,IF($D$21=$M$10,MC!I92,IF($D$21='Interactive Worksheet'!$M$11,MC!L92,IF($D$21='Interactive Worksheet'!$M$12,MC!O92,IF($D$21='Interactive Worksheet'!$M$13,MC!R92,))))))</f>
        <v>#N/A</v>
      </c>
      <c r="T156" s="520" t="e">
        <f>IF($D156&lt;&gt;0,$D156*'Components and Space Standards'!C97,IF($D$21=$M$9,MC!H92,IF($D$21=$M$10,MC!K92,IF($D$21='Interactive Worksheet'!$M$11,MC!N92,IF($D$21='Interactive Worksheet'!$M$12,MC!Q92,IF($D$21='Interactive Worksheet'!$M$13,MC!T92,))))))</f>
        <v>#N/A</v>
      </c>
      <c r="U156" s="160"/>
    </row>
    <row r="157" spans="1:21" ht="15" customHeight="1">
      <c r="A157" s="246">
        <f>IF(OR($D$26&lt;&gt;"Yes",$D$26=0,$K$26&lt;&gt;"Yes"),,'Components and Space Standards'!A98)</f>
        <v>0</v>
      </c>
      <c r="B157" s="58"/>
      <c r="C157" s="65"/>
      <c r="D157" s="55"/>
      <c r="E157" s="252">
        <f>IF(OR($D$26&lt;&gt;"Yes",$D$26=0,$K$26&lt;&gt;"Yes"),,IF($D$5=$K$5,$M157&amp;" "&amp;'Components and Space Standards'!$D98&amp;".",IF($D$5=$K$6,$O157&amp;" "&amp;'Components and Space Standards'!$D98&amp;".",IF($D$5=$K$7,$Q157&amp;" "&amp;'Components and Space Standards'!$D98&amp;".",IF($D$5=$K$8,$S157&amp;" "&amp;'Components and Space Standards'!$D98&amp;".",)))))</f>
        <v>0</v>
      </c>
      <c r="F157" s="52"/>
      <c r="G157" s="250">
        <f t="shared" si="10"/>
        <v>0</v>
      </c>
      <c r="H157" s="45">
        <f t="shared" si="11"/>
        <v>0</v>
      </c>
      <c r="K157" s="175"/>
      <c r="M157" s="510" t="e">
        <f>IF($D157&lt;&gt;0,$D157,IF($D$21=$M$9,Army!$F92,IF($D$21=$M$10,Army!$I92,IF($D$21='Interactive Worksheet'!$M$11,Army!$L92,IF($D$21='Interactive Worksheet'!$M$12,Army!$O92,IF($D$21='Interactive Worksheet'!$M$13,IF($M$17=0,Army!$R92,($M$17*Army!U92)+Army!R92)))))))</f>
        <v>#N/A</v>
      </c>
      <c r="N157" s="510" t="e">
        <f>IF($D157&lt;&gt;0,$D157*'Components and Space Standards'!$C98,IF($D$21=$M$9,Army!$H92,IF($D$21=$M$10,Army!$K92,IF($D$21='Interactive Worksheet'!$M$11,Army!$N92,IF($D$21='Interactive Worksheet'!$M$12,Army!$Q92,IF($D$21='Interactive Worksheet'!$M$13,IF($M$17=0,Army!$T92,($M$17*Army!W92)+Army!T92)))))))</f>
        <v>#N/A</v>
      </c>
      <c r="O157" s="517" t="e">
        <f>IF(D157&lt;&gt;0,D157,IF($D$21=$M$9,Navy!F93,IF($D$21=$M$10,Navy!I93,IF($D$21='Interactive Worksheet'!$M$11,Navy!L93,IF($D$21='Interactive Worksheet'!$M$12,Navy!O93,IF($D$21='Interactive Worksheet'!$M$13,Navy!R93,IF($O$18&gt;0,Navy!U93,)))))))</f>
        <v>#N/A</v>
      </c>
      <c r="P157" s="517" t="e">
        <f>IF(D157&lt;&gt;0,D157*'Components and Space Standards'!C98,IF($D$21=$M$9,Navy!H93,IF($D$21=$M$10,Navy!K93,IF($D$21='Interactive Worksheet'!$M$11,Navy!N93,IF($D$21='Interactive Worksheet'!$M$12,Navy!Q93,IF($D$21='Interactive Worksheet'!$M$13,Navy!T93,IF($O$18&gt;0,Navy!W93,)))))))</f>
        <v>#N/A</v>
      </c>
      <c r="Q157" s="281"/>
      <c r="R157" s="281"/>
      <c r="S157" s="520" t="e">
        <f>IF($D157&lt;&gt;0,$D157,IF($D$21=$M$9,MC!F93,IF($D$21=$M$10,MC!I93,IF($D$21='Interactive Worksheet'!$M$11,MC!L93,IF($D$21='Interactive Worksheet'!$M$12,MC!O93,IF($D$21='Interactive Worksheet'!$M$13,MC!R93,))))))</f>
        <v>#N/A</v>
      </c>
      <c r="T157" s="520" t="e">
        <f>IF($D157&lt;&gt;0,$D157*'Components and Space Standards'!C98,IF($D$21=$M$9,MC!H93,IF($D$21=$M$10,MC!K93,IF($D$21='Interactive Worksheet'!$M$11,MC!N93,IF($D$21='Interactive Worksheet'!$M$12,MC!Q93,IF($D$21='Interactive Worksheet'!$M$13,MC!T93,))))))</f>
        <v>#N/A</v>
      </c>
      <c r="U157" s="160"/>
    </row>
    <row r="158" spans="1:21" ht="15" customHeight="1">
      <c r="A158" s="246">
        <f>IF(OR($D$26&lt;&gt;"Yes",$D$26=0,$K$26&lt;&gt;"Yes"),,'Components and Space Standards'!A99)</f>
        <v>0</v>
      </c>
      <c r="B158" s="268"/>
      <c r="C158" s="65"/>
      <c r="D158" s="55"/>
      <c r="E158" s="252">
        <f>IF(OR($D$26&lt;&gt;"Yes",$D$26=0,$K$26&lt;&gt;"Yes"),,IF($D$5=$K$5,$M158&amp;" "&amp;'Components and Space Standards'!$D99&amp;".",IF($D$5=$K$6,$O158&amp;" "&amp;'Components and Space Standards'!$D99&amp;".",IF($D$5=$K$7,$Q158&amp;" "&amp;'Components and Space Standards'!$D99&amp;".",IF($D$5=$K$8,$S158&amp;" "&amp;'Components and Space Standards'!$D99&amp;".",)))))</f>
        <v>0</v>
      </c>
      <c r="F158" s="52"/>
      <c r="G158" s="250">
        <f t="shared" si="10"/>
        <v>0</v>
      </c>
      <c r="H158" s="45">
        <f t="shared" si="11"/>
        <v>0</v>
      </c>
      <c r="K158" s="175"/>
      <c r="M158" s="510" t="e">
        <f>IF($D158&lt;&gt;0,$D158,IF($D$21=$M$9,Army!$F93,IF($D$21=$M$10,Army!$I93,IF($D$21='Interactive Worksheet'!$M$11,Army!$L93,IF($D$21='Interactive Worksheet'!$M$12,Army!$O93,IF($D$21='Interactive Worksheet'!$M$13,IF($M$17=0,Army!$R93,($M$17*Army!U93)+Army!R93)))))))</f>
        <v>#N/A</v>
      </c>
      <c r="N158" s="510" t="e">
        <f>IF($D158&lt;&gt;0,$D158*'Components and Space Standards'!$C99,IF($D$21=$M$9,Army!$H93,IF($D$21=$M$10,Army!$K93,IF($D$21='Interactive Worksheet'!$M$11,Army!$N93,IF($D$21='Interactive Worksheet'!$M$12,Army!$Q93,IF($D$21='Interactive Worksheet'!$M$13,IF($M$17=0,Army!$T93,($M$17*Army!W93)+Army!T93)))))))</f>
        <v>#N/A</v>
      </c>
      <c r="O158" s="517" t="e">
        <f>IF(D158&lt;&gt;0,D158,IF($D$21=$M$9,Navy!F94,IF($D$21=$M$10,Navy!I94,IF($D$21='Interactive Worksheet'!$M$11,Navy!L94,IF($D$21='Interactive Worksheet'!$M$12,Navy!O94,IF($D$21='Interactive Worksheet'!$M$13,Navy!R94,IF($O$18&gt;0,Navy!U94,)))))))</f>
        <v>#N/A</v>
      </c>
      <c r="P158" s="517" t="e">
        <f>IF(D158&lt;&gt;0,D158*'Components and Space Standards'!C99,IF($D$21=$M$9,Navy!H94,IF($D$21=$M$10,Navy!K94,IF($D$21='Interactive Worksheet'!$M$11,Navy!N94,IF($D$21='Interactive Worksheet'!$M$12,Navy!Q94,IF($D$21='Interactive Worksheet'!$M$13,Navy!T94,IF($O$18&gt;0,Navy!W94,)))))))</f>
        <v>#N/A</v>
      </c>
      <c r="Q158" s="281"/>
      <c r="R158" s="281"/>
      <c r="S158" s="520" t="e">
        <f>IF($D158&lt;&gt;0,$D158,IF($D$21=$M$9,MC!F94,IF($D$21=$M$10,MC!I94,IF($D$21='Interactive Worksheet'!$M$11,MC!L94,IF($D$21='Interactive Worksheet'!$M$12,MC!O94,IF($D$21='Interactive Worksheet'!$M$13,MC!R94,))))))</f>
        <v>#N/A</v>
      </c>
      <c r="T158" s="520" t="e">
        <f>IF($D158&lt;&gt;0,$D158*'Components and Space Standards'!C99,IF($D$21=$M$9,MC!H94,IF($D$21=$M$10,MC!K94,IF($D$21='Interactive Worksheet'!$M$11,MC!N94,IF($D$21='Interactive Worksheet'!$M$12,MC!Q94,IF($D$21='Interactive Worksheet'!$M$13,MC!T94,))))))</f>
        <v>#N/A</v>
      </c>
      <c r="U158" s="160"/>
    </row>
    <row r="159" spans="1:21" ht="15" customHeight="1">
      <c r="A159" s="246">
        <f>IF(OR($D$26&lt;&gt;"Yes",$D$26=0,$K$26&lt;&gt;"Yes"),,'Components and Space Standards'!A100)</f>
        <v>0</v>
      </c>
      <c r="B159" s="58"/>
      <c r="C159" s="252">
        <f>IF(OR($D$26&lt;&gt;"Yes",$D$26=0,$K$26&lt;&gt;"Yes"),,"For this option, select yes or no:")</f>
        <v>0</v>
      </c>
      <c r="D159" s="278"/>
      <c r="E159" s="252">
        <f>IF(OR($D$26&lt;&gt;"Yes",$D$26=0,$K$26&lt;&gt;"Yes"),,IF($D$5=$K$5,$M159&amp;" "&amp;'Components and Space Standards'!$D100&amp;".",IF($D$5=$K$6,$O159&amp;" "&amp;'Components and Space Standards'!$D100&amp;".",IF($D$5=$K$7,$Q159&amp;" "&amp;'Components and Space Standards'!$D100&amp;".",IF($D$5=$K$8,$S159&amp;" "&amp;'Components and Space Standards'!$D100&amp;".",)))))</f>
        <v>0</v>
      </c>
      <c r="F159" s="52"/>
      <c r="G159" s="250">
        <f t="shared" si="10"/>
        <v>0</v>
      </c>
      <c r="H159" s="45">
        <f t="shared" si="11"/>
        <v>0</v>
      </c>
      <c r="J159" s="566">
        <f>IF(D159&lt;&gt;0,"D",)</f>
        <v>0</v>
      </c>
      <c r="K159" s="175"/>
      <c r="M159" s="281" t="e">
        <f>IF($D$21=$M$9,Army!$F94,IF($D$21=$M$10,Army!$I94,IF($D$21='Interactive Worksheet'!$M$11,Army!$L94,IF($D$21='Interactive Worksheet'!$M$12,Army!$O94,IF($D$21='Interactive Worksheet'!$M$13,IF($M$17=0,Army!$R94,($M$17*Army!U94)+Army!R94))))))</f>
        <v>#N/A</v>
      </c>
      <c r="N159" s="281" t="e">
        <f>IF($D$21=$M$9,Army!$H94,IF($D$21=$M$10,Army!$K94,IF($D$21='Interactive Worksheet'!$M$11,Army!$N94,IF($D$21='Interactive Worksheet'!$M$12,Army!$Q94,IF($D$21='Interactive Worksheet'!$M$13,IF($M$17=0,Army!$T94,($M$17*Army!W94)+Army!T94))))))</f>
        <v>#N/A</v>
      </c>
      <c r="O159" s="281" t="e">
        <f>IF($D$21=$M$9,Navy!F95,IF($D$21=$M$10,Navy!I95,IF($D$21='Interactive Worksheet'!$M$11,Navy!L95,IF($D$21='Interactive Worksheet'!$M$12,Navy!O95,IF($D$21='Interactive Worksheet'!$M$13,Navy!R95,IF($O$18&gt;0,Navy!U95,))))))</f>
        <v>#N/A</v>
      </c>
      <c r="P159" s="281" t="e">
        <f>IF($D$21=$M$9,Navy!H95,IF($D$21=$M$10,Navy!K95,IF($D$21='Interactive Worksheet'!$M$11,Navy!N95,IF($D$21='Interactive Worksheet'!$M$12,Navy!Q95,IF($D$21='Interactive Worksheet'!$M$13,Navy!T95,IF($O$18&gt;0,Navy!W95,))))))</f>
        <v>#N/A</v>
      </c>
      <c r="Q159" s="281"/>
      <c r="R159" s="281"/>
      <c r="S159" s="281">
        <f>IF($D159="Yes",20,)</f>
        <v>0</v>
      </c>
      <c r="T159" s="281" t="e">
        <f>IF($D159="Yes",20*'Components and Space Standards'!C100,IF($D$21=$M$9,MC!H104,IF($D$21=$M$10,MC!K104,IF($D$21='Interactive Worksheet'!$M$11,MC!N104,IF($D$21='Interactive Worksheet'!$M$12,MC!Q104,IF($D$21='Interactive Worksheet'!$M$13,MC!T104,))))))</f>
        <v>#N/A</v>
      </c>
      <c r="U159" s="438"/>
    </row>
    <row r="160" spans="1:23" ht="15" customHeight="1">
      <c r="A160" s="46"/>
      <c r="B160" s="42"/>
      <c r="C160" s="42"/>
      <c r="D160" s="47"/>
      <c r="E160" s="44"/>
      <c r="F160" s="25"/>
      <c r="G160" s="25"/>
      <c r="H160" s="39"/>
      <c r="K160" s="157"/>
      <c r="M160" s="288"/>
      <c r="N160" s="288"/>
      <c r="O160" s="288"/>
      <c r="P160" s="288"/>
      <c r="Q160" s="288"/>
      <c r="R160" s="288"/>
      <c r="S160" s="288"/>
      <c r="T160" s="288"/>
      <c r="U160" s="163"/>
      <c r="V160" s="492"/>
      <c r="W160" s="66"/>
    </row>
    <row r="161" spans="1:21" ht="15" customHeight="1">
      <c r="A161" s="56"/>
      <c r="B161" s="58"/>
      <c r="C161" s="58"/>
      <c r="D161" s="58"/>
      <c r="E161" s="57" t="s">
        <v>13</v>
      </c>
      <c r="F161" s="58"/>
      <c r="G161" s="99">
        <f>SUM(G154:G159)</f>
        <v>0</v>
      </c>
      <c r="H161" s="59">
        <f>SUM(H154:H159)</f>
        <v>0</v>
      </c>
      <c r="K161" s="157"/>
      <c r="M161" s="159"/>
      <c r="N161" s="159"/>
      <c r="O161" s="159"/>
      <c r="P161" s="159"/>
      <c r="Q161" s="159"/>
      <c r="R161" s="159"/>
      <c r="S161" s="159"/>
      <c r="T161" s="159"/>
      <c r="U161" s="160"/>
    </row>
    <row r="162" spans="1:21" ht="15" customHeight="1" thickBot="1">
      <c r="A162" s="60"/>
      <c r="B162" s="61"/>
      <c r="C162" s="61"/>
      <c r="D162" s="61"/>
      <c r="E162" s="62"/>
      <c r="F162" s="61"/>
      <c r="G162" s="421"/>
      <c r="H162" s="422"/>
      <c r="K162" s="157"/>
      <c r="M162" s="156"/>
      <c r="N162" s="156"/>
      <c r="O162" s="156"/>
      <c r="P162" s="156"/>
      <c r="Q162" s="156"/>
      <c r="R162" s="156"/>
      <c r="S162" s="156"/>
      <c r="T162" s="156"/>
      <c r="U162" s="163"/>
    </row>
    <row r="163" spans="1:21" ht="15" customHeight="1">
      <c r="A163" s="56"/>
      <c r="B163" s="58"/>
      <c r="C163" s="58"/>
      <c r="D163" s="58"/>
      <c r="E163" s="57"/>
      <c r="F163" s="58"/>
      <c r="G163" s="68"/>
      <c r="H163" s="69"/>
      <c r="K163" s="157"/>
      <c r="M163" s="156"/>
      <c r="N163" s="156"/>
      <c r="O163" s="156"/>
      <c r="P163" s="156"/>
      <c r="Q163" s="156"/>
      <c r="R163" s="156"/>
      <c r="S163" s="156"/>
      <c r="T163" s="156"/>
      <c r="U163" s="163"/>
    </row>
    <row r="164" spans="1:21" ht="15" customHeight="1">
      <c r="A164" s="56"/>
      <c r="B164" s="58"/>
      <c r="C164" s="58"/>
      <c r="D164" s="58"/>
      <c r="E164" s="57" t="s">
        <v>14</v>
      </c>
      <c r="F164" s="58"/>
      <c r="G164" s="100">
        <f>G161+G151</f>
        <v>0</v>
      </c>
      <c r="H164" s="59">
        <f>H161+H151</f>
        <v>0</v>
      </c>
      <c r="K164" s="157"/>
      <c r="M164" s="156"/>
      <c r="N164" s="156"/>
      <c r="O164" s="156"/>
      <c r="P164" s="156"/>
      <c r="Q164" s="156"/>
      <c r="R164" s="156"/>
      <c r="S164" s="156"/>
      <c r="T164" s="156"/>
      <c r="U164" s="163"/>
    </row>
    <row r="165" spans="1:21" ht="15" customHeight="1" thickBot="1">
      <c r="A165" s="60"/>
      <c r="B165" s="61"/>
      <c r="C165" s="61"/>
      <c r="D165" s="61"/>
      <c r="E165" s="61"/>
      <c r="F165" s="61"/>
      <c r="G165" s="61"/>
      <c r="H165" s="70"/>
      <c r="K165" s="157"/>
      <c r="M165" s="156"/>
      <c r="N165" s="156"/>
      <c r="O165" s="156"/>
      <c r="P165" s="156"/>
      <c r="Q165" s="156"/>
      <c r="R165" s="156"/>
      <c r="S165" s="156"/>
      <c r="T165" s="156"/>
      <c r="U165" s="163"/>
    </row>
    <row r="166" spans="13:21" ht="12.75">
      <c r="M166" s="156"/>
      <c r="N166" s="156"/>
      <c r="O166" s="156"/>
      <c r="P166" s="156"/>
      <c r="Q166" s="156"/>
      <c r="R166" s="156"/>
      <c r="S166" s="156"/>
      <c r="T166" s="156"/>
      <c r="U166" s="163"/>
    </row>
    <row r="167" spans="13:21" ht="12.75">
      <c r="M167" s="156"/>
      <c r="N167" s="156"/>
      <c r="O167" s="156"/>
      <c r="P167" s="156"/>
      <c r="Q167" s="156"/>
      <c r="R167" s="156"/>
      <c r="S167" s="156"/>
      <c r="T167" s="156"/>
      <c r="U167" s="163"/>
    </row>
  </sheetData>
  <sheetProtection/>
  <mergeCells count="38">
    <mergeCell ref="B16:C16"/>
    <mergeCell ref="E17:H17"/>
    <mergeCell ref="A18:H19"/>
    <mergeCell ref="A30:H32"/>
    <mergeCell ref="M107:T107"/>
    <mergeCell ref="A44:D47"/>
    <mergeCell ref="E43:E45"/>
    <mergeCell ref="E26:H28"/>
    <mergeCell ref="Q20:R26"/>
    <mergeCell ref="B9:C13"/>
    <mergeCell ref="O20:P26"/>
    <mergeCell ref="W154:W155"/>
    <mergeCell ref="F131:H131"/>
    <mergeCell ref="A135:D137"/>
    <mergeCell ref="A71:D73"/>
    <mergeCell ref="A105:D107"/>
    <mergeCell ref="A128:D130"/>
    <mergeCell ref="M126:T126"/>
    <mergeCell ref="W118:Z118"/>
    <mergeCell ref="A1:B2"/>
    <mergeCell ref="M15:N16"/>
    <mergeCell ref="O15:P16"/>
    <mergeCell ref="Q15:R16"/>
    <mergeCell ref="C1:D2"/>
    <mergeCell ref="M70:U70"/>
    <mergeCell ref="S15:T16"/>
    <mergeCell ref="K42:T42"/>
    <mergeCell ref="M20:N26"/>
    <mergeCell ref="A3:H3"/>
    <mergeCell ref="E1:H2"/>
    <mergeCell ref="U15:U16"/>
    <mergeCell ref="W3:W4"/>
    <mergeCell ref="W41:W42"/>
    <mergeCell ref="W104:W106"/>
    <mergeCell ref="W134:W135"/>
    <mergeCell ref="S20:T26"/>
    <mergeCell ref="M3:U3"/>
    <mergeCell ref="D8:H8"/>
  </mergeCells>
  <conditionalFormatting sqref="A30">
    <cfRule type="expression" priority="19" dxfId="55" stopIfTrue="1">
      <formula>IF(OR(D26&lt;&gt;"Yes",D26=0,K26&lt;&gt;"Yes"),TRUE,FALSE)</formula>
    </cfRule>
  </conditionalFormatting>
  <conditionalFormatting sqref="E154:E159 E80:E84 E35:E41 E95:E101 E108:E119 E74:E76 E104 E61:E65 E46:E49 E51:E58 E121:E126 E86:E93 E68:E69">
    <cfRule type="expression" priority="20" dxfId="2" stopIfTrue="1">
      <formula>IF($H35=0,TRUE,FALSE)</formula>
    </cfRule>
  </conditionalFormatting>
  <conditionalFormatting sqref="G15">
    <cfRule type="expression" priority="21" dxfId="56" stopIfTrue="1">
      <formula>IF(OR($D$5=$K$5,D5=$K$6),TRUE,FALSE)</formula>
    </cfRule>
  </conditionalFormatting>
  <conditionalFormatting sqref="G59">
    <cfRule type="expression" priority="22" dxfId="49" stopIfTrue="1">
      <formula>IF(AND($D$5=$K$8,L9=0,L10=0),TRUE,FALSE)</formula>
    </cfRule>
  </conditionalFormatting>
  <conditionalFormatting sqref="H59">
    <cfRule type="expression" priority="23" dxfId="49" stopIfTrue="1">
      <formula>IF(AND($D$5=$K$8,L9=0,L10=0),TRUE,FALSE)</formula>
    </cfRule>
  </conditionalFormatting>
  <conditionalFormatting sqref="G60">
    <cfRule type="expression" priority="24" dxfId="49" stopIfTrue="1">
      <formula>IF(AND($D$5=$K$8,L9=0,L10=0),TRUE,FALSE)</formula>
    </cfRule>
  </conditionalFormatting>
  <conditionalFormatting sqref="H60">
    <cfRule type="expression" priority="25" dxfId="49" stopIfTrue="1">
      <formula>IF(AND($D$5=$K$8,L9=0,L10=0),TRUE,FALSE)</formula>
    </cfRule>
  </conditionalFormatting>
  <conditionalFormatting sqref="E43:E45">
    <cfRule type="expression" priority="26" dxfId="2" stopIfTrue="1">
      <formula>IF(AND($D$5=$K$5,$N$17&gt;15000),FALSE,IF($H43=0,TRUE,FALSE))</formula>
    </cfRule>
  </conditionalFormatting>
  <conditionalFormatting sqref="C123">
    <cfRule type="expression" priority="27" dxfId="2" stopIfTrue="1">
      <formula>IF(D5=K8,FALSE,TRUE)</formula>
    </cfRule>
  </conditionalFormatting>
  <conditionalFormatting sqref="D123">
    <cfRule type="expression" priority="28" dxfId="0" stopIfTrue="1">
      <formula>IF(D5=K8,FALSE,TRUE)</formula>
    </cfRule>
  </conditionalFormatting>
  <conditionalFormatting sqref="C159">
    <cfRule type="expression" priority="29" dxfId="2" stopIfTrue="1">
      <formula>IF(D5=K8,FALSE,TRUE)</formula>
    </cfRule>
  </conditionalFormatting>
  <conditionalFormatting sqref="D159">
    <cfRule type="expression" priority="30" dxfId="0" stopIfTrue="1">
      <formula>IF(D5=K8,FALSE,TRUE)</formula>
    </cfRule>
  </conditionalFormatting>
  <conditionalFormatting sqref="C155">
    <cfRule type="expression" priority="31" dxfId="2" stopIfTrue="1">
      <formula>IF(D5=K8,FALSE,TRUE)</formula>
    </cfRule>
  </conditionalFormatting>
  <conditionalFormatting sqref="D155">
    <cfRule type="expression" priority="32" dxfId="0" stopIfTrue="1">
      <formula>IF(D5=K8,FALSE,TRUE)</formula>
    </cfRule>
  </conditionalFormatting>
  <conditionalFormatting sqref="B16:C16">
    <cfRule type="expression" priority="34" dxfId="2" stopIfTrue="1">
      <formula>IF(K13=TRUE,TRUE,FALSE)</formula>
    </cfRule>
  </conditionalFormatting>
  <conditionalFormatting sqref="D16">
    <cfRule type="expression" priority="35" dxfId="26" stopIfTrue="1">
      <formula>IF(K13=TRUE,TRUE,FALSE)</formula>
    </cfRule>
  </conditionalFormatting>
  <conditionalFormatting sqref="H164">
    <cfRule type="cellIs" priority="36" dxfId="39" operator="greaterThan" stopIfTrue="1">
      <formula>99999</formula>
    </cfRule>
  </conditionalFormatting>
  <conditionalFormatting sqref="A154:A161 A133:A134 A131 A127 A138:A143 A50:A65 A75:A76 A35:A43 A108:A119 A121:A125 A79:A104 A68:A70">
    <cfRule type="cellIs" priority="37" dxfId="2" operator="equal" stopIfTrue="1">
      <formula>0</formula>
    </cfRule>
  </conditionalFormatting>
  <conditionalFormatting sqref="A3:H3">
    <cfRule type="cellIs" priority="38" dxfId="37" operator="equal" stopIfTrue="1">
      <formula>"Project Name and Information Here"</formula>
    </cfRule>
  </conditionalFormatting>
  <conditionalFormatting sqref="H15">
    <cfRule type="expression" priority="39" dxfId="2" stopIfTrue="1">
      <formula>IF($E$15=0,TRUE,FALSE)</formula>
    </cfRule>
  </conditionalFormatting>
  <conditionalFormatting sqref="A18:H19">
    <cfRule type="expression" priority="40" dxfId="35" stopIfTrue="1">
      <formula>IF(AND($K$15=0,$K$16=0,$K$17=0,$K$18=0),TRUE,FALSE)</formula>
    </cfRule>
  </conditionalFormatting>
  <conditionalFormatting sqref="G23">
    <cfRule type="expression" priority="41" dxfId="57" stopIfTrue="1">
      <formula>IF($D$5=$K$8,TRUE,FALSE)</formula>
    </cfRule>
  </conditionalFormatting>
  <conditionalFormatting sqref="C15">
    <cfRule type="expression" priority="42" dxfId="26" stopIfTrue="1">
      <formula>IF($D$5=$K$5,TRUE,FALSE)</formula>
    </cfRule>
  </conditionalFormatting>
  <conditionalFormatting sqref="D26:D27">
    <cfRule type="expression" priority="43" dxfId="32" stopIfTrue="1">
      <formula>IF($K$26&lt;&gt;"Yes",TRUE,FALSE)</formula>
    </cfRule>
  </conditionalFormatting>
  <conditionalFormatting sqref="G24">
    <cfRule type="expression" priority="44" dxfId="57" stopIfTrue="1">
      <formula>IF($D$24&lt;&gt;0,TRUE,FALSE)</formula>
    </cfRule>
  </conditionalFormatting>
  <conditionalFormatting sqref="D21:E21">
    <cfRule type="expression" priority="45" dxfId="2" stopIfTrue="1">
      <formula>IF($K$21=TRUE,TRUE,FALSE)</formula>
    </cfRule>
  </conditionalFormatting>
  <conditionalFormatting sqref="C54 C43 A44:D47 C80">
    <cfRule type="expression" priority="46" dxfId="2" stopIfTrue="1">
      <formula>IF($D$5&lt;&gt;(OR($K$6,$K$8)),TRUE,FALSE)</formula>
    </cfRule>
  </conditionalFormatting>
  <conditionalFormatting sqref="A105:D107 C104">
    <cfRule type="expression" priority="48" dxfId="2" stopIfTrue="1">
      <formula>IF($D$5=$K$5,TRUE,FALSE)</formula>
    </cfRule>
  </conditionalFormatting>
  <conditionalFormatting sqref="D104">
    <cfRule type="expression" priority="49" dxfId="0" stopIfTrue="1">
      <formula>IF($D$5=$K$5,TRUE,FALSE)</formula>
    </cfRule>
  </conditionalFormatting>
  <conditionalFormatting sqref="B9:C14">
    <cfRule type="expression" priority="50" dxfId="26" stopIfTrue="1">
      <formula>IF($D$5=$K$7,TRUE,FALSE)</formula>
    </cfRule>
  </conditionalFormatting>
  <conditionalFormatting sqref="D8:H8 D9:D15 E9:E14">
    <cfRule type="expression" priority="51" dxfId="2" stopIfTrue="1">
      <formula>IF($D$5=$K$7,TRUE,FALSE)</formula>
    </cfRule>
  </conditionalFormatting>
  <conditionalFormatting sqref="D43 D80">
    <cfRule type="expression" priority="52" dxfId="0" stopIfTrue="1">
      <formula>IF($D$5&lt;&gt;(OR($K$6,$K$8)),TRUE,FALSE)</formula>
    </cfRule>
  </conditionalFormatting>
  <conditionalFormatting sqref="C83 C50 C112">
    <cfRule type="expression" priority="53" dxfId="2" stopIfTrue="1">
      <formula>IF($D$5=$K$5,TRUE,FALSE)</formula>
    </cfRule>
  </conditionalFormatting>
  <conditionalFormatting sqref="D83 D50 D112">
    <cfRule type="expression" priority="54" dxfId="0" stopIfTrue="1">
      <formula>IF($D$5=$K$5,TRUE,FALSE)</formula>
    </cfRule>
  </conditionalFormatting>
  <conditionalFormatting sqref="C118">
    <cfRule type="expression" priority="57" dxfId="2" stopIfTrue="1">
      <formula>IF($D$117="Yes",FALSE,TRUE)</formula>
    </cfRule>
  </conditionalFormatting>
  <conditionalFormatting sqref="D118">
    <cfRule type="expression" priority="58" dxfId="0" stopIfTrue="1">
      <formula>IF($D$117="Yes",FALSE,TRUE)</formula>
    </cfRule>
  </conditionalFormatting>
  <conditionalFormatting sqref="C76">
    <cfRule type="expression" priority="59" dxfId="2" stopIfTrue="1">
      <formula>IF(OR($D$5=$K$5,$D$5=$K$7),TRUE,FALSE)</formula>
    </cfRule>
  </conditionalFormatting>
  <conditionalFormatting sqref="D76">
    <cfRule type="expression" priority="60" dxfId="0" stopIfTrue="1">
      <formula>IF(OR($D$5=$K$5,$D$5=$K$7),TRUE,FALSE)</formula>
    </cfRule>
  </conditionalFormatting>
  <conditionalFormatting sqref="C75">
    <cfRule type="expression" priority="61" dxfId="2" stopIfTrue="1">
      <formula>IF($D$5&lt;&gt;$K$6,TRUE,FALSE)</formula>
    </cfRule>
  </conditionalFormatting>
  <conditionalFormatting sqref="D75">
    <cfRule type="expression" priority="62" dxfId="0" stopIfTrue="1">
      <formula>IF($D$5&lt;&gt;$K$6,TRUE,FALSE)</formula>
    </cfRule>
  </conditionalFormatting>
  <conditionalFormatting sqref="C68">
    <cfRule type="expression" priority="16" dxfId="2" stopIfTrue="1">
      <formula>IF(D65487=K65490,FALSE,TRUE)</formula>
    </cfRule>
  </conditionalFormatting>
  <conditionalFormatting sqref="D68">
    <cfRule type="expression" priority="17" dxfId="0" stopIfTrue="1">
      <formula>IF(D65487=K65490,FALSE,TRUE)</formula>
    </cfRule>
  </conditionalFormatting>
  <conditionalFormatting sqref="G16">
    <cfRule type="expression" priority="64" dxfId="0" stopIfTrue="1">
      <formula>IF(OR($D$16=0,OR(K13=TRUE,K14=TRUE)),TRUE,FALSE)</formula>
    </cfRule>
  </conditionalFormatting>
  <conditionalFormatting sqref="D74">
    <cfRule type="expression" priority="15" dxfId="0" stopIfTrue="1">
      <formula>IF(OR($D$5=$K$5,$D$5=$K$7),TRUE,FALSE)</formula>
    </cfRule>
  </conditionalFormatting>
  <conditionalFormatting sqref="E120">
    <cfRule type="expression" priority="11" dxfId="2" stopIfTrue="1">
      <formula>IF($H120=0,TRUE,FALSE)</formula>
    </cfRule>
  </conditionalFormatting>
  <conditionalFormatting sqref="A120">
    <cfRule type="cellIs" priority="12" dxfId="2" operator="equal" stopIfTrue="1">
      <formula>0</formula>
    </cfRule>
  </conditionalFormatting>
  <conditionalFormatting sqref="A74">
    <cfRule type="cellIs" priority="10" dxfId="2" operator="equal" stopIfTrue="1">
      <formula>0</formula>
    </cfRule>
  </conditionalFormatting>
  <conditionalFormatting sqref="C74">
    <cfRule type="expression" priority="9" dxfId="2" stopIfTrue="1">
      <formula>IF(OR($D$5=$K$5,$D$5=$K$7),TRUE,FALSE)</formula>
    </cfRule>
  </conditionalFormatting>
  <conditionalFormatting sqref="E66">
    <cfRule type="expression" priority="7" dxfId="2" stopIfTrue="1">
      <formula>IF($H66=0,TRUE,FALSE)</formula>
    </cfRule>
  </conditionalFormatting>
  <conditionalFormatting sqref="A66">
    <cfRule type="cellIs" priority="8" dxfId="2" operator="equal" stopIfTrue="1">
      <formula>0</formula>
    </cfRule>
  </conditionalFormatting>
  <conditionalFormatting sqref="E67">
    <cfRule type="expression" priority="5" dxfId="2" stopIfTrue="1">
      <formula>IF($H67=0,TRUE,FALSE)</formula>
    </cfRule>
  </conditionalFormatting>
  <conditionalFormatting sqref="A67">
    <cfRule type="cellIs" priority="6" dxfId="2" operator="equal" stopIfTrue="1">
      <formula>0</formula>
    </cfRule>
  </conditionalFormatting>
  <conditionalFormatting sqref="D67">
    <cfRule type="expression" priority="4" dxfId="0" stopIfTrue="1">
      <formula>IF(D65486=K65489,FALSE,TRUE)</formula>
    </cfRule>
  </conditionalFormatting>
  <conditionalFormatting sqref="C113">
    <cfRule type="expression" priority="3" dxfId="2" stopIfTrue="1">
      <formula>IF($D$117="Yes",FALSE,TRUE)</formula>
    </cfRule>
  </conditionalFormatting>
  <conditionalFormatting sqref="D113">
    <cfRule type="expression" priority="2" dxfId="0" stopIfTrue="1">
      <formula>IF($D$117="Yes",FALSE,TRUE)</formula>
    </cfRule>
  </conditionalFormatting>
  <conditionalFormatting sqref="D54">
    <cfRule type="expression" priority="1" dxfId="0" stopIfTrue="1">
      <formula>IF($D$5=$K$5,TRUE,FALSE)</formula>
    </cfRule>
  </conditionalFormatting>
  <dataValidations count="21">
    <dataValidation type="list" allowBlank="1" showInputMessage="1" showErrorMessage="1" sqref="F131:H131">
      <formula1>K$128:K$132</formula1>
    </dataValidation>
    <dataValidation type="list" allowBlank="1" showInputMessage="1" showErrorMessage="1" errorTitle="Error" error="Percent entered must be between 50% (all half-sized lockers) and 100% (all full-sized lockers)." sqref="D141 D134">
      <formula1>$K$136:$K$139</formula1>
    </dataValidation>
    <dataValidation type="list" allowBlank="1" showInputMessage="1" showErrorMessage="1" sqref="D80">
      <formula1>$K$80:$K$84</formula1>
    </dataValidation>
    <dataValidation type="list" allowBlank="1" showInputMessage="1" showErrorMessage="1" sqref="D74">
      <formula1>$K$73:$K$76</formula1>
    </dataValidation>
    <dataValidation type="whole" allowBlank="1" showInputMessage="1" showErrorMessage="1" sqref="D38">
      <formula1>1</formula1>
      <formula2>5</formula2>
    </dataValidation>
    <dataValidation type="list" allowBlank="1" showInputMessage="1" showErrorMessage="1" sqref="D43">
      <formula1>$K$44:$K$46</formula1>
    </dataValidation>
    <dataValidation showInputMessage="1" showErrorMessage="1" errorTitle="error" sqref="Q17 O18 M17"/>
    <dataValidation allowBlank="1" showInputMessage="1" showErrorMessage="1" errorTitle="Error" sqref="D8:D15"/>
    <dataValidation type="list" allowBlank="1" showErrorMessage="1" promptTitle="Select:" prompt="Service branch." sqref="D5">
      <formula1>$K$5:$K$8</formula1>
    </dataValidation>
    <dataValidation type="whole" allowBlank="1" showInputMessage="1" showErrorMessage="1" errorTitle="ERROR" error="Additional population must be a whole number greater than one." sqref="G15">
      <formula1>1</formula1>
      <formula2>100000</formula2>
    </dataValidation>
    <dataValidation type="list" allowBlank="1" showInputMessage="1" showErrorMessage="1" sqref="D26 D114:D117">
      <formula1>$K$26:$K$27</formula1>
    </dataValidation>
    <dataValidation type="list" allowBlank="1" showInputMessage="1" showErrorMessage="1" sqref="D104">
      <formula1>$K$104:$K$107</formula1>
    </dataValidation>
    <dataValidation type="list" allowBlank="1" showInputMessage="1" showErrorMessage="1" sqref="D119">
      <formula1>$K$120:$K$121</formula1>
    </dataValidation>
    <dataValidation type="list" allowBlank="1" showInputMessage="1" showErrorMessage="1" sqref="D40">
      <formula1>$K$35:$K$36</formula1>
    </dataValidation>
    <dataValidation type="list" allowBlank="1" showInputMessage="1" showErrorMessage="1" sqref="D41">
      <formula1>$K$38:$K$41</formula1>
    </dataValidation>
    <dataValidation type="list" allowBlank="1" showInputMessage="1" showErrorMessage="1" sqref="D123 D120 D159 D155">
      <formula1>$K$123:$K$124</formula1>
    </dataValidation>
    <dataValidation type="whole" allowBlank="1" showInputMessage="1" showErrorMessage="1" errorTitle="Error" error="Maximum no. of people is 140." sqref="D54">
      <formula1>0</formula1>
      <formula2>140</formula2>
    </dataValidation>
    <dataValidation type="whole" allowBlank="1" showInputMessage="1" showErrorMessage="1" errorTitle="Error" error="Maximum no. of lobbies is 4." sqref="D112">
      <formula1>0</formula1>
      <formula2>4</formula2>
    </dataValidation>
    <dataValidation type="list" allowBlank="1" showInputMessage="1" showErrorMessage="1" sqref="D68">
      <formula1>$K$68:$K$69</formula1>
    </dataValidation>
    <dataValidation type="list" allowBlank="1" showInputMessage="1" showErrorMessage="1" sqref="D149">
      <formula1>$K$148:$K$153</formula1>
    </dataValidation>
    <dataValidation type="list" allowBlank="1" showInputMessage="1" showErrorMessage="1" sqref="D67">
      <formula1>$K$66:$K$67</formula1>
    </dataValidation>
  </dataValidations>
  <printOptions gridLines="1" horizontalCentered="1"/>
  <pageMargins left="0.5" right="0.5" top="0.4" bottom="0.65" header="0.5" footer="0.4"/>
  <pageSetup errors="NA" horizontalDpi="600" verticalDpi="600" orientation="landscape" r:id="rId4"/>
  <headerFooter alignWithMargins="0">
    <oddFooter>&amp;L&amp;"Times New Roman,Bold"Navy-MC Fitness Ctrs Space Program Worksheet&amp;C&amp;"Times New Roman,Bold"Page &amp;P of &amp;N&amp;R&amp;"Times New Roman,Bold"Use with FC 4-740-06N, Navy-MC Fitness Facilities</oddFooter>
  </headerFooter>
  <rowBreaks count="4" manualBreakCount="4">
    <brk id="41" max="7" man="1"/>
    <brk id="77" max="7" man="1"/>
    <brk id="101" max="7" man="1"/>
    <brk id="139"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Lewis &amp; Zimmerman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G. Mion</dc:creator>
  <cp:keywords/>
  <dc:description/>
  <cp:lastModifiedBy>LIERLY, RANDALL L GS-14 USAF AFMC AFCEC/CFTP</cp:lastModifiedBy>
  <cp:lastPrinted>2014-03-26T20:01:53Z</cp:lastPrinted>
  <dcterms:created xsi:type="dcterms:W3CDTF">2002-08-26T01:58:30Z</dcterms:created>
  <dcterms:modified xsi:type="dcterms:W3CDTF">2019-03-14T15:01:26Z</dcterms:modified>
  <cp:category/>
  <cp:version/>
  <cp:contentType/>
  <cp:contentStatus/>
</cp:coreProperties>
</file>