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555" yWindow="65521" windowWidth="5745" windowHeight="8685" tabRatio="518" firstSheet="1" activeTab="1"/>
  </bookViews>
  <sheets>
    <sheet name="CCCF Data" sheetId="1" state="hidden" r:id="rId1"/>
    <sheet name="Interactive Worksheet" sheetId="2" r:id="rId2"/>
  </sheets>
  <definedNames>
    <definedName name="_xlfn.BAHTTEXT" hidden="1">#NAME?</definedName>
    <definedName name="_xlnm.Print_Area" localSheetId="0">'CCCF Data'!$A$1:$N$40</definedName>
    <definedName name="_xlnm.Print_Area" localSheetId="1">'Interactive Worksheet'!$A$3:$G$60</definedName>
    <definedName name="_xlnm.Print_Titles" localSheetId="1">'Interactive Worksheet'!$3:$3</definedName>
    <definedName name="Z_4168AAEC_F31C_43B7_A27F_D74D680BA6E9_.wvu.PrintTitles" localSheetId="0" hidden="1">'CCCF Data'!$A:$J,'CCCF Data'!$1:$2</definedName>
  </definedNames>
  <calcPr fullCalcOnLoad="1"/>
</workbook>
</file>

<file path=xl/sharedStrings.xml><?xml version="1.0" encoding="utf-8"?>
<sst xmlns="http://schemas.openxmlformats.org/spreadsheetml/2006/main" count="136" uniqueCount="87">
  <si>
    <t>Space Allocation Standard</t>
  </si>
  <si>
    <t>Functional Component</t>
  </si>
  <si>
    <t>Standard</t>
  </si>
  <si>
    <t>No.</t>
  </si>
  <si>
    <r>
      <t>m</t>
    </r>
    <r>
      <rPr>
        <b/>
        <vertAlign val="superscript"/>
        <sz val="10"/>
        <rFont val="Arial"/>
        <family val="2"/>
      </rPr>
      <t>2</t>
    </r>
  </si>
  <si>
    <r>
      <t>ft.</t>
    </r>
    <r>
      <rPr>
        <b/>
        <vertAlign val="superscript"/>
        <sz val="10"/>
        <rFont val="Arial"/>
        <family val="2"/>
      </rPr>
      <t>2</t>
    </r>
  </si>
  <si>
    <t>ENTER PROJECT NAME 
AND INFORMATION:</t>
  </si>
  <si>
    <t>Service Exceptions</t>
  </si>
  <si>
    <t>Select Service Branch:</t>
  </si>
  <si>
    <t>Army</t>
  </si>
  <si>
    <t>Navy</t>
  </si>
  <si>
    <t>Air Force</t>
  </si>
  <si>
    <t>Marine Corps</t>
  </si>
  <si>
    <r>
      <t xml:space="preserve"> m</t>
    </r>
    <r>
      <rPr>
        <b/>
        <vertAlign val="superscript"/>
        <sz val="10.5"/>
        <rFont val="Arial Narrow"/>
        <family val="2"/>
      </rPr>
      <t>2</t>
    </r>
  </si>
  <si>
    <r>
      <t>ft.</t>
    </r>
    <r>
      <rPr>
        <b/>
        <vertAlign val="superscript"/>
        <sz val="10.5"/>
        <rFont val="Arial Narrow"/>
        <family val="2"/>
      </rPr>
      <t>2</t>
    </r>
  </si>
  <si>
    <t>Notes</t>
  </si>
  <si>
    <t>Foyer</t>
  </si>
  <si>
    <t>Living room</t>
  </si>
  <si>
    <t>Play room</t>
  </si>
  <si>
    <t>Dining room</t>
  </si>
  <si>
    <t>Kitchen</t>
  </si>
  <si>
    <t>Crib/infant room</t>
  </si>
  <si>
    <t>Bedrooms</t>
  </si>
  <si>
    <t>Staff toilet</t>
  </si>
  <si>
    <t>Laundry</t>
  </si>
  <si>
    <t>Staff den/office</t>
  </si>
  <si>
    <t>Outdoor storage</t>
  </si>
  <si>
    <t>Outdoor activity area</t>
  </si>
  <si>
    <t>Shower</t>
  </si>
  <si>
    <t>Wash</t>
  </si>
  <si>
    <t>Toilet</t>
  </si>
  <si>
    <t>Hall toilet</t>
  </si>
  <si>
    <t>Accessible toilet</t>
  </si>
  <si>
    <t>Child-height toilet</t>
  </si>
  <si>
    <t>Net-to-Gross</t>
  </si>
  <si>
    <t>Mechanical</t>
  </si>
  <si>
    <t>Covered exterior space</t>
  </si>
  <si>
    <t>Corridor</t>
  </si>
  <si>
    <t>Six children</t>
  </si>
  <si>
    <t>Seven children</t>
  </si>
  <si>
    <t>Total area, half scope for program</t>
  </si>
  <si>
    <t>Electrical</t>
  </si>
  <si>
    <t>NMCI</t>
  </si>
  <si>
    <t>Parking</t>
  </si>
  <si>
    <t>Diaper changing/food prep</t>
  </si>
  <si>
    <t>75% of Play Room</t>
  </si>
  <si>
    <t>Per child (16 or 20)</t>
  </si>
  <si>
    <t>Per 80% of non infants</t>
  </si>
  <si>
    <t>Fixed</t>
  </si>
  <si>
    <t>Per infant at 8 fixed</t>
  </si>
  <si>
    <t>380 at 4 bds; 540 at 6 bds</t>
  </si>
  <si>
    <t>N/A</t>
  </si>
  <si>
    <t>Incl. office and iso area</t>
  </si>
  <si>
    <t>Fixed; incl pantry and gen</t>
  </si>
  <si>
    <t>Wall thickness at</t>
  </si>
  <si>
    <t>Fixed; incl check-in</t>
  </si>
  <si>
    <t>Fixed allow, incl at foyer</t>
  </si>
  <si>
    <t>Per space, 10 std</t>
  </si>
  <si>
    <t>Subtotal Building</t>
  </si>
  <si>
    <t>Gross Building</t>
  </si>
  <si>
    <t>Controls</t>
  </si>
  <si>
    <t>Navy/USMC</t>
  </si>
  <si>
    <t>Program Spaces</t>
  </si>
  <si>
    <t>Storage</t>
  </si>
  <si>
    <t>Incl video and general</t>
  </si>
  <si>
    <t>Break in sequence</t>
  </si>
  <si>
    <t>Exterior Program Spaces</t>
  </si>
  <si>
    <r>
      <t xml:space="preserve">Note: </t>
    </r>
    <r>
      <rPr>
        <sz val="10.5"/>
        <rFont val="Arial Narrow"/>
        <family val="2"/>
      </rPr>
      <t>Area shown is 50% of actual as covered exterior spaces are counted as half-scope against the program.</t>
    </r>
  </si>
  <si>
    <r>
      <t>Note:</t>
    </r>
    <r>
      <rPr>
        <sz val="10.5"/>
        <rFont val="Arial Narrow"/>
        <family val="2"/>
      </rPr>
      <t xml:space="preserve"> Actual site area will be larger; see UFC 4-xxx-xxAN, Chapter 2, for more information.</t>
    </r>
  </si>
  <si>
    <t>Staff storage</t>
  </si>
  <si>
    <t>Staff desk area</t>
  </si>
  <si>
    <t>Incl as part of gen storage</t>
  </si>
  <si>
    <t>Modular construction</t>
  </si>
  <si>
    <t>Option A</t>
  </si>
  <si>
    <t>Option B</t>
  </si>
  <si>
    <t>Option B toilets</t>
  </si>
  <si>
    <t>Option A toilets</t>
  </si>
  <si>
    <t>Yes</t>
  </si>
  <si>
    <t>No</t>
  </si>
  <si>
    <t>Non-modular construct.</t>
  </si>
  <si>
    <t>See UFC Chapter 1, Scope of Facility, for explanation of facility types.</t>
  </si>
  <si>
    <t>Fixed; incl 2 diaper sta</t>
  </si>
  <si>
    <t>Fixed; incl 1 diaper, 1 food</t>
  </si>
  <si>
    <r>
      <t xml:space="preserve">  </t>
    </r>
    <r>
      <rPr>
        <b/>
        <sz val="10"/>
        <color indexed="10"/>
        <rFont val="Arial"/>
        <family val="2"/>
      </rPr>
      <t>&lt;</t>
    </r>
    <r>
      <rPr>
        <b/>
        <sz val="10"/>
        <rFont val="Arial"/>
        <family val="2"/>
      </rPr>
      <t xml:space="preserve"> Indicates column letter of any hidden text.</t>
    </r>
  </si>
  <si>
    <t xml:space="preserve">The "Click Here to Reset Sheet" button will clear all the entries in preparation for a new program. </t>
  </si>
  <si>
    <t>Option A - Navy/USMC</t>
  </si>
  <si>
    <t>Option B - Army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</si>
</sst>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20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3"/>
      <name val="Arial Narrow"/>
      <family val="2"/>
    </font>
    <font>
      <b/>
      <vertAlign val="superscript"/>
      <sz val="10.5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5"/>
      <name val="Arial Narrow"/>
      <family val="2"/>
    </font>
    <font>
      <b/>
      <sz val="9"/>
      <color indexed="10"/>
      <name val="Arial Narrow"/>
      <family val="2"/>
    </font>
    <font>
      <u val="single"/>
      <sz val="10.5"/>
      <name val="Arial Narrow"/>
      <family val="2"/>
    </font>
    <font>
      <b/>
      <sz val="10.5"/>
      <color indexed="10"/>
      <name val="Arial Narrow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 style="thin"/>
      <bottom style="medium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right"/>
      <protection/>
    </xf>
    <xf numFmtId="0" fontId="14" fillId="2" borderId="4" xfId="0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0" fontId="15" fillId="2" borderId="1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14" fillId="2" borderId="4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indent="2"/>
      <protection locked="0"/>
    </xf>
    <xf numFmtId="3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2" fontId="5" fillId="4" borderId="13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3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2" fontId="5" fillId="4" borderId="16" xfId="0" applyNumberFormat="1" applyFont="1" applyFill="1" applyBorder="1" applyAlignment="1" applyProtection="1">
      <alignment vertical="center"/>
      <protection locked="0"/>
    </xf>
    <xf numFmtId="3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2" fontId="5" fillId="4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 indent="1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" fontId="5" fillId="4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4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4" borderId="30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left" vertical="center" wrapText="1" indent="1"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0" fontId="5" fillId="4" borderId="33" xfId="0" applyFont="1" applyFill="1" applyBorder="1" applyAlignment="1" applyProtection="1">
      <alignment/>
      <protection locked="0"/>
    </xf>
    <xf numFmtId="3" fontId="4" fillId="4" borderId="33" xfId="0" applyNumberFormat="1" applyFont="1" applyFill="1" applyBorder="1" applyAlignment="1" applyProtection="1">
      <alignment/>
      <protection locked="0"/>
    </xf>
    <xf numFmtId="0" fontId="14" fillId="2" borderId="34" xfId="0" applyFont="1" applyFill="1" applyBorder="1" applyAlignment="1" applyProtection="1">
      <alignment horizontal="left" vertical="center"/>
      <protection/>
    </xf>
    <xf numFmtId="0" fontId="14" fillId="2" borderId="35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left" vertical="center"/>
      <protection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3" fillId="2" borderId="38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/>
      <protection/>
    </xf>
    <xf numFmtId="0" fontId="14" fillId="5" borderId="4" xfId="0" applyFont="1" applyFill="1" applyBorder="1" applyAlignment="1" applyProtection="1">
      <alignment horizontal="center"/>
      <protection locked="0"/>
    </xf>
    <xf numFmtId="2" fontId="14" fillId="2" borderId="0" xfId="0" applyNumberFormat="1" applyFont="1" applyFill="1" applyBorder="1" applyAlignment="1" applyProtection="1">
      <alignment horizontal="right" vertical="center"/>
      <protection/>
    </xf>
    <xf numFmtId="3" fontId="14" fillId="0" borderId="37" xfId="0" applyNumberFormat="1" applyFont="1" applyFill="1" applyBorder="1" applyAlignment="1" applyProtection="1">
      <alignment horizontal="right" vertical="center"/>
      <protection/>
    </xf>
    <xf numFmtId="0" fontId="14" fillId="0" borderId="6" xfId="0" applyFont="1" applyFill="1" applyBorder="1" applyAlignment="1" applyProtection="1">
      <alignment/>
      <protection locked="0"/>
    </xf>
    <xf numFmtId="0" fontId="14" fillId="0" borderId="5" xfId="0" applyFont="1" applyBorder="1" applyAlignment="1" applyProtection="1">
      <alignment/>
      <protection locked="0"/>
    </xf>
    <xf numFmtId="0" fontId="13" fillId="2" borderId="38" xfId="0" applyFont="1" applyFill="1" applyBorder="1" applyAlignment="1" applyProtection="1">
      <alignment/>
      <protection/>
    </xf>
    <xf numFmtId="2" fontId="14" fillId="2" borderId="4" xfId="0" applyNumberFormat="1" applyFont="1" applyFill="1" applyBorder="1" applyAlignment="1" applyProtection="1">
      <alignment horizontal="center" vertical="center"/>
      <protection/>
    </xf>
    <xf numFmtId="3" fontId="14" fillId="2" borderId="39" xfId="0" applyNumberFormat="1" applyFont="1" applyFill="1" applyBorder="1" applyAlignment="1" applyProtection="1">
      <alignment horizontal="right" vertical="center"/>
      <protection/>
    </xf>
    <xf numFmtId="3" fontId="14" fillId="2" borderId="3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Border="1" applyAlignment="1" applyProtection="1" quotePrefix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/>
      <protection locked="0"/>
    </xf>
    <xf numFmtId="0" fontId="13" fillId="2" borderId="1" xfId="0" applyFont="1" applyFill="1" applyBorder="1" applyAlignment="1" applyProtection="1">
      <alignment horizontal="left" indent="1"/>
      <protection/>
    </xf>
    <xf numFmtId="0" fontId="14" fillId="0" borderId="6" xfId="0" applyFont="1" applyBorder="1" applyAlignment="1" applyProtection="1">
      <alignment horizontal="center"/>
      <protection locked="0"/>
    </xf>
    <xf numFmtId="3" fontId="14" fillId="2" borderId="40" xfId="0" applyNumberFormat="1" applyFont="1" applyFill="1" applyBorder="1" applyAlignment="1" applyProtection="1">
      <alignment horizontal="right" vertical="center"/>
      <protection/>
    </xf>
    <xf numFmtId="0" fontId="14" fillId="2" borderId="3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2" borderId="1" xfId="0" applyFont="1" applyFill="1" applyBorder="1" applyAlignment="1" applyProtection="1">
      <alignment/>
      <protection/>
    </xf>
    <xf numFmtId="0" fontId="14" fillId="2" borderId="41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2" fontId="13" fillId="2" borderId="4" xfId="0" applyNumberFormat="1" applyFont="1" applyFill="1" applyBorder="1" applyAlignment="1" applyProtection="1">
      <alignment horizontal="center" vertical="center"/>
      <protection/>
    </xf>
    <xf numFmtId="3" fontId="13" fillId="2" borderId="39" xfId="0" applyNumberFormat="1" applyFont="1" applyFill="1" applyBorder="1" applyAlignment="1" applyProtection="1">
      <alignment/>
      <protection/>
    </xf>
    <xf numFmtId="0" fontId="14" fillId="2" borderId="42" xfId="0" applyFont="1" applyFill="1" applyBorder="1" applyAlignment="1" applyProtection="1">
      <alignment/>
      <protection/>
    </xf>
    <xf numFmtId="0" fontId="14" fillId="0" borderId="43" xfId="0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2" fontId="14" fillId="2" borderId="5" xfId="0" applyNumberFormat="1" applyFont="1" applyFill="1" applyBorder="1" applyAlignment="1" applyProtection="1">
      <alignment horizontal="right" vertical="center"/>
      <protection/>
    </xf>
    <xf numFmtId="0" fontId="14" fillId="2" borderId="4" xfId="0" applyFont="1" applyFill="1" applyBorder="1" applyAlignment="1" applyProtection="1">
      <alignment horizontal="left" wrapText="1"/>
      <protection/>
    </xf>
    <xf numFmtId="0" fontId="14" fillId="2" borderId="39" xfId="0" applyFont="1" applyFill="1" applyBorder="1" applyAlignment="1" applyProtection="1">
      <alignment horizontal="left" wrapText="1"/>
      <protection/>
    </xf>
    <xf numFmtId="0" fontId="13" fillId="0" borderId="5" xfId="21" applyNumberFormat="1" applyFont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vertical="top" wrapText="1"/>
      <protection/>
    </xf>
    <xf numFmtId="0" fontId="14" fillId="4" borderId="6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left" indent="2"/>
      <protection/>
    </xf>
    <xf numFmtId="0" fontId="14" fillId="4" borderId="5" xfId="0" applyFont="1" applyFill="1" applyBorder="1" applyAlignment="1" applyProtection="1">
      <alignment/>
      <protection locked="0"/>
    </xf>
    <xf numFmtId="2" fontId="14" fillId="2" borderId="33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horizontal="left"/>
      <protection/>
    </xf>
    <xf numFmtId="2" fontId="13" fillId="2" borderId="5" xfId="0" applyNumberFormat="1" applyFont="1" applyFill="1" applyBorder="1" applyAlignment="1" applyProtection="1">
      <alignment horizontal="right" vertical="center"/>
      <protection/>
    </xf>
    <xf numFmtId="3" fontId="13" fillId="2" borderId="40" xfId="0" applyNumberFormat="1" applyFont="1" applyFill="1" applyBorder="1" applyAlignment="1" applyProtection="1">
      <alignment horizontal="right" vertical="center"/>
      <protection/>
    </xf>
    <xf numFmtId="0" fontId="13" fillId="2" borderId="4" xfId="0" applyFont="1" applyFill="1" applyBorder="1" applyAlignment="1" applyProtection="1">
      <alignment/>
      <protection/>
    </xf>
    <xf numFmtId="0" fontId="13" fillId="2" borderId="3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3" fontId="2" fillId="0" borderId="44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vertical="top" wrapText="1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5" fillId="5" borderId="11" xfId="0" applyFont="1" applyFill="1" applyBorder="1" applyAlignment="1" applyProtection="1">
      <alignment horizontal="left" vertical="center" indent="1"/>
      <protection locked="0"/>
    </xf>
    <xf numFmtId="0" fontId="13" fillId="2" borderId="1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left" vertical="top" wrapText="1"/>
      <protection/>
    </xf>
    <xf numFmtId="0" fontId="14" fillId="2" borderId="0" xfId="0" applyFont="1" applyFill="1" applyBorder="1" applyAlignment="1" applyProtection="1">
      <alignment horizontal="left" wrapText="1"/>
      <protection/>
    </xf>
    <xf numFmtId="0" fontId="14" fillId="2" borderId="45" xfId="0" applyFont="1" applyFill="1" applyBorder="1" applyAlignment="1" applyProtection="1">
      <alignment horizontal="left" wrapText="1"/>
      <protection/>
    </xf>
    <xf numFmtId="0" fontId="14" fillId="2" borderId="46" xfId="0" applyFont="1" applyFill="1" applyBorder="1" applyAlignment="1" applyProtection="1">
      <alignment horizontal="left" wrapText="1"/>
      <protection/>
    </xf>
    <xf numFmtId="0" fontId="14" fillId="2" borderId="37" xfId="0" applyFont="1" applyFill="1" applyBorder="1" applyAlignment="1" applyProtection="1">
      <alignment horizontal="left" wrapText="1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4" borderId="49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0" fillId="0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 quotePrefix="1">
      <alignment horizontal="left"/>
      <protection locked="0"/>
    </xf>
    <xf numFmtId="0" fontId="1" fillId="0" borderId="58" xfId="0" applyFont="1" applyFill="1" applyBorder="1" applyAlignment="1" applyProtection="1">
      <alignment wrapText="1"/>
      <protection locked="0"/>
    </xf>
    <xf numFmtId="9" fontId="5" fillId="0" borderId="59" xfId="2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 applyProtection="1">
      <alignment horizontal="center"/>
      <protection locked="0"/>
    </xf>
    <xf numFmtId="0" fontId="14" fillId="6" borderId="65" xfId="0" applyFont="1" applyFill="1" applyBorder="1" applyAlignment="1" applyProtection="1">
      <alignment horizontal="center"/>
      <protection locked="0"/>
    </xf>
    <xf numFmtId="0" fontId="14" fillId="6" borderId="59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 vertical="top" wrapText="1"/>
      <protection/>
    </xf>
    <xf numFmtId="0" fontId="14" fillId="2" borderId="1" xfId="0" applyFont="1" applyFill="1" applyBorder="1" applyAlignment="1" applyProtection="1">
      <alignment horizontal="left" vertical="top" wrapText="1" indent="1"/>
      <protection/>
    </xf>
    <xf numFmtId="0" fontId="14" fillId="2" borderId="0" xfId="0" applyFont="1" applyFill="1" applyBorder="1" applyAlignment="1" applyProtection="1">
      <alignment horizontal="left" vertical="top" wrapText="1" indent="1"/>
      <protection/>
    </xf>
    <xf numFmtId="0" fontId="14" fillId="2" borderId="38" xfId="0" applyFont="1" applyFill="1" applyBorder="1" applyAlignment="1" applyProtection="1">
      <alignment horizontal="left" vertical="top" wrapText="1" indent="1"/>
      <protection/>
    </xf>
    <xf numFmtId="0" fontId="14" fillId="2" borderId="4" xfId="0" applyFont="1" applyFill="1" applyBorder="1" applyAlignment="1" applyProtection="1">
      <alignment horizontal="left" vertical="top" wrapText="1" indent="1"/>
      <protection/>
    </xf>
    <xf numFmtId="0" fontId="0" fillId="3" borderId="65" xfId="0" applyFont="1" applyFill="1" applyBorder="1" applyAlignment="1" applyProtection="1">
      <alignment horizontal="center"/>
      <protection locked="0"/>
    </xf>
    <xf numFmtId="0" fontId="0" fillId="3" borderId="59" xfId="0" applyFont="1" applyFill="1" applyBorder="1" applyAlignment="1" applyProtection="1">
      <alignment horizontal="center"/>
      <protection locked="0"/>
    </xf>
    <xf numFmtId="0" fontId="18" fillId="2" borderId="35" xfId="0" applyFont="1" applyFill="1" applyBorder="1" applyAlignment="1" applyProtection="1">
      <alignment horizontal="left" vertical="center" wrapText="1" indent="2"/>
      <protection/>
    </xf>
    <xf numFmtId="0" fontId="18" fillId="2" borderId="66" xfId="0" applyFont="1" applyFill="1" applyBorder="1" applyAlignment="1" applyProtection="1">
      <alignment horizontal="left" vertical="center" wrapText="1" indent="2"/>
      <protection/>
    </xf>
    <xf numFmtId="0" fontId="18" fillId="2" borderId="0" xfId="0" applyFont="1" applyFill="1" applyBorder="1" applyAlignment="1" applyProtection="1">
      <alignment horizontal="left" vertical="center" wrapText="1" indent="2"/>
      <protection/>
    </xf>
    <xf numFmtId="0" fontId="18" fillId="2" borderId="37" xfId="0" applyFont="1" applyFill="1" applyBorder="1" applyAlignment="1" applyProtection="1">
      <alignment horizontal="left" vertical="center" wrapText="1" indent="2"/>
      <protection/>
    </xf>
    <xf numFmtId="0" fontId="18" fillId="2" borderId="4" xfId="0" applyFont="1" applyFill="1" applyBorder="1" applyAlignment="1" applyProtection="1">
      <alignment horizontal="left" vertical="center" wrapText="1" indent="2"/>
      <protection/>
    </xf>
    <xf numFmtId="0" fontId="18" fillId="2" borderId="39" xfId="0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4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/>
    </xf>
    <xf numFmtId="0" fontId="14" fillId="2" borderId="4" xfId="0" applyFont="1" applyFill="1" applyBorder="1" applyAlignment="1" applyProtection="1">
      <alignment horizontal="left" vertical="top" wrapText="1"/>
      <protection/>
    </xf>
    <xf numFmtId="0" fontId="16" fillId="2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000000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695325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171450"/>
          <a:ext cx="5810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95250</xdr:rowOff>
    </xdr:from>
    <xdr:to>
      <xdr:col>8</xdr:col>
      <xdr:colOff>95250</xdr:colOff>
      <xdr:row>3</xdr:row>
      <xdr:rowOff>104775</xdr:rowOff>
    </xdr:to>
    <xdr:sp>
      <xdr:nvSpPr>
        <xdr:cNvPr id="2" name="Line 526"/>
        <xdr:cNvSpPr>
          <a:spLocks/>
        </xdr:cNvSpPr>
      </xdr:nvSpPr>
      <xdr:spPr>
        <a:xfrm flipH="1">
          <a:off x="6657975" y="266700"/>
          <a:ext cx="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4"/>
  <sheetViews>
    <sheetView showGridLines="0" workbookViewId="0" topLeftCell="A1">
      <selection activeCell="D43" sqref="D43"/>
    </sheetView>
  </sheetViews>
  <sheetFormatPr defaultColWidth="9.140625" defaultRowHeight="12" customHeight="1"/>
  <cols>
    <col min="1" max="1" width="25.7109375" style="45" customWidth="1"/>
    <col min="2" max="2" width="7.7109375" style="49" customWidth="1"/>
    <col min="3" max="3" width="7.7109375" style="50" customWidth="1"/>
    <col min="4" max="4" width="20.7109375" style="45" customWidth="1"/>
    <col min="5" max="6" width="7.7109375" style="45" customWidth="1"/>
    <col min="7" max="7" width="8.7109375" style="45" customWidth="1"/>
    <col min="8" max="8" width="7.7109375" style="49" customWidth="1"/>
    <col min="9" max="9" width="7.7109375" style="50" customWidth="1"/>
    <col min="10" max="10" width="20.7109375" style="45" customWidth="1"/>
    <col min="11" max="12" width="7.7109375" style="45" customWidth="1"/>
    <col min="13" max="13" width="8.7109375" style="93" customWidth="1"/>
    <col min="14" max="14" width="29.57421875" style="72" customWidth="1"/>
    <col min="15" max="15" width="1.7109375" style="45" customWidth="1"/>
    <col min="16" max="26" width="9.140625" style="45" customWidth="1"/>
    <col min="27" max="16384" width="9.140625" style="26" customWidth="1"/>
  </cols>
  <sheetData>
    <row r="1" spans="1:14" ht="15" customHeight="1">
      <c r="A1" s="203">
        <v>0.0929</v>
      </c>
      <c r="B1" s="208" t="s">
        <v>0</v>
      </c>
      <c r="C1" s="208"/>
      <c r="D1" s="210"/>
      <c r="E1" s="207" t="s">
        <v>85</v>
      </c>
      <c r="F1" s="208"/>
      <c r="G1" s="211"/>
      <c r="H1" s="208" t="s">
        <v>0</v>
      </c>
      <c r="I1" s="208"/>
      <c r="J1" s="210"/>
      <c r="K1" s="207" t="s">
        <v>86</v>
      </c>
      <c r="L1" s="208"/>
      <c r="M1" s="209"/>
      <c r="N1" s="190"/>
    </row>
    <row r="2" spans="1:26" s="31" customFormat="1" ht="15" customHeight="1" thickBot="1">
      <c r="A2" s="27" t="s">
        <v>1</v>
      </c>
      <c r="B2" s="79" t="s">
        <v>4</v>
      </c>
      <c r="C2" s="28" t="s">
        <v>5</v>
      </c>
      <c r="D2" s="29" t="s">
        <v>2</v>
      </c>
      <c r="E2" s="29" t="s">
        <v>3</v>
      </c>
      <c r="F2" s="29" t="s">
        <v>4</v>
      </c>
      <c r="G2" s="182" t="s">
        <v>5</v>
      </c>
      <c r="H2" s="79" t="s">
        <v>4</v>
      </c>
      <c r="I2" s="28" t="s">
        <v>5</v>
      </c>
      <c r="J2" s="29" t="s">
        <v>2</v>
      </c>
      <c r="K2" s="29" t="s">
        <v>3</v>
      </c>
      <c r="L2" s="29" t="s">
        <v>4</v>
      </c>
      <c r="M2" s="86" t="s">
        <v>5</v>
      </c>
      <c r="N2" s="191" t="s">
        <v>15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34" customFormat="1" ht="12" customHeight="1">
      <c r="A3" s="32" t="s">
        <v>62</v>
      </c>
      <c r="B3" s="80"/>
      <c r="C3" s="63"/>
      <c r="D3" s="64"/>
      <c r="E3" s="65"/>
      <c r="F3" s="66"/>
      <c r="G3" s="183"/>
      <c r="H3" s="80"/>
      <c r="I3" s="63"/>
      <c r="J3" s="64"/>
      <c r="K3" s="65"/>
      <c r="L3" s="66"/>
      <c r="M3" s="87"/>
      <c r="N3" s="192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4" customFormat="1" ht="12" customHeight="1">
      <c r="A4" s="35" t="s">
        <v>16</v>
      </c>
      <c r="B4" s="81">
        <f aca="true" t="shared" si="0" ref="B4:B12">$A$1*C4</f>
        <v>11.148</v>
      </c>
      <c r="C4" s="38">
        <f>120</f>
        <v>120</v>
      </c>
      <c r="D4" s="37" t="s">
        <v>55</v>
      </c>
      <c r="E4" s="38">
        <v>1</v>
      </c>
      <c r="F4" s="39">
        <f aca="true" t="shared" si="1" ref="F4:F30">B4*E4</f>
        <v>11.148</v>
      </c>
      <c r="G4" s="184">
        <f aca="true" t="shared" si="2" ref="G4:G12">E4*C4</f>
        <v>120</v>
      </c>
      <c r="H4" s="81">
        <f>$A$1*I4</f>
        <v>15.793</v>
      </c>
      <c r="I4" s="36">
        <v>170</v>
      </c>
      <c r="J4" s="37" t="s">
        <v>48</v>
      </c>
      <c r="K4" s="38">
        <v>1</v>
      </c>
      <c r="L4" s="39">
        <f aca="true" t="shared" si="3" ref="L4:L21">H4*K4</f>
        <v>15.793</v>
      </c>
      <c r="M4" s="88">
        <f>K4*I4</f>
        <v>170</v>
      </c>
      <c r="N4" s="19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34" customFormat="1" ht="12" customHeight="1">
      <c r="A5" s="35" t="s">
        <v>17</v>
      </c>
      <c r="B5" s="81">
        <f t="shared" si="0"/>
        <v>3.135375</v>
      </c>
      <c r="C5" s="38">
        <f>C6*0.75</f>
        <v>33.75</v>
      </c>
      <c r="D5" s="40" t="s">
        <v>45</v>
      </c>
      <c r="E5" s="38">
        <f>E6</f>
        <v>9.600000000000001</v>
      </c>
      <c r="F5" s="39">
        <f t="shared" si="1"/>
        <v>30.099600000000002</v>
      </c>
      <c r="G5" s="184">
        <f t="shared" si="2"/>
        <v>324.00000000000006</v>
      </c>
      <c r="H5" s="81">
        <f>$A$1*I5</f>
        <v>39.018</v>
      </c>
      <c r="I5" s="36">
        <v>420</v>
      </c>
      <c r="J5" s="37" t="s">
        <v>48</v>
      </c>
      <c r="K5" s="38">
        <v>1</v>
      </c>
      <c r="L5" s="39">
        <f t="shared" si="3"/>
        <v>39.018</v>
      </c>
      <c r="M5" s="88">
        <f>K5*I5</f>
        <v>420</v>
      </c>
      <c r="N5" s="19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34" customFormat="1" ht="12" customHeight="1">
      <c r="A6" s="35" t="s">
        <v>18</v>
      </c>
      <c r="B6" s="81">
        <f t="shared" si="0"/>
        <v>4.180499999999999</v>
      </c>
      <c r="C6" s="38">
        <v>45</v>
      </c>
      <c r="D6" s="40" t="s">
        <v>47</v>
      </c>
      <c r="E6" s="38">
        <f>12*0.8</f>
        <v>9.600000000000001</v>
      </c>
      <c r="F6" s="39">
        <f>B6*E6</f>
        <v>40.1328</v>
      </c>
      <c r="G6" s="184">
        <f t="shared" si="2"/>
        <v>432.00000000000006</v>
      </c>
      <c r="H6" s="81">
        <f>$A$1*I6</f>
        <v>25.083</v>
      </c>
      <c r="I6" s="36">
        <f>256+14</f>
        <v>270</v>
      </c>
      <c r="J6" s="37" t="s">
        <v>48</v>
      </c>
      <c r="K6" s="38">
        <v>1</v>
      </c>
      <c r="L6" s="39">
        <f t="shared" si="3"/>
        <v>25.083</v>
      </c>
      <c r="M6" s="88">
        <f>K6*I6</f>
        <v>270</v>
      </c>
      <c r="N6" s="19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34" customFormat="1" ht="12" customHeight="1">
      <c r="A7" s="35" t="s">
        <v>19</v>
      </c>
      <c r="B7" s="81">
        <f t="shared" si="0"/>
        <v>1.6722</v>
      </c>
      <c r="C7" s="38">
        <v>18</v>
      </c>
      <c r="D7" s="40" t="s">
        <v>46</v>
      </c>
      <c r="E7" s="38">
        <v>20</v>
      </c>
      <c r="F7" s="39">
        <f t="shared" si="1"/>
        <v>33.443999999999996</v>
      </c>
      <c r="G7" s="184">
        <f t="shared" si="2"/>
        <v>360</v>
      </c>
      <c r="H7" s="81">
        <f aca="true" t="shared" si="4" ref="H7:H30">$A$1*I7</f>
        <v>50.166</v>
      </c>
      <c r="I7" s="41">
        <v>540</v>
      </c>
      <c r="J7" s="37" t="s">
        <v>48</v>
      </c>
      <c r="K7" s="38">
        <v>1</v>
      </c>
      <c r="L7" s="39">
        <f t="shared" si="3"/>
        <v>50.166</v>
      </c>
      <c r="M7" s="88">
        <f aca="true" t="shared" si="5" ref="M7:M21">K7*I7</f>
        <v>540</v>
      </c>
      <c r="N7" s="19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s="34" customFormat="1" ht="12" customHeight="1">
      <c r="A8" s="35" t="s">
        <v>20</v>
      </c>
      <c r="B8" s="81">
        <f>$A$1*C8</f>
        <v>22.296</v>
      </c>
      <c r="C8" s="38">
        <f>12*20</f>
        <v>240</v>
      </c>
      <c r="D8" s="40" t="s">
        <v>48</v>
      </c>
      <c r="E8" s="38">
        <v>1</v>
      </c>
      <c r="F8" s="39">
        <f t="shared" si="1"/>
        <v>22.296</v>
      </c>
      <c r="G8" s="184">
        <f t="shared" si="2"/>
        <v>240</v>
      </c>
      <c r="H8" s="81">
        <f t="shared" si="4"/>
        <v>17.651</v>
      </c>
      <c r="I8" s="41">
        <v>190</v>
      </c>
      <c r="J8" s="37" t="s">
        <v>48</v>
      </c>
      <c r="K8" s="38">
        <v>1</v>
      </c>
      <c r="L8" s="39">
        <f t="shared" si="3"/>
        <v>17.651</v>
      </c>
      <c r="M8" s="88">
        <f t="shared" si="5"/>
        <v>190</v>
      </c>
      <c r="N8" s="19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34" customFormat="1" ht="12" customHeight="1">
      <c r="A9" s="35" t="s">
        <v>70</v>
      </c>
      <c r="B9" s="81">
        <f>$A$1*C9</f>
        <v>1.8579999999999999</v>
      </c>
      <c r="C9" s="38">
        <v>20</v>
      </c>
      <c r="D9" s="40" t="s">
        <v>48</v>
      </c>
      <c r="E9" s="38">
        <v>1</v>
      </c>
      <c r="F9" s="39">
        <f t="shared" si="1"/>
        <v>1.8579999999999999</v>
      </c>
      <c r="G9" s="184">
        <f t="shared" si="2"/>
        <v>20</v>
      </c>
      <c r="H9" s="81">
        <f t="shared" si="4"/>
        <v>1.8579999999999999</v>
      </c>
      <c r="I9" s="41">
        <v>20</v>
      </c>
      <c r="J9" s="37" t="s">
        <v>48</v>
      </c>
      <c r="K9" s="38">
        <v>1</v>
      </c>
      <c r="L9" s="39">
        <f>H9*K9</f>
        <v>1.8579999999999999</v>
      </c>
      <c r="M9" s="88">
        <f>K9*I9</f>
        <v>20</v>
      </c>
      <c r="N9" s="19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34" customFormat="1" ht="12" customHeight="1">
      <c r="A10" s="35" t="s">
        <v>21</v>
      </c>
      <c r="B10" s="81">
        <f t="shared" si="0"/>
        <v>6.0385</v>
      </c>
      <c r="C10" s="38">
        <v>65</v>
      </c>
      <c r="D10" s="40" t="s">
        <v>49</v>
      </c>
      <c r="E10" s="38">
        <v>8</v>
      </c>
      <c r="F10" s="39">
        <f t="shared" si="1"/>
        <v>48.308</v>
      </c>
      <c r="G10" s="184">
        <f t="shared" si="2"/>
        <v>520</v>
      </c>
      <c r="H10" s="81">
        <f t="shared" si="4"/>
        <v>33.443999999999996</v>
      </c>
      <c r="I10" s="41">
        <v>360</v>
      </c>
      <c r="J10" s="40" t="s">
        <v>38</v>
      </c>
      <c r="K10" s="38">
        <v>1</v>
      </c>
      <c r="L10" s="39">
        <f t="shared" si="3"/>
        <v>33.443999999999996</v>
      </c>
      <c r="M10" s="88">
        <f t="shared" si="5"/>
        <v>360</v>
      </c>
      <c r="N10" s="19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34" customFormat="1" ht="12" customHeight="1">
      <c r="A11" s="52" t="s">
        <v>44</v>
      </c>
      <c r="B11" s="81">
        <f t="shared" si="0"/>
        <v>6.503</v>
      </c>
      <c r="C11" s="38">
        <v>70</v>
      </c>
      <c r="D11" s="40" t="s">
        <v>81</v>
      </c>
      <c r="E11" s="38">
        <v>1</v>
      </c>
      <c r="F11" s="39">
        <f t="shared" si="1"/>
        <v>6.503</v>
      </c>
      <c r="G11" s="184">
        <f t="shared" si="2"/>
        <v>70</v>
      </c>
      <c r="H11" s="81">
        <f t="shared" si="4"/>
        <v>1.8579999999999999</v>
      </c>
      <c r="I11" s="41">
        <v>20</v>
      </c>
      <c r="J11" s="40" t="s">
        <v>82</v>
      </c>
      <c r="K11" s="38">
        <v>1</v>
      </c>
      <c r="L11" s="39">
        <f t="shared" si="3"/>
        <v>1.8579999999999999</v>
      </c>
      <c r="M11" s="88">
        <f t="shared" si="5"/>
        <v>20</v>
      </c>
      <c r="N11" s="19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34" customFormat="1" ht="12" customHeight="1">
      <c r="A12" s="35" t="s">
        <v>22</v>
      </c>
      <c r="B12" s="81">
        <f t="shared" si="0"/>
        <v>50.166</v>
      </c>
      <c r="C12" s="38">
        <v>540</v>
      </c>
      <c r="D12" s="40" t="s">
        <v>50</v>
      </c>
      <c r="E12" s="38">
        <v>2</v>
      </c>
      <c r="F12" s="39">
        <f t="shared" si="1"/>
        <v>100.332</v>
      </c>
      <c r="G12" s="184">
        <f t="shared" si="2"/>
        <v>1080</v>
      </c>
      <c r="H12" s="81">
        <f t="shared" si="4"/>
        <v>45.521</v>
      </c>
      <c r="I12" s="41">
        <v>490</v>
      </c>
      <c r="J12" s="40" t="s">
        <v>39</v>
      </c>
      <c r="K12" s="38">
        <v>2</v>
      </c>
      <c r="L12" s="39">
        <f t="shared" si="3"/>
        <v>91.042</v>
      </c>
      <c r="M12" s="88">
        <f t="shared" si="5"/>
        <v>980</v>
      </c>
      <c r="N12" s="19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34" customFormat="1" ht="12" customHeight="1">
      <c r="A13" s="35" t="s">
        <v>76</v>
      </c>
      <c r="B13" s="82"/>
      <c r="C13" s="53"/>
      <c r="D13" s="54"/>
      <c r="E13" s="55"/>
      <c r="F13" s="56"/>
      <c r="G13" s="185"/>
      <c r="H13" s="82"/>
      <c r="I13" s="53"/>
      <c r="J13" s="54"/>
      <c r="K13" s="55"/>
      <c r="L13" s="56"/>
      <c r="M13" s="89"/>
      <c r="N13" s="19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s="34" customFormat="1" ht="12" customHeight="1">
      <c r="A14" s="52" t="s">
        <v>33</v>
      </c>
      <c r="B14" s="81">
        <f>$A$1*C14</f>
        <v>8.360999999999999</v>
      </c>
      <c r="C14" s="41">
        <v>90</v>
      </c>
      <c r="D14" s="40" t="s">
        <v>48</v>
      </c>
      <c r="E14" s="38">
        <v>1</v>
      </c>
      <c r="F14" s="39">
        <f>B14*E14</f>
        <v>8.360999999999999</v>
      </c>
      <c r="G14" s="184">
        <f>E14*C14</f>
        <v>90</v>
      </c>
      <c r="H14" s="81">
        <f>$A$1*I14</f>
        <v>0</v>
      </c>
      <c r="I14" s="41"/>
      <c r="J14" s="40" t="s">
        <v>51</v>
      </c>
      <c r="K14" s="38">
        <v>0</v>
      </c>
      <c r="L14" s="39">
        <f>H14*K14</f>
        <v>0</v>
      </c>
      <c r="M14" s="88">
        <f>K14*I14</f>
        <v>0</v>
      </c>
      <c r="N14" s="19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34" customFormat="1" ht="12" customHeight="1">
      <c r="A15" s="52" t="s">
        <v>32</v>
      </c>
      <c r="B15" s="81">
        <f>$A$1*C15</f>
        <v>8.360999999999999</v>
      </c>
      <c r="C15" s="41">
        <v>90</v>
      </c>
      <c r="D15" s="40" t="s">
        <v>48</v>
      </c>
      <c r="E15" s="38">
        <v>1</v>
      </c>
      <c r="F15" s="39">
        <f>B15*E15</f>
        <v>8.360999999999999</v>
      </c>
      <c r="G15" s="184">
        <f>E15*C15</f>
        <v>90</v>
      </c>
      <c r="H15" s="81">
        <f>$A$1*I15</f>
        <v>0</v>
      </c>
      <c r="I15" s="41"/>
      <c r="J15" s="40" t="s">
        <v>51</v>
      </c>
      <c r="K15" s="38">
        <v>0</v>
      </c>
      <c r="L15" s="39">
        <f>H15*K15</f>
        <v>0</v>
      </c>
      <c r="M15" s="88">
        <f>K15*I15</f>
        <v>0</v>
      </c>
      <c r="N15" s="19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34" customFormat="1" ht="12" customHeight="1">
      <c r="A16" s="35" t="s">
        <v>75</v>
      </c>
      <c r="B16" s="82"/>
      <c r="C16" s="53"/>
      <c r="D16" s="54"/>
      <c r="E16" s="55"/>
      <c r="F16" s="56"/>
      <c r="G16" s="185"/>
      <c r="H16" s="82"/>
      <c r="I16" s="53"/>
      <c r="J16" s="54"/>
      <c r="K16" s="55"/>
      <c r="L16" s="56"/>
      <c r="M16" s="89"/>
      <c r="N16" s="19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4" customFormat="1" ht="12" customHeight="1">
      <c r="A17" s="52" t="s">
        <v>28</v>
      </c>
      <c r="B17" s="81">
        <f>$A$1*C17</f>
        <v>0</v>
      </c>
      <c r="C17" s="41"/>
      <c r="D17" s="40" t="s">
        <v>51</v>
      </c>
      <c r="E17" s="38"/>
      <c r="F17" s="39">
        <f t="shared" si="1"/>
        <v>0</v>
      </c>
      <c r="G17" s="184">
        <f>E17*C17</f>
        <v>0</v>
      </c>
      <c r="H17" s="81">
        <f>$A$1*I17</f>
        <v>3.7159999999999997</v>
      </c>
      <c r="I17" s="41">
        <v>40</v>
      </c>
      <c r="J17" s="40" t="s">
        <v>48</v>
      </c>
      <c r="K17" s="38">
        <v>2</v>
      </c>
      <c r="L17" s="39">
        <f t="shared" si="3"/>
        <v>7.4319999999999995</v>
      </c>
      <c r="M17" s="88">
        <f t="shared" si="5"/>
        <v>80</v>
      </c>
      <c r="N17" s="19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4" customFormat="1" ht="12" customHeight="1">
      <c r="A18" s="52" t="s">
        <v>29</v>
      </c>
      <c r="B18" s="81">
        <f>$A$1*C18</f>
        <v>0</v>
      </c>
      <c r="C18" s="41"/>
      <c r="D18" s="40" t="s">
        <v>51</v>
      </c>
      <c r="E18" s="38"/>
      <c r="F18" s="39">
        <f t="shared" si="1"/>
        <v>0</v>
      </c>
      <c r="G18" s="184">
        <f>E18*C18</f>
        <v>0</v>
      </c>
      <c r="H18" s="81">
        <f>$A$1*I18</f>
        <v>3.7159999999999997</v>
      </c>
      <c r="I18" s="41">
        <v>40</v>
      </c>
      <c r="J18" s="40" t="s">
        <v>48</v>
      </c>
      <c r="K18" s="38">
        <v>2</v>
      </c>
      <c r="L18" s="39">
        <f t="shared" si="3"/>
        <v>7.4319999999999995</v>
      </c>
      <c r="M18" s="88">
        <f t="shared" si="5"/>
        <v>80</v>
      </c>
      <c r="N18" s="19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4" customFormat="1" ht="12" customHeight="1">
      <c r="A19" s="52" t="s">
        <v>30</v>
      </c>
      <c r="B19" s="81">
        <f>$A$1*C19</f>
        <v>0</v>
      </c>
      <c r="C19" s="41"/>
      <c r="D19" s="40" t="s">
        <v>51</v>
      </c>
      <c r="E19" s="38"/>
      <c r="F19" s="39">
        <f t="shared" si="1"/>
        <v>0</v>
      </c>
      <c r="G19" s="184">
        <f>E19*C19</f>
        <v>0</v>
      </c>
      <c r="H19" s="81">
        <f>$A$1*I19</f>
        <v>3.7159999999999997</v>
      </c>
      <c r="I19" s="41">
        <v>40</v>
      </c>
      <c r="J19" s="40" t="s">
        <v>48</v>
      </c>
      <c r="K19" s="38">
        <v>2</v>
      </c>
      <c r="L19" s="39">
        <f t="shared" si="3"/>
        <v>7.4319999999999995</v>
      </c>
      <c r="M19" s="88">
        <f t="shared" si="5"/>
        <v>80</v>
      </c>
      <c r="N19" s="19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34" customFormat="1" ht="12" customHeight="1">
      <c r="A20" s="52" t="s">
        <v>31</v>
      </c>
      <c r="B20" s="81">
        <f>$A$1*C20</f>
        <v>0</v>
      </c>
      <c r="C20" s="41"/>
      <c r="D20" s="40" t="s">
        <v>51</v>
      </c>
      <c r="E20" s="38"/>
      <c r="F20" s="39">
        <f t="shared" si="1"/>
        <v>0</v>
      </c>
      <c r="G20" s="184">
        <f>E20*C20</f>
        <v>0</v>
      </c>
      <c r="H20" s="81">
        <f>$A$1*I20</f>
        <v>3.7159999999999997</v>
      </c>
      <c r="I20" s="41">
        <v>40</v>
      </c>
      <c r="J20" s="40" t="s">
        <v>48</v>
      </c>
      <c r="K20" s="38">
        <v>2</v>
      </c>
      <c r="L20" s="39">
        <f t="shared" si="3"/>
        <v>7.4319999999999995</v>
      </c>
      <c r="M20" s="88">
        <f t="shared" si="5"/>
        <v>80</v>
      </c>
      <c r="N20" s="19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12" customHeight="1">
      <c r="A21" s="42" t="s">
        <v>23</v>
      </c>
      <c r="B21" s="81">
        <f aca="true" t="shared" si="6" ref="B21:B26">$A$1*C21</f>
        <v>4.180499999999999</v>
      </c>
      <c r="C21" s="41">
        <v>45</v>
      </c>
      <c r="D21" s="40" t="s">
        <v>48</v>
      </c>
      <c r="E21" s="38">
        <v>1</v>
      </c>
      <c r="F21" s="39">
        <f t="shared" si="1"/>
        <v>4.180499999999999</v>
      </c>
      <c r="G21" s="184">
        <f aca="true" t="shared" si="7" ref="G21:G30">E21*C21</f>
        <v>45</v>
      </c>
      <c r="H21" s="81">
        <f t="shared" si="4"/>
        <v>4.180499999999999</v>
      </c>
      <c r="I21" s="41">
        <v>45</v>
      </c>
      <c r="J21" s="40" t="s">
        <v>48</v>
      </c>
      <c r="K21" s="38">
        <v>1</v>
      </c>
      <c r="L21" s="39">
        <f t="shared" si="3"/>
        <v>4.180499999999999</v>
      </c>
      <c r="M21" s="88">
        <f t="shared" si="5"/>
        <v>45</v>
      </c>
      <c r="N21" s="19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34" customFormat="1" ht="12" customHeight="1">
      <c r="A22" s="42" t="s">
        <v>24</v>
      </c>
      <c r="B22" s="81">
        <f t="shared" si="6"/>
        <v>7.8965</v>
      </c>
      <c r="C22" s="41">
        <v>85</v>
      </c>
      <c r="D22" s="40" t="s">
        <v>48</v>
      </c>
      <c r="E22" s="38">
        <v>1</v>
      </c>
      <c r="F22" s="39">
        <f t="shared" si="1"/>
        <v>7.8965</v>
      </c>
      <c r="G22" s="184">
        <f t="shared" si="7"/>
        <v>85</v>
      </c>
      <c r="H22" s="81">
        <f>$A$1*I22</f>
        <v>7.8965</v>
      </c>
      <c r="I22" s="41">
        <v>85</v>
      </c>
      <c r="J22" s="40" t="s">
        <v>48</v>
      </c>
      <c r="K22" s="38">
        <v>1</v>
      </c>
      <c r="L22" s="39">
        <f aca="true" t="shared" si="8" ref="L22:L31">H22*K22</f>
        <v>7.8965</v>
      </c>
      <c r="M22" s="88">
        <f aca="true" t="shared" si="9" ref="M22:M31">K22*I22</f>
        <v>85</v>
      </c>
      <c r="N22" s="19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34" customFormat="1" ht="12" customHeight="1">
      <c r="A23" s="35" t="s">
        <v>63</v>
      </c>
      <c r="B23" s="81">
        <f t="shared" si="6"/>
        <v>11.148</v>
      </c>
      <c r="C23" s="41">
        <v>120</v>
      </c>
      <c r="D23" s="40" t="s">
        <v>53</v>
      </c>
      <c r="E23" s="38">
        <v>1</v>
      </c>
      <c r="F23" s="39">
        <f t="shared" si="1"/>
        <v>11.148</v>
      </c>
      <c r="G23" s="184">
        <f t="shared" si="7"/>
        <v>120</v>
      </c>
      <c r="H23" s="81">
        <f>$A$1*I23</f>
        <v>11.148</v>
      </c>
      <c r="I23" s="41">
        <f>75+45</f>
        <v>120</v>
      </c>
      <c r="J23" s="40" t="s">
        <v>64</v>
      </c>
      <c r="K23" s="38">
        <v>1</v>
      </c>
      <c r="L23" s="39">
        <f t="shared" si="8"/>
        <v>11.148</v>
      </c>
      <c r="M23" s="88">
        <f t="shared" si="9"/>
        <v>120</v>
      </c>
      <c r="N23" s="19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34" customFormat="1" ht="12" customHeight="1">
      <c r="A24" s="35" t="s">
        <v>25</v>
      </c>
      <c r="B24" s="81">
        <f t="shared" si="6"/>
        <v>9.29</v>
      </c>
      <c r="C24" s="41">
        <v>100</v>
      </c>
      <c r="D24" s="40" t="s">
        <v>48</v>
      </c>
      <c r="E24" s="38">
        <v>1</v>
      </c>
      <c r="F24" s="39">
        <f t="shared" si="1"/>
        <v>9.29</v>
      </c>
      <c r="G24" s="184">
        <f t="shared" si="7"/>
        <v>100</v>
      </c>
      <c r="H24" s="81">
        <f t="shared" si="4"/>
        <v>13.934999999999999</v>
      </c>
      <c r="I24" s="41">
        <v>150</v>
      </c>
      <c r="J24" s="40" t="s">
        <v>52</v>
      </c>
      <c r="K24" s="38">
        <v>1</v>
      </c>
      <c r="L24" s="39">
        <f t="shared" si="8"/>
        <v>13.934999999999999</v>
      </c>
      <c r="M24" s="88">
        <f t="shared" si="9"/>
        <v>150</v>
      </c>
      <c r="N24" s="19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4" customFormat="1" ht="12" customHeight="1">
      <c r="A25" s="175" t="s">
        <v>69</v>
      </c>
      <c r="B25" s="81">
        <f t="shared" si="6"/>
        <v>1.3935</v>
      </c>
      <c r="C25" s="41">
        <v>15</v>
      </c>
      <c r="D25" s="40" t="s">
        <v>48</v>
      </c>
      <c r="E25" s="38">
        <v>1</v>
      </c>
      <c r="F25" s="39">
        <f t="shared" si="1"/>
        <v>1.3935</v>
      </c>
      <c r="G25" s="184">
        <f t="shared" si="7"/>
        <v>15</v>
      </c>
      <c r="H25" s="81"/>
      <c r="I25" s="41"/>
      <c r="J25" s="199" t="s">
        <v>71</v>
      </c>
      <c r="K25" s="38">
        <v>0</v>
      </c>
      <c r="L25" s="39">
        <f>H25*K25</f>
        <v>0</v>
      </c>
      <c r="M25" s="88">
        <f>K25*I25</f>
        <v>0</v>
      </c>
      <c r="N25" s="19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34" customFormat="1" ht="12" customHeight="1">
      <c r="A26" s="35" t="s">
        <v>26</v>
      </c>
      <c r="B26" s="81">
        <f t="shared" si="6"/>
        <v>7.4319999999999995</v>
      </c>
      <c r="C26" s="41">
        <v>80</v>
      </c>
      <c r="D26" s="40" t="s">
        <v>48</v>
      </c>
      <c r="E26" s="38">
        <v>1</v>
      </c>
      <c r="F26" s="39">
        <f t="shared" si="1"/>
        <v>7.4319999999999995</v>
      </c>
      <c r="G26" s="184">
        <f t="shared" si="7"/>
        <v>80</v>
      </c>
      <c r="H26" s="81">
        <f t="shared" si="4"/>
        <v>5.1095</v>
      </c>
      <c r="I26" s="41">
        <v>55</v>
      </c>
      <c r="J26" s="40"/>
      <c r="K26" s="38">
        <v>1</v>
      </c>
      <c r="L26" s="39">
        <f t="shared" si="8"/>
        <v>5.1095</v>
      </c>
      <c r="M26" s="88">
        <f t="shared" si="9"/>
        <v>55</v>
      </c>
      <c r="N26" s="19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34" customFormat="1" ht="12" customHeight="1">
      <c r="A27" s="32" t="s">
        <v>34</v>
      </c>
      <c r="B27" s="82"/>
      <c r="C27" s="53"/>
      <c r="D27" s="54"/>
      <c r="E27" s="55"/>
      <c r="F27" s="56"/>
      <c r="G27" s="185"/>
      <c r="H27" s="82"/>
      <c r="I27" s="53"/>
      <c r="J27" s="54"/>
      <c r="K27" s="55"/>
      <c r="L27" s="56"/>
      <c r="M27" s="89"/>
      <c r="N27" s="19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4" customFormat="1" ht="12" customHeight="1">
      <c r="A28" s="57" t="s">
        <v>35</v>
      </c>
      <c r="B28" s="81">
        <f>$A$1*C28</f>
        <v>46.449999999999996</v>
      </c>
      <c r="C28" s="41">
        <v>500</v>
      </c>
      <c r="D28" s="40" t="s">
        <v>79</v>
      </c>
      <c r="E28" s="38">
        <v>1</v>
      </c>
      <c r="F28" s="39">
        <f t="shared" si="1"/>
        <v>46.449999999999996</v>
      </c>
      <c r="G28" s="184">
        <f t="shared" si="7"/>
        <v>500</v>
      </c>
      <c r="H28" s="81">
        <f t="shared" si="4"/>
        <v>7.4319999999999995</v>
      </c>
      <c r="I28" s="41">
        <v>80</v>
      </c>
      <c r="J28" s="40" t="s">
        <v>72</v>
      </c>
      <c r="K28" s="38">
        <v>1</v>
      </c>
      <c r="L28" s="39">
        <f t="shared" si="8"/>
        <v>7.4319999999999995</v>
      </c>
      <c r="M28" s="88">
        <f t="shared" si="9"/>
        <v>80</v>
      </c>
      <c r="N28" s="19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4" customFormat="1" ht="12" customHeight="1">
      <c r="A29" s="57" t="s">
        <v>37</v>
      </c>
      <c r="B29" s="81">
        <f>$A$1*C29</f>
        <v>30.657</v>
      </c>
      <c r="C29" s="41">
        <f>250+80</f>
        <v>330</v>
      </c>
      <c r="D29" s="40" t="s">
        <v>56</v>
      </c>
      <c r="E29" s="38">
        <v>1</v>
      </c>
      <c r="F29" s="39">
        <f t="shared" si="1"/>
        <v>30.657</v>
      </c>
      <c r="G29" s="184">
        <f t="shared" si="7"/>
        <v>330</v>
      </c>
      <c r="H29" s="81">
        <f t="shared" si="4"/>
        <v>29.727999999999998</v>
      </c>
      <c r="I29" s="41">
        <v>320</v>
      </c>
      <c r="J29" s="40"/>
      <c r="K29" s="38">
        <v>1</v>
      </c>
      <c r="L29" s="39">
        <f t="shared" si="8"/>
        <v>29.727999999999998</v>
      </c>
      <c r="M29" s="88">
        <f t="shared" si="9"/>
        <v>320</v>
      </c>
      <c r="N29" s="19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34" customFormat="1" ht="12" customHeight="1">
      <c r="A30" s="73" t="s">
        <v>42</v>
      </c>
      <c r="B30" s="81">
        <f>$A$1*C30</f>
        <v>9.29</v>
      </c>
      <c r="C30" s="74">
        <v>100</v>
      </c>
      <c r="D30" s="75" t="s">
        <v>48</v>
      </c>
      <c r="E30" s="76">
        <v>1</v>
      </c>
      <c r="F30" s="77">
        <f t="shared" si="1"/>
        <v>9.29</v>
      </c>
      <c r="G30" s="186">
        <f t="shared" si="7"/>
        <v>100</v>
      </c>
      <c r="H30" s="81">
        <f t="shared" si="4"/>
        <v>0</v>
      </c>
      <c r="I30" s="74">
        <v>0</v>
      </c>
      <c r="J30" s="75" t="s">
        <v>51</v>
      </c>
      <c r="K30" s="76">
        <v>0</v>
      </c>
      <c r="L30" s="39">
        <f>H30*K30</f>
        <v>0</v>
      </c>
      <c r="M30" s="88">
        <f>K30*I30</f>
        <v>0</v>
      </c>
      <c r="N30" s="19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34" customFormat="1" ht="12.75" customHeight="1">
      <c r="A31" s="94" t="s">
        <v>41</v>
      </c>
      <c r="B31" s="83">
        <f>$A$1*C31</f>
        <v>0.9289999999999999</v>
      </c>
      <c r="C31" s="74">
        <v>10</v>
      </c>
      <c r="D31" s="75" t="s">
        <v>48</v>
      </c>
      <c r="E31" s="76">
        <v>1</v>
      </c>
      <c r="F31" s="77">
        <f>B31*E31</f>
        <v>0.9289999999999999</v>
      </c>
      <c r="G31" s="186">
        <f>E31*C31</f>
        <v>10</v>
      </c>
      <c r="H31" s="83">
        <f>$A$1*I31</f>
        <v>0</v>
      </c>
      <c r="I31" s="74">
        <v>0</v>
      </c>
      <c r="J31" s="75" t="s">
        <v>51</v>
      </c>
      <c r="K31" s="76">
        <v>0</v>
      </c>
      <c r="L31" s="77">
        <f t="shared" si="8"/>
        <v>0</v>
      </c>
      <c r="M31" s="90">
        <f t="shared" si="9"/>
        <v>0</v>
      </c>
      <c r="N31" s="194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34" customFormat="1" ht="15" customHeight="1">
      <c r="A32" s="205" t="s">
        <v>58</v>
      </c>
      <c r="B32" s="97"/>
      <c r="C32" s="98"/>
      <c r="D32" s="97"/>
      <c r="E32" s="97"/>
      <c r="F32" s="97"/>
      <c r="G32" s="187">
        <f>SUM(G3:G31)</f>
        <v>4731</v>
      </c>
      <c r="H32" s="97"/>
      <c r="I32" s="98"/>
      <c r="J32" s="97"/>
      <c r="K32" s="97"/>
      <c r="L32" s="97"/>
      <c r="M32" s="95">
        <f>SUM(M3:M31)</f>
        <v>4145</v>
      </c>
      <c r="N32" s="195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34" customFormat="1" ht="15" customHeight="1">
      <c r="A33" s="205" t="s">
        <v>54</v>
      </c>
      <c r="B33" s="204">
        <v>0.07</v>
      </c>
      <c r="C33" s="97"/>
      <c r="D33" s="97"/>
      <c r="E33" s="97"/>
      <c r="F33" s="97"/>
      <c r="G33" s="188">
        <f>G32*B33</f>
        <v>331.17</v>
      </c>
      <c r="H33" s="201"/>
      <c r="I33" s="97"/>
      <c r="J33" s="97"/>
      <c r="K33" s="97"/>
      <c r="L33" s="97"/>
      <c r="M33" s="96">
        <f>M32*B33</f>
        <v>290.15000000000003</v>
      </c>
      <c r="N33" s="195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34" customFormat="1" ht="24">
      <c r="A34" s="57" t="s">
        <v>36</v>
      </c>
      <c r="B34" s="81">
        <f>$A$1*C34</f>
        <v>37.16</v>
      </c>
      <c r="C34" s="41">
        <v>400</v>
      </c>
      <c r="D34" s="71" t="s">
        <v>40</v>
      </c>
      <c r="E34" s="38">
        <v>0.5</v>
      </c>
      <c r="F34" s="39">
        <f>B34*E34</f>
        <v>18.58</v>
      </c>
      <c r="G34" s="184">
        <f>E34*C34</f>
        <v>200</v>
      </c>
      <c r="H34" s="200">
        <f>$A$1*I34</f>
        <v>122.628</v>
      </c>
      <c r="I34" s="41">
        <f>1320</f>
        <v>1320</v>
      </c>
      <c r="J34" s="71" t="s">
        <v>40</v>
      </c>
      <c r="K34" s="38">
        <v>0.5</v>
      </c>
      <c r="L34" s="39">
        <f>H34*K34</f>
        <v>61.314</v>
      </c>
      <c r="M34" s="88">
        <f>K34*I34</f>
        <v>660</v>
      </c>
      <c r="N34" s="19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14" ht="15" customHeight="1">
      <c r="A35" s="205" t="s">
        <v>59</v>
      </c>
      <c r="B35" s="97"/>
      <c r="C35" s="98"/>
      <c r="D35" s="97"/>
      <c r="E35" s="97"/>
      <c r="F35" s="97"/>
      <c r="G35" s="187">
        <f>G33+G32+G34</f>
        <v>5262.17</v>
      </c>
      <c r="H35" s="97"/>
      <c r="I35" s="98"/>
      <c r="J35" s="97"/>
      <c r="K35" s="97"/>
      <c r="L35" s="97"/>
      <c r="M35" s="95">
        <f>M33+M32+M34</f>
        <v>5095.15</v>
      </c>
      <c r="N35" s="196"/>
    </row>
    <row r="36" spans="1:26" s="34" customFormat="1" ht="12" customHeight="1">
      <c r="A36" s="32" t="s">
        <v>66</v>
      </c>
      <c r="B36" s="85"/>
      <c r="C36" s="67"/>
      <c r="D36" s="68"/>
      <c r="E36" s="69"/>
      <c r="F36" s="70"/>
      <c r="G36" s="189"/>
      <c r="H36" s="85"/>
      <c r="I36" s="67"/>
      <c r="J36" s="68"/>
      <c r="K36" s="69"/>
      <c r="L36" s="70"/>
      <c r="M36" s="92"/>
      <c r="N36" s="19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34" customFormat="1" ht="12">
      <c r="A37" s="73" t="s">
        <v>43</v>
      </c>
      <c r="B37" s="81">
        <f>$A$1*C37</f>
        <v>32.515</v>
      </c>
      <c r="C37" s="74">
        <v>350</v>
      </c>
      <c r="D37" s="78" t="s">
        <v>57</v>
      </c>
      <c r="E37" s="76">
        <v>10</v>
      </c>
      <c r="F37" s="39">
        <f>B37*E37</f>
        <v>325.15</v>
      </c>
      <c r="G37" s="184">
        <f>E37*C37</f>
        <v>3500</v>
      </c>
      <c r="H37" s="81">
        <f>$A$1*I37</f>
        <v>32.515</v>
      </c>
      <c r="I37" s="74">
        <v>350</v>
      </c>
      <c r="J37" s="78" t="s">
        <v>57</v>
      </c>
      <c r="K37" s="76">
        <v>10</v>
      </c>
      <c r="L37" s="39">
        <f>H37*K37</f>
        <v>325.15</v>
      </c>
      <c r="M37" s="40">
        <f>K37*I37</f>
        <v>3500</v>
      </c>
      <c r="N37" s="19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34" customFormat="1" ht="12" customHeight="1" thickBot="1">
      <c r="A38" s="58" t="s">
        <v>27</v>
      </c>
      <c r="B38" s="84">
        <f>$A$1*C38</f>
        <v>9.29</v>
      </c>
      <c r="C38" s="59">
        <v>100</v>
      </c>
      <c r="D38" s="60" t="s">
        <v>46</v>
      </c>
      <c r="E38" s="61">
        <v>20</v>
      </c>
      <c r="F38" s="62">
        <f>B38*E38</f>
        <v>185.79999999999998</v>
      </c>
      <c r="G38" s="186">
        <f>E38*C38</f>
        <v>2000</v>
      </c>
      <c r="H38" s="84">
        <f>$A$1*I38</f>
        <v>9.29</v>
      </c>
      <c r="I38" s="59">
        <v>100</v>
      </c>
      <c r="J38" s="60" t="s">
        <v>46</v>
      </c>
      <c r="K38" s="61">
        <v>20</v>
      </c>
      <c r="L38" s="62">
        <f>H38*K38</f>
        <v>185.79999999999998</v>
      </c>
      <c r="M38" s="75">
        <f>K38*I38</f>
        <v>2000</v>
      </c>
      <c r="N38" s="198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2:13" ht="12" customHeight="1" thickBot="1">
      <c r="B39" s="45"/>
      <c r="C39" s="45"/>
      <c r="G39" s="162">
        <f>SUM(G35:G38)</f>
        <v>10762.17</v>
      </c>
      <c r="H39" s="45"/>
      <c r="I39" s="45"/>
      <c r="M39" s="162">
        <f>SUM(M35:M38)</f>
        <v>10595.15</v>
      </c>
    </row>
    <row r="40" spans="2:9" ht="12" customHeight="1">
      <c r="B40" s="45"/>
      <c r="C40" s="45"/>
      <c r="H40" s="45"/>
      <c r="I40" s="45"/>
    </row>
    <row r="41" spans="1:13" ht="12" customHeight="1">
      <c r="A41" s="46"/>
      <c r="B41" s="47"/>
      <c r="C41" s="44"/>
      <c r="D41" s="33"/>
      <c r="E41" s="43"/>
      <c r="F41" s="48"/>
      <c r="G41" s="33"/>
      <c r="H41" s="47"/>
      <c r="I41" s="44"/>
      <c r="J41" s="33"/>
      <c r="K41" s="43"/>
      <c r="L41" s="48"/>
      <c r="M41" s="91"/>
    </row>
    <row r="42" spans="1:13" ht="12" customHeight="1">
      <c r="A42" s="46"/>
      <c r="B42" s="47"/>
      <c r="C42" s="44"/>
      <c r="D42" s="33"/>
      <c r="E42" s="43"/>
      <c r="F42" s="48"/>
      <c r="G42" s="33"/>
      <c r="H42" s="47"/>
      <c r="I42" s="44"/>
      <c r="J42" s="33"/>
      <c r="K42" s="43"/>
      <c r="L42" s="48"/>
      <c r="M42" s="91"/>
    </row>
    <row r="43" spans="1:13" ht="12" customHeight="1">
      <c r="A43" s="46"/>
      <c r="B43" s="47"/>
      <c r="C43" s="44"/>
      <c r="D43" s="33"/>
      <c r="E43" s="43"/>
      <c r="F43" s="48"/>
      <c r="G43" s="33"/>
      <c r="H43" s="47"/>
      <c r="I43" s="44"/>
      <c r="J43" s="33"/>
      <c r="K43" s="43"/>
      <c r="L43" s="48"/>
      <c r="M43" s="91"/>
    </row>
    <row r="44" spans="1:13" ht="12" customHeight="1">
      <c r="A44" s="46"/>
      <c r="B44" s="47"/>
      <c r="C44" s="44"/>
      <c r="D44" s="33"/>
      <c r="E44" s="43"/>
      <c r="F44" s="48"/>
      <c r="G44" s="33"/>
      <c r="H44" s="47"/>
      <c r="I44" s="44"/>
      <c r="J44" s="33"/>
      <c r="K44" s="43"/>
      <c r="L44" s="48"/>
      <c r="M44" s="91"/>
    </row>
  </sheetData>
  <mergeCells count="4">
    <mergeCell ref="K1:M1"/>
    <mergeCell ref="H1:J1"/>
    <mergeCell ref="B1:D1"/>
    <mergeCell ref="E1:G1"/>
  </mergeCells>
  <printOptions horizontalCentered="1"/>
  <pageMargins left="0.4" right="0.4" top="0.5" bottom="0.5" header="0.5" footer="0.2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4"/>
  <sheetViews>
    <sheetView showZeros="0" tabSelected="1" zoomScale="115" zoomScaleNormal="115" workbookViewId="0" topLeftCell="A1">
      <selection activeCell="D1" sqref="D1:G2"/>
    </sheetView>
  </sheetViews>
  <sheetFormatPr defaultColWidth="9.140625" defaultRowHeight="12.75"/>
  <cols>
    <col min="1" max="1" width="24.7109375" style="2" customWidth="1"/>
    <col min="2" max="2" width="22.7109375" style="2" customWidth="1"/>
    <col min="3" max="4" width="14.7109375" style="2" customWidth="1"/>
    <col min="5" max="5" width="1.7109375" style="2" customWidth="1"/>
    <col min="6" max="7" width="9.28125" style="2" customWidth="1"/>
    <col min="8" max="8" width="2.7109375" style="2" customWidth="1"/>
    <col min="9" max="9" width="3.7109375" style="171" hidden="1" customWidth="1"/>
    <col min="10" max="10" width="14.7109375" style="25" hidden="1" customWidth="1"/>
    <col min="11" max="11" width="2.7109375" style="21" hidden="1" customWidth="1"/>
    <col min="12" max="13" width="10.7109375" style="21" hidden="1" customWidth="1"/>
    <col min="14" max="14" width="2.7109375" style="21" hidden="1" customWidth="1"/>
    <col min="15" max="15" width="50.7109375" style="2" customWidth="1"/>
    <col min="16" max="16384" width="8.8515625" style="2" customWidth="1"/>
  </cols>
  <sheetData>
    <row r="1" spans="1:15" ht="13.5" customHeight="1">
      <c r="A1" s="1"/>
      <c r="B1" s="233" t="s">
        <v>6</v>
      </c>
      <c r="C1" s="233"/>
      <c r="D1" s="229"/>
      <c r="E1" s="229"/>
      <c r="F1" s="229"/>
      <c r="G1" s="229"/>
      <c r="I1" s="163"/>
      <c r="J1" s="51"/>
      <c r="K1" s="51"/>
      <c r="L1" s="51"/>
      <c r="M1" s="51"/>
      <c r="N1" s="51"/>
      <c r="O1" s="6" t="s">
        <v>15</v>
      </c>
    </row>
    <row r="2" spans="1:15" s="5" customFormat="1" ht="13.5" customHeight="1">
      <c r="A2" s="3"/>
      <c r="B2" s="233"/>
      <c r="C2" s="233"/>
      <c r="D2" s="230"/>
      <c r="E2" s="230"/>
      <c r="F2" s="230"/>
      <c r="G2" s="230"/>
      <c r="H2" s="4"/>
      <c r="I2" s="202" t="s">
        <v>83</v>
      </c>
      <c r="J2" s="22"/>
      <c r="K2" s="22"/>
      <c r="L2" s="22"/>
      <c r="M2" s="22"/>
      <c r="N2" s="22"/>
      <c r="O2" s="228" t="s">
        <v>84</v>
      </c>
    </row>
    <row r="3" spans="1:15" s="5" customFormat="1" ht="19.5" customHeight="1" thickBot="1">
      <c r="A3" s="231" t="str">
        <f>IF(D1=0,"Project Name and Information Here",D1)</f>
        <v>Project Name and Information Here</v>
      </c>
      <c r="B3" s="231"/>
      <c r="C3" s="231"/>
      <c r="D3" s="231"/>
      <c r="E3" s="231"/>
      <c r="F3" s="231"/>
      <c r="G3" s="231"/>
      <c r="H3" s="4"/>
      <c r="I3" s="164"/>
      <c r="J3" s="23" t="s">
        <v>60</v>
      </c>
      <c r="K3" s="22"/>
      <c r="L3" s="220" t="s">
        <v>7</v>
      </c>
      <c r="M3" s="221"/>
      <c r="N3" s="22"/>
      <c r="O3" s="228"/>
    </row>
    <row r="4" spans="1:14" s="102" customFormat="1" ht="12" customHeight="1">
      <c r="A4" s="99"/>
      <c r="B4" s="100"/>
      <c r="C4" s="100"/>
      <c r="D4" s="222">
        <f>IF(C5=J7,"This space program tool does not currently apply to Air Force facilities.",)</f>
        <v>0</v>
      </c>
      <c r="E4" s="222"/>
      <c r="F4" s="222"/>
      <c r="G4" s="223"/>
      <c r="H4" s="101"/>
      <c r="I4" s="165"/>
      <c r="J4" s="103"/>
      <c r="K4" s="104"/>
      <c r="L4" s="104"/>
      <c r="M4" s="104"/>
      <c r="N4" s="104"/>
    </row>
    <row r="5" spans="1:15" s="102" customFormat="1" ht="12" customHeight="1">
      <c r="A5" s="7" t="s">
        <v>8</v>
      </c>
      <c r="B5" s="105"/>
      <c r="C5" s="106"/>
      <c r="D5" s="224"/>
      <c r="E5" s="224"/>
      <c r="F5" s="224"/>
      <c r="G5" s="225"/>
      <c r="H5" s="101"/>
      <c r="I5" s="166" t="str">
        <f>IF(D4=0,"D",)</f>
        <v>D</v>
      </c>
      <c r="J5" s="108" t="s">
        <v>9</v>
      </c>
      <c r="K5" s="104"/>
      <c r="L5" s="109" t="s">
        <v>9</v>
      </c>
      <c r="M5" s="109" t="s">
        <v>61</v>
      </c>
      <c r="N5" s="104"/>
      <c r="O5" s="206"/>
    </row>
    <row r="6" spans="1:14" s="102" customFormat="1" ht="12" customHeight="1">
      <c r="A6" s="110"/>
      <c r="B6" s="111"/>
      <c r="C6" s="112"/>
      <c r="D6" s="226"/>
      <c r="E6" s="226"/>
      <c r="F6" s="226"/>
      <c r="G6" s="227"/>
      <c r="H6" s="101"/>
      <c r="I6" s="165"/>
      <c r="J6" s="108" t="s">
        <v>10</v>
      </c>
      <c r="K6" s="104"/>
      <c r="L6" s="104"/>
      <c r="M6" s="104"/>
      <c r="N6" s="104"/>
    </row>
    <row r="7" spans="1:14" s="102" customFormat="1" ht="12" customHeight="1">
      <c r="A7" s="113"/>
      <c r="B7" s="12"/>
      <c r="C7" s="12"/>
      <c r="D7" s="12"/>
      <c r="E7" s="12"/>
      <c r="F7" s="12"/>
      <c r="G7" s="107"/>
      <c r="H7" s="101"/>
      <c r="I7" s="165"/>
      <c r="J7" s="108" t="s">
        <v>11</v>
      </c>
      <c r="K7" s="104"/>
      <c r="L7" s="104"/>
      <c r="M7" s="104"/>
      <c r="N7" s="104"/>
    </row>
    <row r="8" spans="1:15" s="102" customFormat="1" ht="12" customHeight="1">
      <c r="A8" s="15">
        <f>IF(OR($C$5=0,$C$5=$J$7),,"Facility Type")</f>
        <v>0</v>
      </c>
      <c r="B8" s="10">
        <f>IF(OR($C$5=0,$C$5=$J$7),,"Select type of facility:")</f>
        <v>0</v>
      </c>
      <c r="C8" s="114"/>
      <c r="E8" s="12"/>
      <c r="F8" s="115"/>
      <c r="G8" s="116"/>
      <c r="H8" s="101"/>
      <c r="I8" s="166" t="str">
        <f>IF(AND(B8=0,C8&lt;&gt;0),"B,C",IF(B8=0,"B",))</f>
        <v>B</v>
      </c>
      <c r="J8" s="117" t="s">
        <v>12</v>
      </c>
      <c r="K8" s="104"/>
      <c r="L8" s="118"/>
      <c r="M8" s="118"/>
      <c r="N8" s="104"/>
      <c r="O8" s="234" t="s">
        <v>80</v>
      </c>
    </row>
    <row r="9" spans="1:15" s="102" customFormat="1" ht="12" customHeight="1">
      <c r="A9" s="119"/>
      <c r="B9" s="232"/>
      <c r="C9" s="232"/>
      <c r="D9" s="11"/>
      <c r="E9" s="14"/>
      <c r="F9" s="120"/>
      <c r="G9" s="121"/>
      <c r="H9" s="101"/>
      <c r="I9" s="165"/>
      <c r="J9" s="108"/>
      <c r="K9" s="104"/>
      <c r="L9" s="104"/>
      <c r="M9" s="104"/>
      <c r="N9" s="104"/>
      <c r="O9" s="234"/>
    </row>
    <row r="10" spans="1:15" s="102" customFormat="1" ht="12" customHeight="1">
      <c r="A10" s="113"/>
      <c r="B10" s="12"/>
      <c r="D10" s="12"/>
      <c r="E10" s="12"/>
      <c r="F10" s="12"/>
      <c r="G10" s="107"/>
      <c r="H10" s="101"/>
      <c r="I10" s="165"/>
      <c r="J10" s="117" t="s">
        <v>73</v>
      </c>
      <c r="K10" s="104"/>
      <c r="L10" s="109"/>
      <c r="M10" s="109"/>
      <c r="N10" s="104"/>
      <c r="O10" s="234"/>
    </row>
    <row r="11" spans="1:15" s="102" customFormat="1" ht="12" customHeight="1">
      <c r="A11" s="15">
        <f>IF(OR($C$5=0,$C$5=$J$7,$C$8=0),,"Facility Sizing")</f>
        <v>0</v>
      </c>
      <c r="B11" s="10">
        <f>IF(OR($C$5=0,$C$5=$J$5,$C$5=$J$7,$C$8=0),,"Select no. of boys/girls:")</f>
        <v>0</v>
      </c>
      <c r="C11" s="114"/>
      <c r="E11" s="12"/>
      <c r="F11" s="115"/>
      <c r="G11" s="122"/>
      <c r="H11" s="101"/>
      <c r="I11" s="166" t="str">
        <f>IF(AND(B11=0,C11&lt;&gt;0),"B,C",IF(B11=0,"B",))</f>
        <v>B</v>
      </c>
      <c r="J11" s="117" t="s">
        <v>74</v>
      </c>
      <c r="K11" s="104"/>
      <c r="L11" s="141"/>
      <c r="M11" s="141"/>
      <c r="N11" s="104"/>
      <c r="O11" s="123"/>
    </row>
    <row r="12" spans="1:15" s="102" customFormat="1" ht="12" customHeight="1">
      <c r="A12" s="15"/>
      <c r="B12" s="147"/>
      <c r="C12" s="20"/>
      <c r="D12" s="12"/>
      <c r="E12" s="12"/>
      <c r="F12" s="12"/>
      <c r="G12" s="122"/>
      <c r="H12" s="101"/>
      <c r="I12" s="165"/>
      <c r="J12" s="117"/>
      <c r="K12" s="104"/>
      <c r="L12" s="167"/>
      <c r="M12" s="167"/>
      <c r="N12" s="104"/>
      <c r="O12" s="123"/>
    </row>
    <row r="13" spans="1:15" s="102" customFormat="1" ht="12" customHeight="1">
      <c r="A13" s="216">
        <f>IF(OR($C$5=0,$C$5=$J$7,$C$8=0),,IF($C$5=$J$5,"Army facility sizing is fixed and based on 6 infants and 7 each of boys and girls.","Navy and USMC facility sizing is based on a standard of 8 infants and allows either 4 or 6 each of boys and girls."))</f>
        <v>0</v>
      </c>
      <c r="B13" s="217"/>
      <c r="C13" s="20"/>
      <c r="D13" s="10">
        <f>IF(OR($C$5=0,$C$5=$J$7,$C$8=0),,"Number of infants:")</f>
        <v>0</v>
      </c>
      <c r="E13" s="12"/>
      <c r="F13" s="146">
        <f>IF(OR($C$5=0,$C$5=$J$7,$C$8=0),,IF($C$5=$J$5,L13,M13))</f>
        <v>0</v>
      </c>
      <c r="G13" s="122"/>
      <c r="H13" s="101"/>
      <c r="I13" s="165"/>
      <c r="J13" s="148">
        <f>IF(OR($C$5=0,$C$5=$J$7,$C$5=$J$5),,4)</f>
        <v>0</v>
      </c>
      <c r="K13" s="104"/>
      <c r="L13" s="145">
        <v>6</v>
      </c>
      <c r="M13" s="145">
        <v>8</v>
      </c>
      <c r="N13" s="104"/>
      <c r="O13" s="123"/>
    </row>
    <row r="14" spans="1:15" s="102" customFormat="1" ht="12" customHeight="1">
      <c r="A14" s="216"/>
      <c r="B14" s="217"/>
      <c r="C14" s="20"/>
      <c r="D14" s="10">
        <f>IF(OR($C$5=0,$C$5=$J$7,$C$8=0),,"Number of boys:")</f>
        <v>0</v>
      </c>
      <c r="E14" s="12"/>
      <c r="F14" s="146">
        <f>IF(OR($C$5=0,$C$5=$J$7,$C$8=0),,IF($C$5=$J$5,L14,M14))</f>
        <v>0</v>
      </c>
      <c r="G14" s="122"/>
      <c r="H14" s="101"/>
      <c r="I14" s="165"/>
      <c r="J14" s="148">
        <f>IF(OR($C$5=0,$C$5=$J$7,$C$5=$J$5),,6)</f>
        <v>0</v>
      </c>
      <c r="K14" s="104"/>
      <c r="L14" s="145">
        <v>7</v>
      </c>
      <c r="M14" s="145">
        <f>C11</f>
        <v>0</v>
      </c>
      <c r="N14" s="104"/>
      <c r="O14" s="123"/>
    </row>
    <row r="15" spans="1:15" s="102" customFormat="1" ht="12" customHeight="1">
      <c r="A15" s="216"/>
      <c r="B15" s="217"/>
      <c r="C15" s="20"/>
      <c r="D15" s="10">
        <f>IF(OR($C$5=0,$C$5=$J$7,$C$8=0),,"Number of girls:")</f>
        <v>0</v>
      </c>
      <c r="E15" s="12"/>
      <c r="F15" s="146">
        <f>IF(OR($C$5=0,$C$5=$J$7,$C$8=0),,IF($C$5=$J$5,L15,M15))</f>
        <v>0</v>
      </c>
      <c r="G15" s="122"/>
      <c r="H15" s="101"/>
      <c r="I15" s="165"/>
      <c r="J15" s="117"/>
      <c r="K15" s="104"/>
      <c r="L15" s="145">
        <v>7</v>
      </c>
      <c r="M15" s="145">
        <f>C11</f>
        <v>0</v>
      </c>
      <c r="N15" s="104"/>
      <c r="O15" s="123"/>
    </row>
    <row r="16" spans="1:15" s="102" customFormat="1" ht="12" customHeight="1">
      <c r="A16" s="218"/>
      <c r="B16" s="219"/>
      <c r="C16" s="172"/>
      <c r="D16" s="143">
        <f>IF(C8="Combination",,IF(B11="Large HQ","ERROR.  HQ/Main or Large HQ stations must be Combination stations.",))</f>
        <v>0</v>
      </c>
      <c r="E16" s="143"/>
      <c r="F16" s="143"/>
      <c r="G16" s="144"/>
      <c r="H16" s="101"/>
      <c r="I16" s="165"/>
      <c r="J16" s="117"/>
      <c r="K16" s="104"/>
      <c r="L16" s="124"/>
      <c r="M16" s="104"/>
      <c r="N16" s="104"/>
      <c r="O16" s="123"/>
    </row>
    <row r="17" spans="1:15" s="102" customFormat="1" ht="12" customHeight="1">
      <c r="A17" s="176"/>
      <c r="B17" s="177"/>
      <c r="C17" s="177"/>
      <c r="D17" s="178"/>
      <c r="E17" s="178"/>
      <c r="F17" s="179"/>
      <c r="G17" s="180"/>
      <c r="H17" s="101"/>
      <c r="I17" s="165"/>
      <c r="J17" s="117"/>
      <c r="K17" s="104"/>
      <c r="L17" s="124"/>
      <c r="M17" s="104"/>
      <c r="N17" s="104"/>
      <c r="O17" s="123"/>
    </row>
    <row r="18" spans="1:15" s="102" customFormat="1" ht="12" customHeight="1">
      <c r="A18" s="15">
        <f>IF(OR($C$5=0,$C$5=$J$7,$C$8=0),,"Modular Construction")</f>
        <v>0</v>
      </c>
      <c r="B18" s="10">
        <f>IF(OR($C$5=0,$C$5=$J$7,$C$8=0),,"Select yes or no:")</f>
        <v>0</v>
      </c>
      <c r="C18" s="114"/>
      <c r="D18" s="178"/>
      <c r="E18" s="178"/>
      <c r="F18" s="178"/>
      <c r="G18" s="181"/>
      <c r="H18" s="101"/>
      <c r="I18" s="166" t="str">
        <f>IF(AND(B18=0,C18&lt;&gt;0),"B,C",IF(B18=0,"B",))</f>
        <v>B</v>
      </c>
      <c r="J18" s="117" t="s">
        <v>77</v>
      </c>
      <c r="K18" s="104"/>
      <c r="L18" s="124"/>
      <c r="M18" s="104"/>
      <c r="N18" s="104"/>
      <c r="O18" s="123"/>
    </row>
    <row r="19" spans="1:15" s="102" customFormat="1" ht="12" customHeight="1">
      <c r="A19" s="176"/>
      <c r="B19" s="177"/>
      <c r="C19" s="177"/>
      <c r="D19" s="178"/>
      <c r="E19" s="178"/>
      <c r="F19" s="178"/>
      <c r="G19" s="181"/>
      <c r="H19" s="101"/>
      <c r="I19" s="165"/>
      <c r="J19" s="117" t="s">
        <v>78</v>
      </c>
      <c r="K19" s="104"/>
      <c r="L19" s="124"/>
      <c r="M19" s="104"/>
      <c r="N19" s="104"/>
      <c r="O19" s="123"/>
    </row>
    <row r="20" spans="1:15" s="102" customFormat="1" ht="12" customHeight="1">
      <c r="A20" s="216">
        <f>IF(OR($C$5=0,$C$5=$J$7,$C$8=0),,"The use of modular construction will affect the net-to-gross requirements. Select 'Yes' to program the use of modular construction.")</f>
        <v>0</v>
      </c>
      <c r="B20" s="217"/>
      <c r="C20" s="177"/>
      <c r="D20" s="178"/>
      <c r="E20" s="178"/>
      <c r="F20" s="178"/>
      <c r="G20" s="181"/>
      <c r="H20" s="101"/>
      <c r="I20" s="165"/>
      <c r="J20" s="117"/>
      <c r="K20" s="104"/>
      <c r="L20" s="124"/>
      <c r="M20" s="104"/>
      <c r="N20" s="104"/>
      <c r="O20" s="123"/>
    </row>
    <row r="21" spans="1:15" s="102" customFormat="1" ht="12" customHeight="1">
      <c r="A21" s="216"/>
      <c r="B21" s="217"/>
      <c r="C21" s="177"/>
      <c r="D21" s="178"/>
      <c r="E21" s="178"/>
      <c r="F21" s="178"/>
      <c r="G21" s="181"/>
      <c r="H21" s="101"/>
      <c r="I21" s="165"/>
      <c r="J21" s="117"/>
      <c r="K21" s="104"/>
      <c r="L21" s="124"/>
      <c r="M21" s="104"/>
      <c r="N21" s="104"/>
      <c r="O21" s="123"/>
    </row>
    <row r="22" spans="1:15" s="102" customFormat="1" ht="12" customHeight="1">
      <c r="A22" s="216"/>
      <c r="B22" s="217"/>
      <c r="C22" s="177"/>
      <c r="D22" s="178"/>
      <c r="E22" s="178"/>
      <c r="F22" s="178"/>
      <c r="G22" s="181"/>
      <c r="H22" s="101"/>
      <c r="I22" s="165"/>
      <c r="J22" s="117"/>
      <c r="K22" s="104"/>
      <c r="L22" s="124"/>
      <c r="M22" s="104"/>
      <c r="N22" s="104"/>
      <c r="O22" s="123"/>
    </row>
    <row r="23" spans="1:15" s="102" customFormat="1" ht="12" customHeight="1">
      <c r="A23" s="218"/>
      <c r="B23" s="219"/>
      <c r="C23" s="172"/>
      <c r="D23" s="143"/>
      <c r="E23" s="143"/>
      <c r="F23" s="143"/>
      <c r="G23" s="144"/>
      <c r="H23" s="101"/>
      <c r="I23" s="165"/>
      <c r="J23" s="117"/>
      <c r="K23" s="104"/>
      <c r="L23" s="124"/>
      <c r="M23" s="104"/>
      <c r="N23" s="104"/>
      <c r="O23" s="123"/>
    </row>
    <row r="24" spans="1:14" s="102" customFormat="1" ht="19.5" customHeight="1">
      <c r="A24" s="15">
        <f>IF(OR($C$5=0,$C$5=$J$7,$C$8=0),,'CCCF Data'!A3)</f>
        <v>0</v>
      </c>
      <c r="B24" s="12"/>
      <c r="C24" s="12"/>
      <c r="D24" s="16"/>
      <c r="E24" s="12"/>
      <c r="F24" s="8" t="s">
        <v>13</v>
      </c>
      <c r="G24" s="9" t="s">
        <v>14</v>
      </c>
      <c r="H24" s="101"/>
      <c r="I24" s="165"/>
      <c r="J24" s="150">
        <v>0.0929</v>
      </c>
      <c r="K24" s="104"/>
      <c r="L24" s="104"/>
      <c r="M24" s="104"/>
      <c r="N24" s="104"/>
    </row>
    <row r="25" spans="1:15" s="102" customFormat="1" ht="12" customHeight="1">
      <c r="A25" s="127">
        <f>IF(OR($C$5=0,$C$5=$J$7,$C$8=0),,'CCCF Data'!A4)</f>
        <v>0</v>
      </c>
      <c r="B25" s="149"/>
      <c r="C25" s="149"/>
      <c r="D25" s="149"/>
      <c r="E25" s="149"/>
      <c r="F25" s="142">
        <f>$J$24*G25</f>
        <v>0</v>
      </c>
      <c r="G25" s="129">
        <f>IF(OR($C$5=0,$C$5=$J$7,$C$8=0,$C$18=0,AND(OR($C$5=$J$6,$C$5=$J$8),$C$11=0)),,IF($C$5=$J$5,L25,M25))</f>
        <v>0</v>
      </c>
      <c r="H25" s="101"/>
      <c r="I25" s="165"/>
      <c r="J25" s="117"/>
      <c r="K25" s="104"/>
      <c r="L25" s="118">
        <f>'CCCF Data'!M4</f>
        <v>170</v>
      </c>
      <c r="M25" s="118">
        <f>'CCCF Data'!G4</f>
        <v>120</v>
      </c>
      <c r="N25" s="104"/>
      <c r="O25" s="125"/>
    </row>
    <row r="26" spans="1:15" s="102" customFormat="1" ht="12" customHeight="1">
      <c r="A26" s="127">
        <f>IF(OR($C$5=0,$C$5=$J$7,$C$8=0),,'CCCF Data'!A5)</f>
        <v>0</v>
      </c>
      <c r="B26" s="149"/>
      <c r="C26" s="149"/>
      <c r="D26" s="149"/>
      <c r="E26" s="149"/>
      <c r="F26" s="142">
        <f aca="true" t="shared" si="0" ref="F26:F44">$J$24*G26</f>
        <v>0</v>
      </c>
      <c r="G26" s="129">
        <f aca="true" t="shared" si="1" ref="G26:G44">IF(OR($C$5=0,$C$5=$J$7,$C$8=0,$C$18=0,AND(OR($C$5=$J$6,$C$5=$J$8),$C$11=0)),,IF($C$5=$J$5,L26,M26))</f>
        <v>0</v>
      </c>
      <c r="H26" s="101"/>
      <c r="I26" s="168"/>
      <c r="J26" s="117"/>
      <c r="K26" s="104"/>
      <c r="L26" s="118">
        <f>'CCCF Data'!M5</f>
        <v>420</v>
      </c>
      <c r="M26" s="152" t="str">
        <f>IF(C11&lt;&gt;0,0.75*M27,"Error")</f>
        <v>Error</v>
      </c>
      <c r="N26" s="104"/>
      <c r="O26" s="125"/>
    </row>
    <row r="27" spans="1:15" s="102" customFormat="1" ht="12" customHeight="1">
      <c r="A27" s="127">
        <f>IF(OR($C$5=0,$C$5=$J$7,$C$8=0),,'CCCF Data'!A6)</f>
        <v>0</v>
      </c>
      <c r="B27" s="149"/>
      <c r="C27" s="149"/>
      <c r="D27" s="149"/>
      <c r="E27" s="149"/>
      <c r="F27" s="142">
        <f t="shared" si="0"/>
        <v>0</v>
      </c>
      <c r="G27" s="129">
        <f t="shared" si="1"/>
        <v>0</v>
      </c>
      <c r="H27" s="101"/>
      <c r="I27" s="168"/>
      <c r="J27" s="117"/>
      <c r="K27" s="104"/>
      <c r="L27" s="118">
        <f>'CCCF Data'!M6</f>
        <v>270</v>
      </c>
      <c r="M27" s="152" t="str">
        <f>IF(C11&lt;&gt;0,($M$14+$M$15)*0.8*'CCCF Data'!C6,"Error")</f>
        <v>Error</v>
      </c>
      <c r="N27" s="104"/>
      <c r="O27" s="125"/>
    </row>
    <row r="28" spans="1:15" s="102" customFormat="1" ht="12" customHeight="1">
      <c r="A28" s="127">
        <f>IF(OR($C$5=0,$C$5=$J$7,$C$8=0),,'CCCF Data'!A7)</f>
        <v>0</v>
      </c>
      <c r="B28" s="149"/>
      <c r="C28" s="149"/>
      <c r="D28" s="149"/>
      <c r="E28" s="149"/>
      <c r="F28" s="142">
        <f t="shared" si="0"/>
        <v>0</v>
      </c>
      <c r="G28" s="129">
        <f t="shared" si="1"/>
        <v>0</v>
      </c>
      <c r="H28" s="101"/>
      <c r="I28" s="168"/>
      <c r="J28" s="117"/>
      <c r="K28" s="104"/>
      <c r="L28" s="118">
        <f>'CCCF Data'!M7</f>
        <v>540</v>
      </c>
      <c r="M28" s="152">
        <f>($M$13+$M$14+$M$15)*'CCCF Data'!C7</f>
        <v>144</v>
      </c>
      <c r="N28" s="104"/>
      <c r="O28" s="125"/>
    </row>
    <row r="29" spans="1:15" s="102" customFormat="1" ht="12" customHeight="1">
      <c r="A29" s="127">
        <f>IF(OR($C$5=0,$C$5=$J$7,$C$8=0),,'CCCF Data'!A8)</f>
        <v>0</v>
      </c>
      <c r="B29" s="149"/>
      <c r="C29" s="149"/>
      <c r="D29" s="149"/>
      <c r="E29" s="149"/>
      <c r="F29" s="142">
        <f t="shared" si="0"/>
        <v>0</v>
      </c>
      <c r="G29" s="129">
        <f t="shared" si="1"/>
        <v>0</v>
      </c>
      <c r="H29" s="101"/>
      <c r="I29" s="168"/>
      <c r="J29" s="117"/>
      <c r="K29" s="104"/>
      <c r="L29" s="118">
        <f>'CCCF Data'!M8</f>
        <v>190</v>
      </c>
      <c r="M29" s="126">
        <f>'CCCF Data'!G8</f>
        <v>240</v>
      </c>
      <c r="N29" s="104"/>
      <c r="O29" s="125"/>
    </row>
    <row r="30" spans="1:15" s="102" customFormat="1" ht="12" customHeight="1">
      <c r="A30" s="127">
        <f>IF(OR($C$5=0,$C$5=$J$7,$C$8=0),,'CCCF Data'!A9)</f>
        <v>0</v>
      </c>
      <c r="B30" s="149"/>
      <c r="C30" s="149"/>
      <c r="D30" s="149"/>
      <c r="E30" s="149"/>
      <c r="F30" s="142">
        <f>$J$24*G30</f>
        <v>0</v>
      </c>
      <c r="G30" s="129">
        <f t="shared" si="1"/>
        <v>0</v>
      </c>
      <c r="H30" s="101"/>
      <c r="I30" s="168"/>
      <c r="J30" s="117"/>
      <c r="K30" s="104"/>
      <c r="L30" s="118">
        <f>'CCCF Data'!M9</f>
        <v>20</v>
      </c>
      <c r="M30" s="126">
        <f>'CCCF Data'!G9</f>
        <v>20</v>
      </c>
      <c r="N30" s="104"/>
      <c r="O30" s="125"/>
    </row>
    <row r="31" spans="1:15" s="102" customFormat="1" ht="12" customHeight="1">
      <c r="A31" s="127">
        <f>IF(OR($C$5=0,$C$5=$J$7,$C$8=0),,'CCCF Data'!A10)</f>
        <v>0</v>
      </c>
      <c r="B31" s="149"/>
      <c r="C31" s="149"/>
      <c r="D31" s="149"/>
      <c r="E31" s="149"/>
      <c r="F31" s="142">
        <f t="shared" si="0"/>
        <v>0</v>
      </c>
      <c r="G31" s="129">
        <f t="shared" si="1"/>
        <v>0</v>
      </c>
      <c r="H31" s="101"/>
      <c r="I31" s="168"/>
      <c r="J31" s="117"/>
      <c r="K31" s="104"/>
      <c r="L31" s="118">
        <f>'CCCF Data'!M10</f>
        <v>360</v>
      </c>
      <c r="M31" s="152">
        <f>M13*'CCCF Data'!C10</f>
        <v>520</v>
      </c>
      <c r="N31" s="104"/>
      <c r="O31" s="125"/>
    </row>
    <row r="32" spans="1:15" s="102" customFormat="1" ht="12" customHeight="1">
      <c r="A32" s="127">
        <f>IF(OR($C$5=0,$C$5=$J$7,$C$8=0),,'CCCF Data'!A11)</f>
        <v>0</v>
      </c>
      <c r="B32" s="149"/>
      <c r="C32" s="149"/>
      <c r="D32" s="149"/>
      <c r="E32" s="149"/>
      <c r="F32" s="142">
        <f t="shared" si="0"/>
        <v>0</v>
      </c>
      <c r="G32" s="129">
        <f t="shared" si="1"/>
        <v>0</v>
      </c>
      <c r="H32" s="101"/>
      <c r="I32" s="168"/>
      <c r="J32" s="117"/>
      <c r="K32" s="104"/>
      <c r="L32" s="118">
        <f>'CCCF Data'!M11</f>
        <v>20</v>
      </c>
      <c r="M32" s="126">
        <f>'CCCF Data'!G11</f>
        <v>70</v>
      </c>
      <c r="N32" s="104"/>
      <c r="O32" s="125"/>
    </row>
    <row r="33" spans="1:15" s="102" customFormat="1" ht="12" customHeight="1">
      <c r="A33" s="127">
        <f>IF(OR($C$5=0,$C$5=$J$7,$C$8=0),,'CCCF Data'!A12)</f>
        <v>0</v>
      </c>
      <c r="B33" s="149"/>
      <c r="C33" s="149"/>
      <c r="D33" s="149"/>
      <c r="E33" s="149"/>
      <c r="F33" s="142">
        <f t="shared" si="0"/>
        <v>0</v>
      </c>
      <c r="G33" s="129">
        <f t="shared" si="1"/>
        <v>0</v>
      </c>
      <c r="H33" s="101"/>
      <c r="I33" s="168"/>
      <c r="J33" s="117"/>
      <c r="K33" s="104"/>
      <c r="L33" s="118">
        <f>'CCCF Data'!M12</f>
        <v>980</v>
      </c>
      <c r="M33" s="152" t="str">
        <f>IF(C11=0,"Error",IF(C11=J13,(380*2),IF(C11=J14,(540*2),"Error")))</f>
        <v>Error</v>
      </c>
      <c r="N33" s="104"/>
      <c r="O33" s="125"/>
    </row>
    <row r="34" spans="1:15" s="102" customFormat="1" ht="12" customHeight="1">
      <c r="A34" s="127">
        <f>IF(OR($C$5=0,$C$5=$J$7,$C$8=0),,IF($C$8=$J$10,'CCCF Data'!A13,IF($C$8=$J$11,'CCCF Data'!A16,)))</f>
        <v>0</v>
      </c>
      <c r="B34" s="149"/>
      <c r="C34" s="149"/>
      <c r="D34" s="149"/>
      <c r="E34" s="149"/>
      <c r="F34" s="153"/>
      <c r="G34" s="129"/>
      <c r="H34" s="101"/>
      <c r="I34" s="168"/>
      <c r="J34" s="117"/>
      <c r="K34" s="104"/>
      <c r="L34" s="212" t="s">
        <v>65</v>
      </c>
      <c r="M34" s="213"/>
      <c r="N34" s="104"/>
      <c r="O34" s="125"/>
    </row>
    <row r="35" spans="1:15" s="102" customFormat="1" ht="12" customHeight="1">
      <c r="A35" s="151">
        <f>IF(OR($C$5=0,$C$5=$J$7,$C$8=0),,IF($C$8=$J$10,'CCCF Data'!A14,IF($C$8=$J$11,'CCCF Data'!A17,)))</f>
        <v>0</v>
      </c>
      <c r="B35" s="149"/>
      <c r="C35" s="149"/>
      <c r="D35" s="149"/>
      <c r="E35" s="149"/>
      <c r="F35" s="142">
        <f t="shared" si="0"/>
        <v>0</v>
      </c>
      <c r="G35" s="129">
        <f t="shared" si="1"/>
        <v>0</v>
      </c>
      <c r="H35" s="101"/>
      <c r="I35" s="168"/>
      <c r="J35" s="117"/>
      <c r="K35" s="104"/>
      <c r="L35" s="152" t="str">
        <f>IF($C$8=$J$10,'CCCF Data'!C14,IF($C$8=$J$11,'CCCF Data'!M17,"Error"))</f>
        <v>Error</v>
      </c>
      <c r="M35" s="152" t="str">
        <f>IF($C$8=$J$10,'CCCF Data'!C14,IF($C$8=$J$11,'CCCF Data'!M17,"Error"))</f>
        <v>Error</v>
      </c>
      <c r="N35" s="104"/>
      <c r="O35" s="125"/>
    </row>
    <row r="36" spans="1:15" s="102" customFormat="1" ht="12" customHeight="1">
      <c r="A36" s="151">
        <f>IF(OR($C$5=0,$C$5=$J$7,$C$8=0),,IF($C$8=$J$10,'CCCF Data'!A15,IF($C$8=$J$11,'CCCF Data'!A18,)))</f>
        <v>0</v>
      </c>
      <c r="B36" s="149"/>
      <c r="C36" s="149"/>
      <c r="D36" s="149"/>
      <c r="E36" s="149"/>
      <c r="F36" s="142">
        <f t="shared" si="0"/>
        <v>0</v>
      </c>
      <c r="G36" s="129">
        <f t="shared" si="1"/>
        <v>0</v>
      </c>
      <c r="H36" s="101"/>
      <c r="I36" s="168"/>
      <c r="J36" s="117"/>
      <c r="K36" s="104"/>
      <c r="L36" s="152" t="str">
        <f>IF($C$8=$J$10,'CCCF Data'!C15,IF($C$8=$J$11,'CCCF Data'!M18,"Error"))</f>
        <v>Error</v>
      </c>
      <c r="M36" s="152" t="str">
        <f>IF($C$8=$J$10,'CCCF Data'!C15,IF($C$8=$J$11,'CCCF Data'!M18,"Error"))</f>
        <v>Error</v>
      </c>
      <c r="N36" s="104"/>
      <c r="O36" s="125"/>
    </row>
    <row r="37" spans="1:15" s="102" customFormat="1" ht="12" customHeight="1">
      <c r="A37" s="151">
        <f>IF(OR($C$5=0,$C$5=$J$7,$C$8=0),,IF($C$8=$J$10,,IF($C$8=$J$11,'CCCF Data'!A19,)))</f>
        <v>0</v>
      </c>
      <c r="B37" s="149"/>
      <c r="C37" s="149"/>
      <c r="D37" s="149"/>
      <c r="E37" s="149"/>
      <c r="F37" s="142">
        <f t="shared" si="0"/>
        <v>0</v>
      </c>
      <c r="G37" s="129">
        <f t="shared" si="1"/>
        <v>0</v>
      </c>
      <c r="H37" s="101"/>
      <c r="I37" s="166" t="str">
        <f>IF(A37=0,"A",)</f>
        <v>A</v>
      </c>
      <c r="J37" s="117"/>
      <c r="K37" s="104"/>
      <c r="L37" s="152" t="str">
        <f>IF($C$8=$J$10,,IF($C$8=$J$11,'CCCF Data'!M19,"Error"))</f>
        <v>Error</v>
      </c>
      <c r="M37" s="152" t="str">
        <f>IF($C$8=$J$10,,IF($C$8=$J$11,'CCCF Data'!M19,"Error"))</f>
        <v>Error</v>
      </c>
      <c r="N37" s="104"/>
      <c r="O37" s="125"/>
    </row>
    <row r="38" spans="1:15" s="102" customFormat="1" ht="12" customHeight="1">
      <c r="A38" s="151">
        <f>IF(OR($C$5=0,$C$5=$J$7,$C$8=0),,IF($C$8=$J$10,,IF($C$8=$J$11,'CCCF Data'!A20,)))</f>
        <v>0</v>
      </c>
      <c r="B38" s="149"/>
      <c r="C38" s="149"/>
      <c r="D38" s="149"/>
      <c r="E38" s="149"/>
      <c r="F38" s="142">
        <f t="shared" si="0"/>
        <v>0</v>
      </c>
      <c r="G38" s="129">
        <f t="shared" si="1"/>
        <v>0</v>
      </c>
      <c r="H38" s="101"/>
      <c r="I38" s="166" t="str">
        <f>IF(A38=0,"A",)</f>
        <v>A</v>
      </c>
      <c r="J38" s="117"/>
      <c r="K38" s="104"/>
      <c r="L38" s="152" t="str">
        <f>IF($C$8=$J$10,,IF($C$8=$J$11,'CCCF Data'!M20,"Error"))</f>
        <v>Error</v>
      </c>
      <c r="M38" s="152" t="str">
        <f>IF($C$8=$J$10,,IF($C$8=$J$11,'CCCF Data'!M20,"Error"))</f>
        <v>Error</v>
      </c>
      <c r="N38" s="104"/>
      <c r="O38" s="125"/>
    </row>
    <row r="39" spans="1:15" s="102" customFormat="1" ht="12" customHeight="1">
      <c r="A39" s="127">
        <f>IF(OR($C$5=0,$C$5=$J$7,$C$8=0),,'CCCF Data'!A21)</f>
        <v>0</v>
      </c>
      <c r="B39" s="149"/>
      <c r="C39" s="149"/>
      <c r="D39" s="149"/>
      <c r="E39" s="149"/>
      <c r="F39" s="142">
        <f t="shared" si="0"/>
        <v>0</v>
      </c>
      <c r="G39" s="129">
        <f t="shared" si="1"/>
        <v>0</v>
      </c>
      <c r="H39" s="101"/>
      <c r="I39" s="168"/>
      <c r="J39" s="117"/>
      <c r="K39" s="104"/>
      <c r="L39" s="126">
        <f>'CCCF Data'!M21</f>
        <v>45</v>
      </c>
      <c r="M39" s="126">
        <f>'CCCF Data'!G21</f>
        <v>45</v>
      </c>
      <c r="N39" s="104"/>
      <c r="O39" s="125"/>
    </row>
    <row r="40" spans="1:15" s="102" customFormat="1" ht="12" customHeight="1">
      <c r="A40" s="127">
        <f>IF(OR($C$5=0,$C$5=$J$7,$C$8=0),,'CCCF Data'!A22)</f>
        <v>0</v>
      </c>
      <c r="B40" s="149"/>
      <c r="C40" s="149"/>
      <c r="D40" s="149"/>
      <c r="E40" s="149"/>
      <c r="F40" s="142">
        <f t="shared" si="0"/>
        <v>0</v>
      </c>
      <c r="G40" s="129">
        <f t="shared" si="1"/>
        <v>0</v>
      </c>
      <c r="H40" s="101"/>
      <c r="I40" s="168"/>
      <c r="J40" s="117"/>
      <c r="K40" s="104"/>
      <c r="L40" s="118">
        <f>'CCCF Data'!M22</f>
        <v>85</v>
      </c>
      <c r="M40" s="126">
        <f>'CCCF Data'!G22</f>
        <v>85</v>
      </c>
      <c r="N40" s="104"/>
      <c r="O40" s="125"/>
    </row>
    <row r="41" spans="1:15" s="102" customFormat="1" ht="12" customHeight="1">
      <c r="A41" s="127">
        <f>IF(OR($C$5=0,$C$5=$J$7,$C$8=0),,'CCCF Data'!A23)</f>
        <v>0</v>
      </c>
      <c r="B41" s="149"/>
      <c r="C41" s="149"/>
      <c r="D41" s="149"/>
      <c r="E41" s="149"/>
      <c r="F41" s="142">
        <f t="shared" si="0"/>
        <v>0</v>
      </c>
      <c r="G41" s="129">
        <f t="shared" si="1"/>
        <v>0</v>
      </c>
      <c r="H41" s="101"/>
      <c r="I41" s="168"/>
      <c r="J41" s="117"/>
      <c r="K41" s="104"/>
      <c r="L41" s="118">
        <f>'CCCF Data'!M23</f>
        <v>120</v>
      </c>
      <c r="M41" s="126">
        <f>'CCCF Data'!G23</f>
        <v>120</v>
      </c>
      <c r="N41" s="104"/>
      <c r="O41" s="125"/>
    </row>
    <row r="42" spans="1:15" s="102" customFormat="1" ht="12" customHeight="1">
      <c r="A42" s="127">
        <f>IF(OR($C$5=0,$C$5=$J$7,$C$8=0),,'CCCF Data'!A24)</f>
        <v>0</v>
      </c>
      <c r="B42" s="149"/>
      <c r="C42" s="149"/>
      <c r="D42" s="149"/>
      <c r="E42" s="149"/>
      <c r="F42" s="142">
        <f t="shared" si="0"/>
        <v>0</v>
      </c>
      <c r="G42" s="129">
        <f t="shared" si="1"/>
        <v>0</v>
      </c>
      <c r="H42" s="101"/>
      <c r="I42" s="168"/>
      <c r="J42" s="117"/>
      <c r="K42" s="104"/>
      <c r="L42" s="118">
        <f>'CCCF Data'!M24</f>
        <v>150</v>
      </c>
      <c r="M42" s="126">
        <f>'CCCF Data'!G24</f>
        <v>100</v>
      </c>
      <c r="N42" s="104"/>
      <c r="O42" s="125"/>
    </row>
    <row r="43" spans="1:15" s="102" customFormat="1" ht="12" customHeight="1">
      <c r="A43" s="127">
        <f>IF(OR($C$5=0,$C$5=$J$7,$C$5=$J$5,$C$8=0),,IF($C$8=$J$10,'CCCF Data'!A25,IF($C$8=$J$11,'CCCF Data'!A25,)))</f>
        <v>0</v>
      </c>
      <c r="B43" s="149"/>
      <c r="C43" s="149"/>
      <c r="D43" s="149"/>
      <c r="E43" s="149"/>
      <c r="F43" s="142">
        <f>$J$24*G43</f>
        <v>0</v>
      </c>
      <c r="G43" s="129">
        <f t="shared" si="1"/>
        <v>0</v>
      </c>
      <c r="H43" s="101"/>
      <c r="I43" s="166" t="str">
        <f>IF(A43=0,"A",)</f>
        <v>A</v>
      </c>
      <c r="J43" s="117"/>
      <c r="K43" s="104"/>
      <c r="L43" s="118">
        <f>'CCCF Data'!M25</f>
        <v>0</v>
      </c>
      <c r="M43" s="126">
        <f>'CCCF Data'!G25</f>
        <v>15</v>
      </c>
      <c r="N43" s="104"/>
      <c r="O43" s="125"/>
    </row>
    <row r="44" spans="1:15" s="102" customFormat="1" ht="12" customHeight="1">
      <c r="A44" s="127">
        <f>IF(OR($C$5=0,$C$5=$J$7,$C$8=0),,'CCCF Data'!A26)</f>
        <v>0</v>
      </c>
      <c r="B44" s="149"/>
      <c r="C44" s="149"/>
      <c r="D44" s="149"/>
      <c r="E44" s="149"/>
      <c r="F44" s="142">
        <f t="shared" si="0"/>
        <v>0</v>
      </c>
      <c r="G44" s="129">
        <f t="shared" si="1"/>
        <v>0</v>
      </c>
      <c r="H44" s="101"/>
      <c r="I44" s="168"/>
      <c r="J44" s="117"/>
      <c r="K44" s="104"/>
      <c r="L44" s="118">
        <f>'CCCF Data'!M26</f>
        <v>55</v>
      </c>
      <c r="M44" s="126">
        <f>'CCCF Data'!G26</f>
        <v>80</v>
      </c>
      <c r="N44" s="104"/>
      <c r="O44" s="125"/>
    </row>
    <row r="45" spans="1:15" s="102" customFormat="1" ht="12" customHeight="1">
      <c r="A45" s="127"/>
      <c r="B45" s="149"/>
      <c r="C45" s="149"/>
      <c r="D45" s="154">
        <f>IF(OR($C$5=0,$C$5=$J$7,$C$8=0),,"Subtotal - Total Net Building Area")</f>
        <v>0</v>
      </c>
      <c r="E45" s="149"/>
      <c r="F45" s="156">
        <f>$J$24*G45</f>
        <v>0</v>
      </c>
      <c r="G45" s="157">
        <f>IF(OR($C$5=0,$C$5=$J$7,$C$8=0,$C$18=0),,SUM(G25:G44))</f>
        <v>0</v>
      </c>
      <c r="H45" s="101"/>
      <c r="I45" s="168"/>
      <c r="J45" s="117"/>
      <c r="K45" s="104"/>
      <c r="L45" s="104"/>
      <c r="M45" s="104"/>
      <c r="N45" s="104"/>
      <c r="O45" s="173"/>
    </row>
    <row r="46" spans="1:15" s="102" customFormat="1" ht="12" customHeight="1">
      <c r="A46" s="127"/>
      <c r="B46" s="149"/>
      <c r="C46" s="149"/>
      <c r="D46" s="154"/>
      <c r="E46" s="149"/>
      <c r="F46" s="115"/>
      <c r="G46" s="122"/>
      <c r="H46" s="101"/>
      <c r="I46" s="165"/>
      <c r="J46" s="117"/>
      <c r="K46" s="104"/>
      <c r="L46" s="212" t="s">
        <v>65</v>
      </c>
      <c r="M46" s="213"/>
      <c r="N46" s="104"/>
      <c r="O46" s="125"/>
    </row>
    <row r="47" spans="1:15" s="102" customFormat="1" ht="12" customHeight="1">
      <c r="A47" s="155"/>
      <c r="B47" s="149"/>
      <c r="C47" s="149"/>
      <c r="D47" s="154">
        <f>IF(OR($C$5=0,$C$5=$J$7,$C$8=0),,"Net-to-gross")</f>
        <v>0</v>
      </c>
      <c r="E47" s="149"/>
      <c r="F47" s="142">
        <f>$J$24*G47</f>
        <v>0</v>
      </c>
      <c r="G47" s="129">
        <f>IF(OR($C$5=0,$C$5=$J$7,$C$8=0,$C$18=0,AND(OR($C$5=$J$6,$C$5=$J$8),$C$11=0)),,IF($C$5=$J$5,L47,M47))</f>
        <v>0</v>
      </c>
      <c r="H47" s="101"/>
      <c r="I47" s="165"/>
      <c r="J47" s="117"/>
      <c r="K47" s="104"/>
      <c r="L47" s="152">
        <f>IF($C$18=$J$18,(($G$45+'CCCF Data'!M28+'CCCF Data'!M29+'CCCF Data'!M30+'CCCF Data'!M31)*0.07)+'CCCF Data'!M28+'CCCF Data'!M29+'CCCF Data'!M30+'CCCF Data'!M31,((G45+'CCCF Data'!G28+'CCCF Data'!M29+'CCCF Data'!M30+'CCCF Data'!M31)*0.07)+'CCCF Data'!G28+'CCCF Data'!M29+'CCCF Data'!M30+'CCCF Data'!M31)</f>
        <v>877.4</v>
      </c>
      <c r="M47" s="152">
        <f>IF($C$18=$J$18,(($G$45+'CCCF Data'!M28+'CCCF Data'!G29+'CCCF Data'!G30+'CCCF Data'!G31)*0.07)+'CCCF Data'!M28+'CCCF Data'!G29+'CCCF Data'!G30+'CCCF Data'!G31,(($G$45+'CCCF Data'!G28+'CCCF Data'!G29+'CCCF Data'!G30+'CCCF Data'!G31)*0.07)+'CCCF Data'!G28+'CCCF Data'!G29+'CCCF Data'!G30+'CCCF Data'!G31)</f>
        <v>1005.8</v>
      </c>
      <c r="N47" s="104"/>
      <c r="O47" s="125"/>
    </row>
    <row r="48" spans="1:15" s="102" customFormat="1" ht="12" customHeight="1">
      <c r="A48" s="155"/>
      <c r="B48" s="149"/>
      <c r="C48" s="149"/>
      <c r="D48" s="154"/>
      <c r="E48" s="149"/>
      <c r="F48" s="115"/>
      <c r="G48" s="122"/>
      <c r="H48" s="101"/>
      <c r="I48" s="165"/>
      <c r="J48" s="117"/>
      <c r="K48" s="104"/>
      <c r="L48" s="212" t="s">
        <v>65</v>
      </c>
      <c r="M48" s="213"/>
      <c r="N48" s="104"/>
      <c r="O48" s="125"/>
    </row>
    <row r="49" spans="1:15" s="102" customFormat="1" ht="12" customHeight="1">
      <c r="A49" s="127">
        <f>IF(OR($C$5=0,$C$5=$J$7,$C$8=0),,'CCCF Data'!A34)</f>
        <v>0</v>
      </c>
      <c r="B49" s="174">
        <f>IF(OR($C$5=0,$C$5=$J$7,$C$8=0),,IF(C8=J11,"(Includes additional Option B facility outdoor activity area.)",))</f>
        <v>0</v>
      </c>
      <c r="C49" s="149"/>
      <c r="D49" s="149"/>
      <c r="E49" s="149"/>
      <c r="F49" s="142">
        <f>$J$24*G49</f>
        <v>0</v>
      </c>
      <c r="G49" s="129">
        <f>IF(OR($C$5=0,$C$5=$J$7,$C$8=0,$C$18=0,AND(OR($C$5=$J$6,$C$5=$J$8),$C$11=0)),,IF($C$5=$J$5,L49,M49))</f>
        <v>0</v>
      </c>
      <c r="H49" s="101"/>
      <c r="I49" s="165"/>
      <c r="J49" s="117"/>
      <c r="K49" s="104"/>
      <c r="L49" s="152" t="str">
        <f>IF($C$8=$J$10,'CCCF Data'!$G$34,IF($C$8=$J$11,'CCCF Data'!$M$34,"Error"))</f>
        <v>Error</v>
      </c>
      <c r="M49" s="152" t="str">
        <f>IF($C$8=$J$10,'CCCF Data'!$G$34,IF($C$8=$J$11,'CCCF Data'!$M$34,"Error"))</f>
        <v>Error</v>
      </c>
      <c r="N49" s="104"/>
      <c r="O49" s="214" t="s">
        <v>67</v>
      </c>
    </row>
    <row r="50" spans="1:15" s="102" customFormat="1" ht="12" customHeight="1">
      <c r="A50" s="127"/>
      <c r="B50" s="149"/>
      <c r="C50" s="149"/>
      <c r="D50" s="154"/>
      <c r="E50" s="149"/>
      <c r="F50" s="115"/>
      <c r="G50" s="122"/>
      <c r="H50" s="101"/>
      <c r="I50" s="165"/>
      <c r="J50" s="117"/>
      <c r="K50" s="104"/>
      <c r="L50" s="118"/>
      <c r="M50" s="118"/>
      <c r="N50" s="104"/>
      <c r="O50" s="215"/>
    </row>
    <row r="51" spans="1:15" s="102" customFormat="1" ht="12" customHeight="1">
      <c r="A51" s="127"/>
      <c r="B51" s="149"/>
      <c r="C51" s="149"/>
      <c r="D51" s="154">
        <f>IF(OR($C$5=0,$C$5=$J$7,$C$8=0),,"Subtotal - Gross Building Area")</f>
        <v>0</v>
      </c>
      <c r="E51" s="149"/>
      <c r="F51" s="156">
        <f>$J$24*G51</f>
        <v>0</v>
      </c>
      <c r="G51" s="157">
        <f>IF(OR($C$5=0,$C$5=$J$7,$C$8=0,$C$18=0),,G45+G47+G49)</f>
        <v>0</v>
      </c>
      <c r="H51" s="101"/>
      <c r="I51" s="165"/>
      <c r="J51" s="117"/>
      <c r="K51" s="104"/>
      <c r="L51" s="118"/>
      <c r="M51" s="118"/>
      <c r="N51" s="104"/>
      <c r="O51" s="214"/>
    </row>
    <row r="52" spans="1:14" s="131" customFormat="1" ht="12" customHeight="1">
      <c r="A52" s="130"/>
      <c r="B52" s="17"/>
      <c r="C52" s="17"/>
      <c r="D52" s="19"/>
      <c r="E52" s="17"/>
      <c r="F52" s="158"/>
      <c r="G52" s="159"/>
      <c r="I52" s="169"/>
      <c r="J52" s="24"/>
      <c r="K52" s="132"/>
      <c r="L52" s="132"/>
      <c r="M52" s="132"/>
      <c r="N52" s="132"/>
    </row>
    <row r="53" spans="1:14" s="131" customFormat="1" ht="19.5" customHeight="1">
      <c r="A53" s="155">
        <f>IF(OR($C$5=0,$C$5=$J$7,$C$8=0),,'CCCF Data'!A36)</f>
        <v>0</v>
      </c>
      <c r="B53" s="18"/>
      <c r="C53" s="18"/>
      <c r="D53" s="16"/>
      <c r="E53" s="18"/>
      <c r="F53" s="8" t="s">
        <v>13</v>
      </c>
      <c r="G53" s="9" t="s">
        <v>14</v>
      </c>
      <c r="I53" s="169"/>
      <c r="J53" s="24"/>
      <c r="K53" s="132"/>
      <c r="L53" s="212" t="s">
        <v>65</v>
      </c>
      <c r="M53" s="213"/>
      <c r="N53" s="132"/>
    </row>
    <row r="54" spans="1:15" s="131" customFormat="1" ht="12" customHeight="1">
      <c r="A54" s="127">
        <f>IF(OR($C$5=0,$C$5=$J$7,$C$8=0),,'CCCF Data'!A37)</f>
        <v>0</v>
      </c>
      <c r="B54" s="13"/>
      <c r="C54" s="20"/>
      <c r="D54" s="12"/>
      <c r="E54" s="12"/>
      <c r="F54" s="142">
        <f>$J$24*G54</f>
        <v>0</v>
      </c>
      <c r="G54" s="129">
        <f>IF(OR($C$5=0,$C$5=$J$7,$C$8=0,$C$18=0,AND(OR($C$5=$J$6,$C$5=$J$8),$C$11=0)),,IF($C$5=$J$5,L54,M54))</f>
        <v>0</v>
      </c>
      <c r="I54" s="169"/>
      <c r="J54" s="128"/>
      <c r="K54" s="132"/>
      <c r="L54" s="118">
        <f>'CCCF Data'!M37</f>
        <v>3500</v>
      </c>
      <c r="M54" s="126">
        <f>'CCCF Data'!G37</f>
        <v>3500</v>
      </c>
      <c r="N54" s="170"/>
      <c r="O54" s="136"/>
    </row>
    <row r="55" spans="1:14" s="131" customFormat="1" ht="12" customHeight="1">
      <c r="A55" s="127">
        <f>IF(OR($C$5=0,$C$5=$J$7,$C$8=0),,'CCCF Data'!A38)</f>
        <v>0</v>
      </c>
      <c r="B55" s="18"/>
      <c r="C55" s="18"/>
      <c r="D55" s="16"/>
      <c r="E55" s="18"/>
      <c r="F55" s="142">
        <f>$J$24*G55</f>
        <v>0</v>
      </c>
      <c r="G55" s="129">
        <f>IF(OR($C$5=0,$C$5=$J$7,$C$8=0,$C$18=0,AND(OR($C$5=$J$6,$C$5=$J$8),$C$11=0)),,IF($C$5=$J$5,L55,M55))</f>
        <v>0</v>
      </c>
      <c r="I55" s="169"/>
      <c r="J55" s="128"/>
      <c r="K55" s="132"/>
      <c r="L55" s="118">
        <f>'CCCF Data'!M38</f>
        <v>2000</v>
      </c>
      <c r="M55" s="126">
        <f>'CCCF Data'!G38</f>
        <v>2000</v>
      </c>
      <c r="N55" s="132"/>
    </row>
    <row r="56" spans="1:14" s="131" customFormat="1" ht="12" customHeight="1">
      <c r="A56" s="127"/>
      <c r="B56" s="18"/>
      <c r="C56" s="18"/>
      <c r="D56" s="154">
        <f>IF(OR($C$5=0,$C$5=$J$7,$C$8=0),,"Subtotal - Net Site Program Spaces")</f>
        <v>0</v>
      </c>
      <c r="E56" s="18"/>
      <c r="F56" s="156">
        <f>$J$24*G56</f>
        <v>0</v>
      </c>
      <c r="G56" s="157">
        <f>IF(OR($C$5=0,$C$5=$J$7,$C$8=0,$C$18=0),,SUM(G54:G55))</f>
        <v>0</v>
      </c>
      <c r="I56" s="169"/>
      <c r="J56" s="128"/>
      <c r="K56" s="132"/>
      <c r="L56" s="132"/>
      <c r="M56" s="132"/>
      <c r="N56" s="132"/>
    </row>
    <row r="57" spans="1:14" s="131" customFormat="1" ht="12" customHeight="1">
      <c r="A57" s="130"/>
      <c r="B57" s="17"/>
      <c r="C57" s="17"/>
      <c r="D57" s="19"/>
      <c r="E57" s="17"/>
      <c r="F57" s="137"/>
      <c r="G57" s="138"/>
      <c r="I57" s="169"/>
      <c r="J57" s="128"/>
      <c r="K57" s="132"/>
      <c r="L57" s="132"/>
      <c r="M57" s="132"/>
      <c r="N57" s="132"/>
    </row>
    <row r="58" spans="1:14" s="131" customFormat="1" ht="12" customHeight="1">
      <c r="A58" s="133"/>
      <c r="B58" s="18"/>
      <c r="C58" s="18"/>
      <c r="D58" s="16"/>
      <c r="E58" s="18"/>
      <c r="F58" s="137"/>
      <c r="G58" s="138"/>
      <c r="I58" s="169"/>
      <c r="J58" s="128"/>
      <c r="K58" s="132"/>
      <c r="L58" s="132"/>
      <c r="M58" s="132"/>
      <c r="N58" s="132"/>
    </row>
    <row r="59" spans="1:15" s="131" customFormat="1" ht="12" customHeight="1">
      <c r="A59" s="133"/>
      <c r="B59" s="18"/>
      <c r="C59" s="18"/>
      <c r="D59" s="154">
        <f>IF(OR($C$5=0,$C$5=$J$7,$C$8=0),,"TOTAL BUILDING FOOTPRINT + EXTERIOR PROGRAM")</f>
        <v>0</v>
      </c>
      <c r="E59" s="18"/>
      <c r="F59" s="156">
        <f>$J$24*G59</f>
        <v>0</v>
      </c>
      <c r="G59" s="157">
        <f>IF(OR($C$5=0,$C$5=$J$7,$C$8=0,$C$18=0),,G51+G56)</f>
        <v>0</v>
      </c>
      <c r="I59" s="169"/>
      <c r="J59" s="128"/>
      <c r="K59" s="132"/>
      <c r="L59" s="132"/>
      <c r="M59" s="132"/>
      <c r="N59" s="132"/>
      <c r="O59" s="214" t="s">
        <v>68</v>
      </c>
    </row>
    <row r="60" spans="1:15" s="131" customFormat="1" ht="12" customHeight="1" thickBot="1">
      <c r="A60" s="134"/>
      <c r="B60" s="135"/>
      <c r="C60" s="135"/>
      <c r="D60" s="135"/>
      <c r="E60" s="135"/>
      <c r="F60" s="135"/>
      <c r="G60" s="139"/>
      <c r="I60" s="169"/>
      <c r="J60" s="140"/>
      <c r="K60" s="132"/>
      <c r="L60" s="132"/>
      <c r="M60" s="132"/>
      <c r="N60" s="132"/>
      <c r="O60" s="215"/>
    </row>
    <row r="61" spans="3:15" ht="12.75">
      <c r="C61" s="160"/>
      <c r="D61" s="160"/>
      <c r="E61" s="160"/>
      <c r="F61" s="160"/>
      <c r="O61" s="215"/>
    </row>
    <row r="62" spans="3:6" ht="12.75">
      <c r="C62" s="160"/>
      <c r="D62" s="161"/>
      <c r="E62" s="160"/>
      <c r="F62" s="160"/>
    </row>
    <row r="63" spans="3:6" ht="12.75">
      <c r="C63" s="160"/>
      <c r="D63" s="160"/>
      <c r="E63" s="160"/>
      <c r="F63" s="160"/>
    </row>
    <row r="64" spans="3:6" ht="12.75">
      <c r="C64" s="160"/>
      <c r="D64" s="160"/>
      <c r="E64" s="160"/>
      <c r="F64" s="160"/>
    </row>
  </sheetData>
  <sheetProtection sheet="1" objects="1" scenarios="1"/>
  <mergeCells count="16">
    <mergeCell ref="O2:O3"/>
    <mergeCell ref="D1:G2"/>
    <mergeCell ref="A3:G3"/>
    <mergeCell ref="B9:C9"/>
    <mergeCell ref="B1:C2"/>
    <mergeCell ref="O8:O10"/>
    <mergeCell ref="A13:B16"/>
    <mergeCell ref="L34:M34"/>
    <mergeCell ref="L3:M3"/>
    <mergeCell ref="A20:B23"/>
    <mergeCell ref="D4:G6"/>
    <mergeCell ref="L46:M46"/>
    <mergeCell ref="O59:O61"/>
    <mergeCell ref="L53:M53"/>
    <mergeCell ref="L48:M48"/>
    <mergeCell ref="O49:O51"/>
  </mergeCells>
  <conditionalFormatting sqref="C8">
    <cfRule type="expression" priority="1" dxfId="0" stopIfTrue="1">
      <formula>IF(OR(C5=0,C5=J7),TRUE,FALSE)</formula>
    </cfRule>
  </conditionalFormatting>
  <conditionalFormatting sqref="C11">
    <cfRule type="expression" priority="2" dxfId="0" stopIfTrue="1">
      <formula>IF(OR(C5=0,C5=J7,C5=J5,C8=0),TRUE,FALSE)</formula>
    </cfRule>
  </conditionalFormatting>
  <conditionalFormatting sqref="C18">
    <cfRule type="expression" priority="3" dxfId="0" stopIfTrue="1">
      <formula>IF(OR(C5=0,C5=J7,C8=0),TRUE,FALSE)</formula>
    </cfRule>
  </conditionalFormatting>
  <conditionalFormatting sqref="G56 G59 G45">
    <cfRule type="cellIs" priority="4" dxfId="1" operator="equal" stopIfTrue="1">
      <formula>"Error"</formula>
    </cfRule>
  </conditionalFormatting>
  <conditionalFormatting sqref="D16:G23">
    <cfRule type="cellIs" priority="5" dxfId="2" operator="notEqual" stopIfTrue="1">
      <formula>0</formula>
    </cfRule>
  </conditionalFormatting>
  <conditionalFormatting sqref="A3:G3">
    <cfRule type="cellIs" priority="6" dxfId="3" operator="equal" stopIfTrue="1">
      <formula>"Project Name and Information Here"</formula>
    </cfRule>
  </conditionalFormatting>
  <dataValidations count="4">
    <dataValidation type="list" allowBlank="1" showErrorMessage="1" promptTitle="Select:" prompt="Service branch." sqref="C5">
      <formula1>$J$5:$J$8</formula1>
    </dataValidation>
    <dataValidation type="list" allowBlank="1" showInputMessage="1" showErrorMessage="1" errorTitle="Error" sqref="C8">
      <formula1>$J$10:$J$11</formula1>
    </dataValidation>
    <dataValidation type="list" allowBlank="1" showInputMessage="1" showErrorMessage="1" sqref="C11">
      <formula1>$J$13:$J$14</formula1>
    </dataValidation>
    <dataValidation type="list" allowBlank="1" showInputMessage="1" showErrorMessage="1" sqref="C18">
      <formula1>$J$18:$J$19</formula1>
    </dataValidation>
  </dataValidations>
  <printOptions gridLines="1" horizontalCentered="1"/>
  <pageMargins left="0.5" right="0.5" top="0.4" bottom="0.6" header="0.5" footer="0.4"/>
  <pageSetup errors="NA" horizontalDpi="600" verticalDpi="600" orientation="portrait" r:id="rId3"/>
  <headerFooter alignWithMargins="0">
    <oddFooter>&amp;L&amp;"Times New Roman,Bold"Continuous Child Care Space Program Worksheet&amp;R&amp;"Times New Roman,Bold"Use with UFC 4-xxx-xxAN, Page &amp;P of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DMJMHN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Perry</dc:creator>
  <cp:keywords/>
  <dc:description/>
  <cp:lastModifiedBy>torr</cp:lastModifiedBy>
  <cp:lastPrinted>2010-04-16T19:12:40Z</cp:lastPrinted>
  <dcterms:created xsi:type="dcterms:W3CDTF">2002-08-26T01:58:30Z</dcterms:created>
  <dcterms:modified xsi:type="dcterms:W3CDTF">2011-06-09T22:43:11Z</dcterms:modified>
  <cp:category/>
  <cp:version/>
  <cp:contentType/>
  <cp:contentStatus/>
</cp:coreProperties>
</file>