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65" windowWidth="19230" windowHeight="4140" tabRatio="872" firstSheet="4" activeTab="5"/>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Matrix'!$A$1:$T$124</definedName>
    <definedName name="_xlnm.Print_Area" localSheetId="6">'Composite B Area Matrix'!$A$1:$T$124</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P128" i="39" l="1"/>
  <c r="N40" i="39"/>
  <c r="N6" i="39"/>
  <c r="L26" i="41" l="1"/>
  <c r="P26" i="41"/>
  <c r="L17" i="41"/>
  <c r="P17" i="41"/>
  <c r="N32" i="39"/>
  <c r="P17" i="39"/>
  <c r="P26" i="39"/>
  <c r="L38" i="39"/>
  <c r="P38" i="39"/>
  <c r="N99" i="41"/>
  <c r="L38" i="41"/>
  <c r="P38" i="41"/>
  <c r="P110" i="41"/>
  <c r="P109" i="41"/>
  <c r="P108" i="41"/>
  <c r="P107" i="41"/>
  <c r="P106" i="41"/>
  <c r="P105" i="41"/>
  <c r="P104" i="41"/>
  <c r="N111" i="41"/>
  <c r="P83" i="41"/>
  <c r="P66" i="41"/>
  <c r="P67" i="41"/>
  <c r="P68" i="41"/>
  <c r="P69" i="41"/>
  <c r="P70" i="41"/>
  <c r="P71" i="41"/>
  <c r="P72" i="41"/>
  <c r="P73" i="41"/>
  <c r="P74" i="41"/>
  <c r="P75" i="41"/>
  <c r="P76" i="41"/>
  <c r="P77" i="41"/>
  <c r="P78" i="41"/>
  <c r="P79" i="41"/>
  <c r="P80" i="41"/>
  <c r="P65" i="41"/>
  <c r="P60" i="41"/>
  <c r="P59" i="41"/>
  <c r="P58" i="41"/>
  <c r="P57" i="41"/>
  <c r="N91" i="41"/>
  <c r="P53" i="41"/>
  <c r="P52" i="41"/>
  <c r="P51" i="41"/>
  <c r="P46" i="41"/>
  <c r="P41" i="41"/>
  <c r="N54" i="41"/>
  <c r="P35" i="41"/>
  <c r="P6" i="41"/>
  <c r="N130" i="41"/>
  <c r="R86" i="41"/>
  <c r="R117" i="39"/>
  <c r="P117" i="39"/>
  <c r="Q117" i="39" s="1"/>
  <c r="R117" i="41"/>
  <c r="P117" i="41"/>
  <c r="Q117" i="41" s="1"/>
  <c r="P90" i="39"/>
  <c r="P89" i="39"/>
  <c r="P88" i="39"/>
  <c r="P87" i="39"/>
  <c r="P86" i="39"/>
  <c r="P85" i="39"/>
  <c r="P84" i="39"/>
  <c r="P83" i="39"/>
  <c r="P82" i="39"/>
  <c r="P81" i="39"/>
  <c r="P66" i="39"/>
  <c r="P67" i="39"/>
  <c r="P68" i="39"/>
  <c r="P69" i="39"/>
  <c r="P70" i="39"/>
  <c r="P71" i="39"/>
  <c r="P72" i="39"/>
  <c r="P73" i="39"/>
  <c r="P74" i="39"/>
  <c r="P75" i="39"/>
  <c r="P76" i="39"/>
  <c r="P77" i="39"/>
  <c r="P78" i="39"/>
  <c r="P79" i="39"/>
  <c r="P80" i="39"/>
  <c r="P65" i="39"/>
  <c r="P60" i="39"/>
  <c r="P59" i="39"/>
  <c r="P58" i="39"/>
  <c r="P57" i="39"/>
  <c r="N91" i="39"/>
  <c r="P53" i="39"/>
  <c r="P52" i="39"/>
  <c r="P51" i="39"/>
  <c r="P46" i="39"/>
  <c r="P41" i="39"/>
  <c r="P39" i="39"/>
  <c r="P37" i="39"/>
  <c r="P36" i="39"/>
  <c r="P35" i="39"/>
  <c r="P14" i="39"/>
  <c r="P15" i="39"/>
  <c r="P16" i="39"/>
  <c r="P18" i="39"/>
  <c r="P19" i="39"/>
  <c r="P20" i="39"/>
  <c r="P21" i="39"/>
  <c r="P22" i="39"/>
  <c r="P23" i="39"/>
  <c r="P24" i="39"/>
  <c r="P25" i="39"/>
  <c r="P27" i="39"/>
  <c r="P28" i="39"/>
  <c r="P29" i="39"/>
  <c r="P30" i="39"/>
  <c r="P31" i="39"/>
  <c r="P13" i="39"/>
  <c r="P12" i="39"/>
  <c r="P6" i="39"/>
  <c r="N99" i="39"/>
  <c r="P110" i="39"/>
  <c r="P109" i="39"/>
  <c r="N101" i="41" l="1"/>
  <c r="N113" i="41" s="1"/>
  <c r="N118" i="41" s="1"/>
  <c r="N47" i="25"/>
  <c r="B2" i="41" l="1"/>
  <c r="B2" i="39"/>
  <c r="K50" i="39" l="1"/>
  <c r="K49" i="39"/>
  <c r="K48" i="39"/>
  <c r="T48" i="39" s="1"/>
  <c r="K47" i="39"/>
  <c r="K45" i="39"/>
  <c r="K44" i="39"/>
  <c r="K43" i="39"/>
  <c r="K11" i="39"/>
  <c r="K10" i="39"/>
  <c r="K9" i="39"/>
  <c r="K8" i="39"/>
  <c r="K7" i="39"/>
  <c r="K42" i="39"/>
  <c r="K50" i="41"/>
  <c r="K49" i="41"/>
  <c r="K48" i="41"/>
  <c r="T48" i="41" s="1"/>
  <c r="K47" i="41"/>
  <c r="K45" i="41"/>
  <c r="K44" i="41"/>
  <c r="K43" i="41"/>
  <c r="K42" i="41"/>
  <c r="K11" i="41"/>
  <c r="K10" i="41"/>
  <c r="K9" i="41"/>
  <c r="K8" i="41"/>
  <c r="K7" i="41"/>
  <c r="B211" i="35" l="1"/>
  <c r="L67" i="41" l="1"/>
  <c r="L67" i="39"/>
  <c r="L64" i="25"/>
  <c r="N40" i="41" l="1"/>
  <c r="N108" i="39" l="1"/>
  <c r="N105" i="39"/>
  <c r="N111" i="39" s="1"/>
  <c r="N54" i="39" l="1"/>
  <c r="N101" i="39" s="1"/>
  <c r="N113" i="39" s="1"/>
  <c r="N118" i="39" s="1"/>
  <c r="P40" i="39"/>
  <c r="Q205" i="35"/>
  <c r="C38" i="41" l="1"/>
  <c r="P12" i="41"/>
  <c r="C12" i="41"/>
  <c r="P129" i="41"/>
  <c r="C129" i="41"/>
  <c r="L128" i="41"/>
  <c r="I128" i="41"/>
  <c r="G128" i="41"/>
  <c r="C128" i="41"/>
  <c r="I127" i="41"/>
  <c r="G127" i="41"/>
  <c r="C127" i="41"/>
  <c r="I126" i="41"/>
  <c r="C126" i="41"/>
  <c r="P116" i="41"/>
  <c r="C110" i="41"/>
  <c r="I109" i="41"/>
  <c r="G109" i="41"/>
  <c r="C109" i="41"/>
  <c r="I108" i="41"/>
  <c r="G108" i="41"/>
  <c r="C108" i="41"/>
  <c r="T107" i="41"/>
  <c r="G107" i="41"/>
  <c r="T106" i="41"/>
  <c r="G106" i="41"/>
  <c r="T105" i="41"/>
  <c r="G105" i="41"/>
  <c r="T104" i="41"/>
  <c r="G104" i="41"/>
  <c r="P98" i="41"/>
  <c r="G98" i="41"/>
  <c r="E98" i="41"/>
  <c r="C98" i="41"/>
  <c r="P97" i="41"/>
  <c r="C97" i="41"/>
  <c r="P96" i="41"/>
  <c r="C96" i="41"/>
  <c r="P95" i="41"/>
  <c r="C95" i="41"/>
  <c r="P94" i="41"/>
  <c r="P99" i="41" s="1"/>
  <c r="E94" i="41"/>
  <c r="G94" i="41" s="1"/>
  <c r="C94" i="41"/>
  <c r="P90" i="41"/>
  <c r="I90" i="41"/>
  <c r="C90" i="41"/>
  <c r="P89" i="41"/>
  <c r="C89" i="41"/>
  <c r="P88" i="41"/>
  <c r="E88" i="41"/>
  <c r="C88" i="41"/>
  <c r="P87" i="41"/>
  <c r="G87" i="41"/>
  <c r="C87" i="41"/>
  <c r="P86" i="41"/>
  <c r="C86" i="41"/>
  <c r="P85" i="41"/>
  <c r="G85" i="41"/>
  <c r="C85" i="41"/>
  <c r="P84" i="41"/>
  <c r="L84" i="41"/>
  <c r="I84" i="41"/>
  <c r="G84" i="41" s="1"/>
  <c r="C84" i="41"/>
  <c r="E83" i="41"/>
  <c r="G83" i="41" s="1"/>
  <c r="C83" i="41"/>
  <c r="P82" i="41"/>
  <c r="G82" i="41"/>
  <c r="C82" i="41"/>
  <c r="P81" i="41"/>
  <c r="C81" i="41"/>
  <c r="L80" i="41"/>
  <c r="K80" i="41" s="1"/>
  <c r="I80" i="41"/>
  <c r="C80" i="41"/>
  <c r="L79" i="41"/>
  <c r="I79" i="41"/>
  <c r="G79" i="41" s="1"/>
  <c r="C79" i="41"/>
  <c r="E78" i="41"/>
  <c r="G78" i="41" s="1"/>
  <c r="C78" i="41"/>
  <c r="G77" i="41"/>
  <c r="C77" i="41"/>
  <c r="L76" i="41"/>
  <c r="K76" i="41" s="1"/>
  <c r="I76" i="41"/>
  <c r="G76" i="41" s="1"/>
  <c r="C76" i="41"/>
  <c r="C75" i="41"/>
  <c r="G74" i="41"/>
  <c r="G73" i="41"/>
  <c r="C73" i="41"/>
  <c r="G72" i="41"/>
  <c r="E72" i="41" s="1"/>
  <c r="C72" i="41"/>
  <c r="C71" i="41"/>
  <c r="G70" i="41"/>
  <c r="G68" i="41"/>
  <c r="E68" i="41"/>
  <c r="C68" i="41"/>
  <c r="I67" i="41"/>
  <c r="G67" i="41"/>
  <c r="E67" i="41"/>
  <c r="C67" i="41"/>
  <c r="C66" i="41"/>
  <c r="I65" i="41"/>
  <c r="G65" i="41"/>
  <c r="C65" i="41"/>
  <c r="G64" i="41"/>
  <c r="G63" i="41"/>
  <c r="G62" i="41"/>
  <c r="G61" i="41"/>
  <c r="G60" i="41"/>
  <c r="C59" i="41"/>
  <c r="G58" i="41"/>
  <c r="C58" i="41"/>
  <c r="L57" i="41"/>
  <c r="I57" i="41"/>
  <c r="G57" i="41" s="1"/>
  <c r="C57" i="41"/>
  <c r="L53" i="41"/>
  <c r="I53" i="41"/>
  <c r="G53" i="41"/>
  <c r="C53" i="41"/>
  <c r="C52" i="41"/>
  <c r="C51" i="41"/>
  <c r="G50" i="41"/>
  <c r="G49" i="41"/>
  <c r="G48" i="41"/>
  <c r="G47" i="41"/>
  <c r="C46" i="41"/>
  <c r="G45" i="41"/>
  <c r="G44" i="41"/>
  <c r="G43" i="41"/>
  <c r="G42" i="41"/>
  <c r="C41" i="41"/>
  <c r="P40" i="41"/>
  <c r="C40" i="41"/>
  <c r="P39" i="41"/>
  <c r="L39" i="41"/>
  <c r="R39" i="41" s="1"/>
  <c r="I39" i="41"/>
  <c r="G39" i="41"/>
  <c r="C39" i="41"/>
  <c r="P37" i="41"/>
  <c r="I37" i="41"/>
  <c r="G37" i="41"/>
  <c r="C37" i="41"/>
  <c r="P36" i="41"/>
  <c r="L36" i="41"/>
  <c r="R36" i="41" s="1"/>
  <c r="I36" i="41"/>
  <c r="G36" i="41"/>
  <c r="E36" i="41"/>
  <c r="C36" i="41"/>
  <c r="I35" i="41"/>
  <c r="G35" i="41" s="1"/>
  <c r="C35" i="41"/>
  <c r="P31" i="41"/>
  <c r="L31" i="41"/>
  <c r="I31" i="41"/>
  <c r="G31" i="41" s="1"/>
  <c r="C31" i="41"/>
  <c r="P30" i="41"/>
  <c r="I30" i="41"/>
  <c r="G30" i="41"/>
  <c r="C30" i="41"/>
  <c r="P29" i="41"/>
  <c r="I29" i="41"/>
  <c r="G29" i="41"/>
  <c r="C29" i="41"/>
  <c r="P28" i="41"/>
  <c r="I28" i="41"/>
  <c r="G28" i="41"/>
  <c r="C28" i="41"/>
  <c r="P27" i="41"/>
  <c r="C27" i="41"/>
  <c r="G26" i="41"/>
  <c r="C26" i="41"/>
  <c r="P25" i="41"/>
  <c r="C25" i="41"/>
  <c r="P24" i="41"/>
  <c r="C24" i="41"/>
  <c r="P23" i="41"/>
  <c r="C23" i="41"/>
  <c r="P22" i="41"/>
  <c r="C22" i="41"/>
  <c r="P21" i="41"/>
  <c r="G21" i="41"/>
  <c r="C21" i="41"/>
  <c r="P20" i="41"/>
  <c r="G20" i="41"/>
  <c r="C20" i="41"/>
  <c r="P19" i="41"/>
  <c r="L19" i="41"/>
  <c r="K19" i="41" s="1"/>
  <c r="I19" i="41"/>
  <c r="G19" i="41" s="1"/>
  <c r="C19" i="41"/>
  <c r="P18" i="41"/>
  <c r="C18" i="41"/>
  <c r="I17" i="41"/>
  <c r="G17" i="41"/>
  <c r="C17" i="41"/>
  <c r="P16" i="41"/>
  <c r="G16" i="41"/>
  <c r="C16" i="41"/>
  <c r="P15" i="41"/>
  <c r="E15" i="41"/>
  <c r="C15" i="41"/>
  <c r="P14" i="41"/>
  <c r="L14" i="41"/>
  <c r="I14" i="41"/>
  <c r="G14" i="41" s="1"/>
  <c r="C14" i="41"/>
  <c r="P13" i="41"/>
  <c r="L13" i="41"/>
  <c r="I13" i="41"/>
  <c r="G13" i="41" s="1"/>
  <c r="C13" i="41"/>
  <c r="G11" i="41"/>
  <c r="G10" i="41"/>
  <c r="G9" i="41"/>
  <c r="G8" i="41"/>
  <c r="G7" i="41"/>
  <c r="C6" i="41"/>
  <c r="T106" i="39"/>
  <c r="T107" i="39"/>
  <c r="T105" i="39"/>
  <c r="T104" i="39"/>
  <c r="G107" i="39"/>
  <c r="G106" i="39"/>
  <c r="G105" i="39"/>
  <c r="G104" i="39"/>
  <c r="P106" i="39"/>
  <c r="I108" i="25"/>
  <c r="I107" i="25"/>
  <c r="L107" i="25" s="1"/>
  <c r="G108" i="25"/>
  <c r="G107" i="25"/>
  <c r="C108" i="25"/>
  <c r="C107" i="25"/>
  <c r="C109" i="25"/>
  <c r="P116" i="39"/>
  <c r="P105" i="39"/>
  <c r="P107" i="39"/>
  <c r="P104" i="39"/>
  <c r="P111" i="41" l="1"/>
  <c r="K17" i="41"/>
  <c r="Q19" i="41"/>
  <c r="R19" i="41" s="1"/>
  <c r="L28" i="41"/>
  <c r="R28" i="41" s="1"/>
  <c r="L29" i="41"/>
  <c r="L30" i="41"/>
  <c r="R30" i="41" s="1"/>
  <c r="L108" i="41"/>
  <c r="Q108" i="41" s="1"/>
  <c r="L109" i="41"/>
  <c r="K109" i="41" s="1"/>
  <c r="P54" i="41"/>
  <c r="L65" i="41"/>
  <c r="K65" i="41" s="1"/>
  <c r="Q76" i="41"/>
  <c r="R76" i="41" s="1"/>
  <c r="P32" i="41"/>
  <c r="P91" i="41"/>
  <c r="Q80" i="41"/>
  <c r="R80" i="41" s="1"/>
  <c r="R17" i="41"/>
  <c r="Q17" i="41"/>
  <c r="R29" i="41"/>
  <c r="K29" i="41"/>
  <c r="Q29" i="41"/>
  <c r="K30" i="41"/>
  <c r="Q13" i="41"/>
  <c r="R13" i="41" s="1"/>
  <c r="Q14" i="41"/>
  <c r="R14" i="41" s="1"/>
  <c r="Q31" i="41"/>
  <c r="R31" i="41" s="1"/>
  <c r="Q36" i="41"/>
  <c r="Q39" i="41"/>
  <c r="K53" i="41"/>
  <c r="Q53" i="41"/>
  <c r="R53" i="41" s="1"/>
  <c r="K57" i="41"/>
  <c r="Q57" i="41"/>
  <c r="R57" i="41" s="1"/>
  <c r="K108" i="41"/>
  <c r="P130" i="41"/>
  <c r="K13" i="41"/>
  <c r="K14" i="41"/>
  <c r="K31" i="41"/>
  <c r="K36" i="41"/>
  <c r="K39" i="41"/>
  <c r="Q65" i="41"/>
  <c r="R65" i="41" s="1"/>
  <c r="K79" i="41"/>
  <c r="Q79" i="41"/>
  <c r="R79" i="41" s="1"/>
  <c r="K84" i="41"/>
  <c r="Q84" i="41"/>
  <c r="R84" i="41" s="1"/>
  <c r="R108" i="41"/>
  <c r="Q109" i="41"/>
  <c r="R109" i="41" s="1"/>
  <c r="K128" i="41"/>
  <c r="Q128" i="41"/>
  <c r="R128" i="41" s="1"/>
  <c r="K107" i="25"/>
  <c r="C38" i="39"/>
  <c r="C12" i="39"/>
  <c r="P129" i="39"/>
  <c r="C129" i="39"/>
  <c r="L128" i="39"/>
  <c r="I128" i="39"/>
  <c r="G128" i="39"/>
  <c r="C128" i="39"/>
  <c r="P127" i="39"/>
  <c r="I127" i="39"/>
  <c r="G127" i="39"/>
  <c r="C127" i="39"/>
  <c r="P126" i="39"/>
  <c r="I126" i="39"/>
  <c r="C126" i="39"/>
  <c r="C110" i="39"/>
  <c r="I109" i="39"/>
  <c r="G109" i="39"/>
  <c r="C109" i="39"/>
  <c r="P108" i="39"/>
  <c r="P111" i="39" s="1"/>
  <c r="I108" i="39"/>
  <c r="G108" i="39"/>
  <c r="C108" i="39"/>
  <c r="P95" i="39"/>
  <c r="C95" i="39"/>
  <c r="P96" i="39"/>
  <c r="C96" i="39"/>
  <c r="P97" i="39"/>
  <c r="C97" i="39"/>
  <c r="P94" i="39"/>
  <c r="E94" i="39"/>
  <c r="G94" i="39" s="1"/>
  <c r="C94" i="39"/>
  <c r="P98" i="39"/>
  <c r="G98" i="39"/>
  <c r="E98" i="39"/>
  <c r="C98" i="39"/>
  <c r="E88" i="39"/>
  <c r="C88" i="39"/>
  <c r="G87" i="39"/>
  <c r="C87" i="39"/>
  <c r="I90" i="39"/>
  <c r="C90" i="39"/>
  <c r="C89" i="39"/>
  <c r="C86" i="39"/>
  <c r="G85" i="39"/>
  <c r="C85" i="39"/>
  <c r="C81" i="39"/>
  <c r="L84" i="39"/>
  <c r="I84" i="39"/>
  <c r="G84" i="39" s="1"/>
  <c r="C84" i="39"/>
  <c r="E83" i="39"/>
  <c r="G83" i="39" s="1"/>
  <c r="C83" i="39"/>
  <c r="G82" i="39"/>
  <c r="C82" i="39"/>
  <c r="L76" i="39"/>
  <c r="I76" i="39"/>
  <c r="G76" i="39" s="1"/>
  <c r="C76" i="39"/>
  <c r="I65" i="39"/>
  <c r="G65" i="39"/>
  <c r="C65" i="39"/>
  <c r="G64" i="39"/>
  <c r="G63" i="39"/>
  <c r="G62" i="39"/>
  <c r="G61" i="39"/>
  <c r="G60" i="39"/>
  <c r="G70" i="39"/>
  <c r="G74" i="39"/>
  <c r="L80" i="39"/>
  <c r="I80" i="39"/>
  <c r="C80" i="39"/>
  <c r="G77" i="39"/>
  <c r="C77" i="39"/>
  <c r="G73" i="39"/>
  <c r="C73" i="39"/>
  <c r="E78" i="39"/>
  <c r="G78" i="39" s="1"/>
  <c r="C78" i="39"/>
  <c r="G68" i="39"/>
  <c r="E68" i="39"/>
  <c r="C68" i="39"/>
  <c r="I67" i="39"/>
  <c r="G67" i="39"/>
  <c r="E67" i="39"/>
  <c r="C67" i="39"/>
  <c r="C71" i="39"/>
  <c r="G72" i="39"/>
  <c r="E72" i="39" s="1"/>
  <c r="C72" i="39"/>
  <c r="C75" i="39"/>
  <c r="L79" i="39"/>
  <c r="K79" i="39" s="1"/>
  <c r="I79" i="39"/>
  <c r="G79" i="39" s="1"/>
  <c r="C79" i="39"/>
  <c r="C66" i="39"/>
  <c r="C59" i="39"/>
  <c r="L57" i="39"/>
  <c r="K57" i="39" s="1"/>
  <c r="I57" i="39"/>
  <c r="G57" i="39" s="1"/>
  <c r="C57" i="39"/>
  <c r="G58" i="39"/>
  <c r="C58" i="39"/>
  <c r="L53" i="39"/>
  <c r="I53" i="39"/>
  <c r="G53" i="39"/>
  <c r="C53" i="39"/>
  <c r="C52" i="39"/>
  <c r="C51" i="39"/>
  <c r="G50" i="39"/>
  <c r="G49" i="39"/>
  <c r="G48" i="39"/>
  <c r="G47" i="39"/>
  <c r="C46" i="39"/>
  <c r="G45" i="39"/>
  <c r="G44" i="39"/>
  <c r="G43" i="39"/>
  <c r="G42" i="39"/>
  <c r="C41" i="39"/>
  <c r="C40" i="39"/>
  <c r="L36" i="39"/>
  <c r="R36" i="39" s="1"/>
  <c r="I36" i="39"/>
  <c r="G36" i="39"/>
  <c r="E36" i="39"/>
  <c r="C36" i="39"/>
  <c r="L39" i="39"/>
  <c r="R39" i="39" s="1"/>
  <c r="I39" i="39"/>
  <c r="G39" i="39"/>
  <c r="C39" i="39"/>
  <c r="I37" i="39"/>
  <c r="G37" i="39"/>
  <c r="C37" i="39"/>
  <c r="I35" i="39"/>
  <c r="G35" i="39" s="1"/>
  <c r="C35" i="39"/>
  <c r="G26" i="39"/>
  <c r="C26" i="39"/>
  <c r="I17" i="39"/>
  <c r="G17" i="39"/>
  <c r="L17" i="39" s="1"/>
  <c r="C17" i="39"/>
  <c r="G16" i="39"/>
  <c r="C16" i="39"/>
  <c r="G21" i="39"/>
  <c r="C21" i="39"/>
  <c r="E15" i="39"/>
  <c r="C15" i="39"/>
  <c r="I29" i="39"/>
  <c r="G29" i="39"/>
  <c r="C29" i="39"/>
  <c r="I30" i="39"/>
  <c r="G30" i="39"/>
  <c r="C30" i="39"/>
  <c r="I28" i="39"/>
  <c r="G28" i="39"/>
  <c r="C28" i="39"/>
  <c r="C27" i="39"/>
  <c r="C18" i="39"/>
  <c r="L13" i="39"/>
  <c r="I13" i="39"/>
  <c r="G13" i="39" s="1"/>
  <c r="C13" i="39"/>
  <c r="C23" i="39"/>
  <c r="G20" i="39"/>
  <c r="C20" i="39"/>
  <c r="L14" i="39"/>
  <c r="K14" i="39" s="1"/>
  <c r="I14" i="39"/>
  <c r="G14" i="39" s="1"/>
  <c r="C14" i="39"/>
  <c r="L31" i="39"/>
  <c r="I31" i="39"/>
  <c r="G31" i="39" s="1"/>
  <c r="C31" i="39"/>
  <c r="C24" i="39"/>
  <c r="C25" i="39"/>
  <c r="L19" i="39"/>
  <c r="K19" i="39" s="1"/>
  <c r="I19" i="39"/>
  <c r="G19" i="39" s="1"/>
  <c r="C19" i="39"/>
  <c r="C22" i="39"/>
  <c r="G11" i="39"/>
  <c r="G10" i="39"/>
  <c r="G9" i="39"/>
  <c r="G8" i="39"/>
  <c r="G7" i="39"/>
  <c r="C6" i="39"/>
  <c r="K28" i="41" l="1"/>
  <c r="Q30" i="41"/>
  <c r="Q28" i="41"/>
  <c r="P32" i="39"/>
  <c r="P99" i="39"/>
  <c r="P91" i="39"/>
  <c r="P101" i="41"/>
  <c r="L108" i="39"/>
  <c r="Q108" i="39" s="1"/>
  <c r="R108" i="39" s="1"/>
  <c r="L109" i="39"/>
  <c r="K109" i="39" s="1"/>
  <c r="L30" i="39"/>
  <c r="R30" i="39" s="1"/>
  <c r="P130" i="39"/>
  <c r="L65" i="39"/>
  <c r="K65" i="39" s="1"/>
  <c r="Q57" i="39"/>
  <c r="R57" i="39" s="1"/>
  <c r="Q19" i="39"/>
  <c r="R19" i="39" s="1"/>
  <c r="Q14" i="39"/>
  <c r="R14" i="39" s="1"/>
  <c r="L28" i="39"/>
  <c r="K28" i="39" s="1"/>
  <c r="L29" i="39"/>
  <c r="R29" i="39" s="1"/>
  <c r="K17" i="39"/>
  <c r="K39" i="39"/>
  <c r="Q39" i="39"/>
  <c r="K36" i="39"/>
  <c r="Q36" i="39"/>
  <c r="Q31" i="39"/>
  <c r="R31" i="39" s="1"/>
  <c r="Q13" i="39"/>
  <c r="R13" i="39" s="1"/>
  <c r="K128" i="39"/>
  <c r="Q128" i="39"/>
  <c r="R128" i="39" s="1"/>
  <c r="K31" i="39"/>
  <c r="K13" i="39"/>
  <c r="K53" i="39"/>
  <c r="Q53" i="39"/>
  <c r="R53" i="39" s="1"/>
  <c r="P54" i="39"/>
  <c r="Q79" i="39"/>
  <c r="R79" i="39" s="1"/>
  <c r="K80" i="39"/>
  <c r="Q80" i="39"/>
  <c r="R80" i="39" s="1"/>
  <c r="K76" i="39"/>
  <c r="Q76" i="39"/>
  <c r="R76" i="39" s="1"/>
  <c r="K84" i="39"/>
  <c r="Q84" i="39"/>
  <c r="R84" i="39" s="1"/>
  <c r="K108" i="39" l="1"/>
  <c r="K30" i="39"/>
  <c r="Q109" i="39"/>
  <c r="R109" i="39" s="1"/>
  <c r="Q65" i="39"/>
  <c r="R65" i="39" s="1"/>
  <c r="Q28" i="39"/>
  <c r="Q17" i="39"/>
  <c r="Q30" i="39"/>
  <c r="R28" i="39"/>
  <c r="K29" i="39"/>
  <c r="P113" i="41"/>
  <c r="R17" i="39"/>
  <c r="P101" i="39"/>
  <c r="Q29" i="39"/>
  <c r="G117" i="25"/>
  <c r="G116" i="25"/>
  <c r="P118" i="41" l="1"/>
  <c r="P119" i="41" s="1"/>
  <c r="P121" i="41" s="1"/>
  <c r="N119" i="41"/>
  <c r="P113" i="39"/>
  <c r="P118" i="39" s="1"/>
  <c r="P119" i="39" s="1"/>
  <c r="P121" i="39" s="1"/>
  <c r="P123" i="39" s="1"/>
  <c r="Q163" i="35"/>
  <c r="G36" i="25"/>
  <c r="I34" i="25"/>
  <c r="P132" i="41" l="1"/>
  <c r="P123" i="41"/>
  <c r="P132" i="39"/>
  <c r="L36" i="25"/>
  <c r="K36" i="25" s="1"/>
  <c r="L37" i="41"/>
  <c r="L37" i="39"/>
  <c r="O163" i="35"/>
  <c r="G77" i="25"/>
  <c r="G76" i="25"/>
  <c r="G75" i="25"/>
  <c r="G74" i="25"/>
  <c r="G49" i="25"/>
  <c r="G48" i="25"/>
  <c r="G47" i="25"/>
  <c r="G46" i="25"/>
  <c r="G44" i="25"/>
  <c r="G43" i="25"/>
  <c r="G42" i="25"/>
  <c r="G41" i="25"/>
  <c r="Q37" i="39" l="1"/>
  <c r="R37" i="39" s="1"/>
  <c r="K37" i="39"/>
  <c r="Q37" i="41"/>
  <c r="R37" i="41" s="1"/>
  <c r="K37" i="41"/>
  <c r="Q219" i="35"/>
  <c r="G50" i="38"/>
  <c r="I116" i="25"/>
  <c r="I115" i="25"/>
  <c r="Q221" i="35"/>
  <c r="I78" i="25"/>
  <c r="G78" i="25"/>
  <c r="C78" i="25"/>
  <c r="Q223" i="35"/>
  <c r="O223" i="35" s="1"/>
  <c r="G43" i="38"/>
  <c r="O219" i="35" l="1"/>
  <c r="L108" i="25"/>
  <c r="K108" i="25" s="1"/>
  <c r="L78" i="25"/>
  <c r="G75" i="38"/>
  <c r="C37"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6" i="25"/>
  <c r="C35" i="25"/>
  <c r="C52" i="25"/>
  <c r="C38"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K78" i="25" l="1"/>
  <c r="D4" i="37"/>
  <c r="G18" i="25"/>
  <c r="G71" i="25"/>
  <c r="Q183" i="35"/>
  <c r="B184" i="35"/>
  <c r="G62" i="38"/>
  <c r="O183" i="35" l="1"/>
  <c r="I70" i="41"/>
  <c r="L70" i="41"/>
  <c r="L70" i="39"/>
  <c r="I70" i="39"/>
  <c r="I71" i="25"/>
  <c r="L71" i="25"/>
  <c r="K71" i="25" s="1"/>
  <c r="I36" i="25"/>
  <c r="G68" i="38"/>
  <c r="AI12" i="37"/>
  <c r="AJ12" i="37" s="1"/>
  <c r="AJ13" i="37" s="1"/>
  <c r="AF12" i="37"/>
  <c r="AG12" i="37" s="1"/>
  <c r="AG13" i="37" s="1"/>
  <c r="K70" i="41" l="1"/>
  <c r="Q70" i="41"/>
  <c r="R70" i="41" s="1"/>
  <c r="K70" i="39"/>
  <c r="Q70" i="39"/>
  <c r="R70" i="39" s="1"/>
  <c r="Q98" i="35"/>
  <c r="G13" i="38"/>
  <c r="Q120" i="35" l="1"/>
  <c r="Q100" i="35"/>
  <c r="I68" i="35"/>
  <c r="Q88" i="35"/>
  <c r="E35" i="25"/>
  <c r="G11" i="25"/>
  <c r="G10" i="25"/>
  <c r="G9" i="25"/>
  <c r="G8" i="25"/>
  <c r="Q237" i="35"/>
  <c r="Q190" i="35"/>
  <c r="Q179" i="35"/>
  <c r="Q172" i="35"/>
  <c r="G61" i="35"/>
  <c r="H155" i="35" s="1"/>
  <c r="Q155" i="35" s="1"/>
  <c r="G56" i="25"/>
  <c r="G30" i="38"/>
  <c r="G35" i="25"/>
  <c r="G70" i="25"/>
  <c r="L98" i="41" l="1"/>
  <c r="I98" i="41"/>
  <c r="L98" i="39"/>
  <c r="I98" i="39"/>
  <c r="I69" i="41"/>
  <c r="L69" i="41"/>
  <c r="I69" i="39"/>
  <c r="L69" i="39"/>
  <c r="L74" i="41"/>
  <c r="I74" i="41"/>
  <c r="I74" i="39"/>
  <c r="L74" i="39"/>
  <c r="O172" i="35"/>
  <c r="L58" i="41"/>
  <c r="I58" i="41"/>
  <c r="I58" i="39"/>
  <c r="L58" i="39"/>
  <c r="I26" i="41"/>
  <c r="I26" i="39"/>
  <c r="L26" i="39" s="1"/>
  <c r="L18" i="41"/>
  <c r="I18" i="41"/>
  <c r="G18" i="41" s="1"/>
  <c r="I18" i="39"/>
  <c r="G18" i="39" s="1"/>
  <c r="L18" i="39"/>
  <c r="I110" i="41"/>
  <c r="G110" i="41" s="1"/>
  <c r="L110" i="41" s="1"/>
  <c r="I109" i="25"/>
  <c r="L109" i="25" s="1"/>
  <c r="K109" i="25" s="1"/>
  <c r="I110" i="39"/>
  <c r="G110" i="39" s="1"/>
  <c r="L110" i="39" s="1"/>
  <c r="I25" i="41"/>
  <c r="G25" i="41" s="1"/>
  <c r="L25" i="41"/>
  <c r="I25" i="39"/>
  <c r="G25" i="39" s="1"/>
  <c r="L25" i="39"/>
  <c r="L56" i="25"/>
  <c r="I56" i="25"/>
  <c r="G69" i="38"/>
  <c r="Q161" i="35"/>
  <c r="I35" i="25" s="1"/>
  <c r="L69" i="38"/>
  <c r="G73" i="25"/>
  <c r="O205" i="35"/>
  <c r="K98" i="39" l="1"/>
  <c r="Q98" i="39"/>
  <c r="Q98" i="41"/>
  <c r="K98" i="41"/>
  <c r="K69" i="39"/>
  <c r="Q69" i="39"/>
  <c r="R69" i="39" s="1"/>
  <c r="K69" i="41"/>
  <c r="Q69" i="41"/>
  <c r="R69" i="41" s="1"/>
  <c r="Q74" i="41"/>
  <c r="R74" i="41" s="1"/>
  <c r="K74" i="41"/>
  <c r="K74" i="39"/>
  <c r="Q74" i="39"/>
  <c r="R74" i="39" s="1"/>
  <c r="Q58" i="41"/>
  <c r="R58" i="41" s="1"/>
  <c r="K58" i="41"/>
  <c r="Q58" i="39"/>
  <c r="R58" i="39" s="1"/>
  <c r="K58" i="39"/>
  <c r="K26" i="41"/>
  <c r="R26" i="41"/>
  <c r="Q26" i="41"/>
  <c r="R26" i="39"/>
  <c r="Q26" i="39"/>
  <c r="K26" i="39"/>
  <c r="K18" i="41"/>
  <c r="Q18" i="41"/>
  <c r="R18" i="41" s="1"/>
  <c r="K18" i="39"/>
  <c r="Q18" i="39"/>
  <c r="R18" i="39" s="1"/>
  <c r="Q110" i="39"/>
  <c r="R110" i="39" s="1"/>
  <c r="K110" i="39"/>
  <c r="K110" i="41"/>
  <c r="Q110" i="41"/>
  <c r="R110" i="41" s="1"/>
  <c r="Q25" i="39"/>
  <c r="R25" i="39" s="1"/>
  <c r="K25" i="39"/>
  <c r="Q25" i="41"/>
  <c r="R25" i="41" s="1"/>
  <c r="K25" i="41"/>
  <c r="K56" i="25"/>
  <c r="O161" i="35"/>
  <c r="L35" i="25"/>
  <c r="I69" i="25"/>
  <c r="L69" i="25"/>
  <c r="B103" i="35"/>
  <c r="G15" i="38"/>
  <c r="Q118" i="35"/>
  <c r="R98" i="41" l="1"/>
  <c r="R98" i="39"/>
  <c r="I20" i="41"/>
  <c r="L20" i="41" s="1"/>
  <c r="I20" i="39"/>
  <c r="L20" i="39" s="1"/>
  <c r="O102" i="35"/>
  <c r="I18" i="25"/>
  <c r="L18" i="25" s="1"/>
  <c r="K35" i="25"/>
  <c r="K69" i="25"/>
  <c r="B281" i="35"/>
  <c r="L25" i="38"/>
  <c r="N57" i="35"/>
  <c r="K20" i="41" l="1"/>
  <c r="Q20" i="41"/>
  <c r="Q20" i="39"/>
  <c r="K20" i="39"/>
  <c r="K18" i="25"/>
  <c r="G62" i="35"/>
  <c r="K59" i="35"/>
  <c r="K60" i="35"/>
  <c r="R20" i="41" l="1"/>
  <c r="R20" i="39"/>
  <c r="Q90" i="35"/>
  <c r="L24" i="41" l="1"/>
  <c r="I24" i="41"/>
  <c r="G24" i="41" s="1"/>
  <c r="L24" i="39"/>
  <c r="I24" i="39"/>
  <c r="G24" i="39" s="1"/>
  <c r="I87" i="25"/>
  <c r="J201" i="35"/>
  <c r="Q201" i="35" s="1"/>
  <c r="B201" i="35"/>
  <c r="L16" i="25"/>
  <c r="L20" i="25"/>
  <c r="AC7" i="37"/>
  <c r="AC9" i="37"/>
  <c r="AA7" i="37"/>
  <c r="AA9" i="37"/>
  <c r="Z6" i="37"/>
  <c r="AA6" i="37" s="1"/>
  <c r="AB6" i="37"/>
  <c r="AC6" i="37" s="1"/>
  <c r="AB8" i="37"/>
  <c r="AC8" i="37" s="1"/>
  <c r="Z8" i="37"/>
  <c r="AA8" i="37" s="1"/>
  <c r="Q211" i="35"/>
  <c r="Q215" i="35"/>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L17" i="25" s="1"/>
  <c r="B87" i="35"/>
  <c r="B89" i="35"/>
  <c r="B91" i="35"/>
  <c r="I13" i="35"/>
  <c r="L21" i="25"/>
  <c r="Q104" i="35"/>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L58" i="25" l="1"/>
  <c r="I59" i="41"/>
  <c r="G59" i="41" s="1"/>
  <c r="L59" i="41"/>
  <c r="L59" i="39"/>
  <c r="I59" i="39"/>
  <c r="G59" i="39" s="1"/>
  <c r="L127" i="41"/>
  <c r="L127" i="39"/>
  <c r="L126" i="41"/>
  <c r="L126" i="39"/>
  <c r="E89" i="41"/>
  <c r="G89" i="41"/>
  <c r="G89" i="39"/>
  <c r="E89" i="39"/>
  <c r="G90" i="41"/>
  <c r="E90" i="41"/>
  <c r="G90" i="39"/>
  <c r="E90" i="39"/>
  <c r="L94" i="41"/>
  <c r="I94" i="41"/>
  <c r="L94" i="39"/>
  <c r="I94" i="39"/>
  <c r="L83" i="25"/>
  <c r="L81" i="41"/>
  <c r="I81" i="41"/>
  <c r="G81" i="41" s="1"/>
  <c r="L81" i="39"/>
  <c r="I81" i="39"/>
  <c r="G81" i="39" s="1"/>
  <c r="L81" i="25"/>
  <c r="L83" i="41"/>
  <c r="I83" i="41"/>
  <c r="I83" i="39"/>
  <c r="L83" i="39"/>
  <c r="L22" i="25"/>
  <c r="L27" i="41"/>
  <c r="I27" i="41"/>
  <c r="G27" i="41" s="1"/>
  <c r="L27" i="39"/>
  <c r="I27" i="39"/>
  <c r="G27" i="39" s="1"/>
  <c r="K24" i="39"/>
  <c r="Q24" i="39"/>
  <c r="Q24" i="41"/>
  <c r="R24" i="41" s="1"/>
  <c r="K24" i="41"/>
  <c r="L86" i="41"/>
  <c r="I86" i="41"/>
  <c r="I86" i="39"/>
  <c r="L86" i="39"/>
  <c r="AJ10" i="37"/>
  <c r="AC10" i="37"/>
  <c r="AC11" i="37" s="1"/>
  <c r="AJ11" i="37"/>
  <c r="AJ14" i="37" s="1"/>
  <c r="AA10" i="37"/>
  <c r="AA11" i="37" s="1"/>
  <c r="AG10" i="37"/>
  <c r="L94" i="25"/>
  <c r="Q243" i="35"/>
  <c r="Q245" i="35"/>
  <c r="Q241" i="35"/>
  <c r="Q252" i="35"/>
  <c r="E87" i="25"/>
  <c r="O179" i="35"/>
  <c r="I70" i="25"/>
  <c r="O190" i="35"/>
  <c r="I72" i="25"/>
  <c r="O201" i="35"/>
  <c r="I85" i="25"/>
  <c r="O252" i="35"/>
  <c r="L72" i="38"/>
  <c r="G86" i="25"/>
  <c r="L71" i="38"/>
  <c r="G87" i="25"/>
  <c r="L70" i="25"/>
  <c r="L72" i="25"/>
  <c r="L85" i="25"/>
  <c r="Q283" i="35"/>
  <c r="L117" i="25" s="1"/>
  <c r="B272" i="35"/>
  <c r="L93" i="25"/>
  <c r="Q254" i="35"/>
  <c r="Q256" i="35"/>
  <c r="Q250" i="35"/>
  <c r="Q203" i="35"/>
  <c r="L79" i="25" s="1"/>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L82" i="25" s="1"/>
  <c r="Q209" i="35"/>
  <c r="Q200" i="35"/>
  <c r="Q198" i="35"/>
  <c r="Q196" i="35"/>
  <c r="Q194" i="35"/>
  <c r="Q192" i="35"/>
  <c r="Q189" i="35"/>
  <c r="Q181" i="35"/>
  <c r="Q187" i="35"/>
  <c r="Q174" i="35"/>
  <c r="L57" i="25" s="1"/>
  <c r="Q185" i="35"/>
  <c r="Q159" i="35"/>
  <c r="L52" i="25" s="1"/>
  <c r="Q157" i="35"/>
  <c r="L38" i="25" s="1"/>
  <c r="K135" i="35"/>
  <c r="K134" i="35"/>
  <c r="K133" i="35"/>
  <c r="Q133" i="35" s="1"/>
  <c r="Q59" i="41" l="1"/>
  <c r="R59" i="41" s="1"/>
  <c r="K59" i="41"/>
  <c r="Q59" i="39"/>
  <c r="R59" i="39" s="1"/>
  <c r="K59" i="39"/>
  <c r="R24" i="39"/>
  <c r="K127" i="39"/>
  <c r="Q127" i="39"/>
  <c r="R127" i="39" s="1"/>
  <c r="K127" i="41"/>
  <c r="Q127" i="41"/>
  <c r="R127" i="41" s="1"/>
  <c r="Q126" i="39"/>
  <c r="R126" i="39" s="1"/>
  <c r="K126" i="39"/>
  <c r="K126" i="41"/>
  <c r="Q126" i="41"/>
  <c r="R126" i="41" s="1"/>
  <c r="L88" i="25"/>
  <c r="L87" i="41"/>
  <c r="I87" i="41"/>
  <c r="I87" i="39"/>
  <c r="L87" i="39"/>
  <c r="L89" i="25"/>
  <c r="I88" i="41"/>
  <c r="G88" i="41" s="1"/>
  <c r="L88" i="41"/>
  <c r="I88" i="39"/>
  <c r="G88" i="39" s="1"/>
  <c r="L88" i="39"/>
  <c r="I86" i="25"/>
  <c r="L89" i="41"/>
  <c r="I89" i="41"/>
  <c r="L89" i="39"/>
  <c r="I89" i="39"/>
  <c r="L90" i="41"/>
  <c r="L90" i="39"/>
  <c r="L95" i="25"/>
  <c r="L97" i="41"/>
  <c r="I97" i="41"/>
  <c r="G97" i="41" s="1"/>
  <c r="L97" i="39"/>
  <c r="I97" i="39"/>
  <c r="G97" i="39" s="1"/>
  <c r="L96" i="25"/>
  <c r="L96" i="41"/>
  <c r="I96" i="41"/>
  <c r="G96" i="41" s="1"/>
  <c r="L96" i="39"/>
  <c r="I96" i="39"/>
  <c r="G96" i="39" s="1"/>
  <c r="L97" i="25"/>
  <c r="L95" i="41"/>
  <c r="I95" i="41"/>
  <c r="G95" i="41" s="1"/>
  <c r="L95" i="39"/>
  <c r="I95" i="39"/>
  <c r="G95" i="39" s="1"/>
  <c r="K94" i="39"/>
  <c r="Q94" i="39"/>
  <c r="K94" i="41"/>
  <c r="Q94" i="41"/>
  <c r="K81" i="39"/>
  <c r="Q81" i="39"/>
  <c r="R81" i="39" s="1"/>
  <c r="K81" i="41"/>
  <c r="Q81" i="41"/>
  <c r="R81" i="41" s="1"/>
  <c r="Q83" i="41"/>
  <c r="R83" i="41" s="1"/>
  <c r="K83" i="41"/>
  <c r="K83" i="39"/>
  <c r="Q83" i="39"/>
  <c r="R83" i="39" s="1"/>
  <c r="L80" i="25"/>
  <c r="L82" i="41"/>
  <c r="I82" i="41"/>
  <c r="I82" i="39"/>
  <c r="L82" i="39"/>
  <c r="L84" i="25"/>
  <c r="I85" i="41"/>
  <c r="L85" i="41"/>
  <c r="L85" i="39"/>
  <c r="I85" i="39"/>
  <c r="L68" i="25"/>
  <c r="L77" i="41"/>
  <c r="I77" i="41"/>
  <c r="L77" i="39"/>
  <c r="I77" i="39"/>
  <c r="L67" i="25"/>
  <c r="L73" i="41"/>
  <c r="I73" i="41"/>
  <c r="I73" i="39"/>
  <c r="L73" i="39"/>
  <c r="L66" i="25"/>
  <c r="I78" i="41"/>
  <c r="L78" i="41"/>
  <c r="I78" i="39"/>
  <c r="L78" i="39"/>
  <c r="L68" i="41"/>
  <c r="I68" i="41"/>
  <c r="I68" i="39"/>
  <c r="L68" i="39"/>
  <c r="L62" i="25"/>
  <c r="L72" i="41"/>
  <c r="I72" i="41"/>
  <c r="L72" i="39"/>
  <c r="I72" i="39"/>
  <c r="L59" i="25"/>
  <c r="L66" i="41"/>
  <c r="I66" i="41"/>
  <c r="G66" i="41" s="1"/>
  <c r="E66" i="41" s="1"/>
  <c r="L66" i="39"/>
  <c r="I66" i="39"/>
  <c r="G66" i="39" s="1"/>
  <c r="E66" i="39" s="1"/>
  <c r="L63" i="25"/>
  <c r="I71" i="41"/>
  <c r="G71" i="41" s="1"/>
  <c r="L71" i="41"/>
  <c r="L71" i="39"/>
  <c r="I71" i="39"/>
  <c r="G71" i="39" s="1"/>
  <c r="I41" i="41"/>
  <c r="G41" i="41" s="1"/>
  <c r="L41" i="41" s="1"/>
  <c r="I41" i="39"/>
  <c r="G41" i="39" s="1"/>
  <c r="L41" i="39" s="1"/>
  <c r="Q27" i="39"/>
  <c r="R27" i="39" s="1"/>
  <c r="K27" i="39"/>
  <c r="K27" i="41"/>
  <c r="Q27" i="41"/>
  <c r="R27" i="41" s="1"/>
  <c r="K86" i="39"/>
  <c r="Q86" i="39"/>
  <c r="K86" i="41"/>
  <c r="Q86" i="41"/>
  <c r="K72" i="25"/>
  <c r="K70" i="25"/>
  <c r="I40" i="25"/>
  <c r="Q140" i="35"/>
  <c r="O140" i="35" s="1"/>
  <c r="AG11" i="37"/>
  <c r="AG14" i="37" s="1"/>
  <c r="L98" i="25"/>
  <c r="K85" i="25"/>
  <c r="L87" i="25"/>
  <c r="Q225" i="35"/>
  <c r="L65" i="25"/>
  <c r="O250" i="35"/>
  <c r="L86" i="25"/>
  <c r="Q248" i="35"/>
  <c r="O248" i="35" s="1"/>
  <c r="Q235" i="35"/>
  <c r="B273" i="35"/>
  <c r="H136" i="35"/>
  <c r="Q178" i="35"/>
  <c r="Q170" i="35"/>
  <c r="Q86" i="35"/>
  <c r="L13" i="25" s="1"/>
  <c r="Q114" i="35"/>
  <c r="Q123" i="35"/>
  <c r="Q112" i="35"/>
  <c r="G25" i="25"/>
  <c r="G24" i="25"/>
  <c r="G23" i="25"/>
  <c r="L99" i="41" l="1"/>
  <c r="K99" i="41" s="1"/>
  <c r="L60" i="41"/>
  <c r="I60" i="41"/>
  <c r="L60" i="39"/>
  <c r="I60" i="39"/>
  <c r="L99" i="39"/>
  <c r="K99" i="39" s="1"/>
  <c r="K87" i="41"/>
  <c r="Q87" i="41"/>
  <c r="R87" i="41" s="1"/>
  <c r="Q87" i="39"/>
  <c r="R87" i="39" s="1"/>
  <c r="K87" i="39"/>
  <c r="Q88" i="39"/>
  <c r="R88" i="39" s="1"/>
  <c r="K88" i="39"/>
  <c r="K88" i="41"/>
  <c r="Q88" i="41"/>
  <c r="R88" i="41" s="1"/>
  <c r="Q90" i="41"/>
  <c r="R90" i="41" s="1"/>
  <c r="K90" i="41"/>
  <c r="Q89" i="39"/>
  <c r="R89" i="39" s="1"/>
  <c r="K89" i="39"/>
  <c r="K89" i="41"/>
  <c r="Q89" i="41"/>
  <c r="R89" i="41" s="1"/>
  <c r="K90" i="39"/>
  <c r="Q90" i="39"/>
  <c r="R90" i="39" s="1"/>
  <c r="R94" i="41"/>
  <c r="Q95" i="39"/>
  <c r="R95" i="39" s="1"/>
  <c r="K95" i="39"/>
  <c r="K95" i="41"/>
  <c r="Q95" i="41"/>
  <c r="R95" i="41" s="1"/>
  <c r="K97" i="39"/>
  <c r="Q97" i="39"/>
  <c r="R97" i="39" s="1"/>
  <c r="K97" i="41"/>
  <c r="Q97" i="41"/>
  <c r="R97" i="41" s="1"/>
  <c r="R94" i="39"/>
  <c r="K96" i="39"/>
  <c r="Q96" i="39"/>
  <c r="R96" i="39" s="1"/>
  <c r="K96" i="41"/>
  <c r="Q96" i="41"/>
  <c r="R96" i="41" s="1"/>
  <c r="K82" i="39"/>
  <c r="Q82" i="39"/>
  <c r="R82" i="39" s="1"/>
  <c r="K82" i="41"/>
  <c r="Q82" i="41"/>
  <c r="R82" i="41" s="1"/>
  <c r="Q85" i="39"/>
  <c r="R85" i="39" s="1"/>
  <c r="K85" i="39"/>
  <c r="Q85" i="41"/>
  <c r="R85" i="41" s="1"/>
  <c r="K85" i="41"/>
  <c r="K77" i="39"/>
  <c r="Q77" i="39"/>
  <c r="R77" i="39" s="1"/>
  <c r="K77" i="41"/>
  <c r="Q77" i="41"/>
  <c r="R77" i="41" s="1"/>
  <c r="Q73" i="39"/>
  <c r="R73" i="39" s="1"/>
  <c r="K73" i="39"/>
  <c r="K73" i="41"/>
  <c r="Q73" i="41"/>
  <c r="R73" i="41" s="1"/>
  <c r="Q78" i="39"/>
  <c r="R78" i="39" s="1"/>
  <c r="K78" i="39"/>
  <c r="Q78" i="41"/>
  <c r="R78" i="41" s="1"/>
  <c r="K78" i="41"/>
  <c r="Q68" i="39"/>
  <c r="R68" i="39" s="1"/>
  <c r="K68" i="39"/>
  <c r="K67" i="41"/>
  <c r="Q67" i="41"/>
  <c r="R67" i="41" s="1"/>
  <c r="K68" i="41"/>
  <c r="Q68" i="41"/>
  <c r="R68" i="41" s="1"/>
  <c r="K67" i="39"/>
  <c r="Q67" i="39"/>
  <c r="R67" i="39" s="1"/>
  <c r="K72" i="39"/>
  <c r="Q72" i="39"/>
  <c r="R72" i="39" s="1"/>
  <c r="K72" i="41"/>
  <c r="R72" i="41"/>
  <c r="Q72" i="41"/>
  <c r="Q66" i="39"/>
  <c r="R66" i="39" s="1"/>
  <c r="K66" i="39"/>
  <c r="Q66" i="41"/>
  <c r="R66" i="41" s="1"/>
  <c r="K66" i="41"/>
  <c r="L61" i="25"/>
  <c r="L75" i="41"/>
  <c r="I75" i="41"/>
  <c r="G75" i="41" s="1"/>
  <c r="E75" i="41" s="1"/>
  <c r="I75" i="39"/>
  <c r="G75" i="39" s="1"/>
  <c r="E75" i="39" s="1"/>
  <c r="L75" i="39"/>
  <c r="Q71" i="41"/>
  <c r="R71" i="41" s="1"/>
  <c r="K71" i="41"/>
  <c r="L91" i="41"/>
  <c r="K91" i="41" s="1"/>
  <c r="Q71" i="39"/>
  <c r="R71" i="39" s="1"/>
  <c r="K71" i="39"/>
  <c r="I46" i="41"/>
  <c r="G46" i="41" s="1"/>
  <c r="L46" i="41" s="1"/>
  <c r="I46" i="39"/>
  <c r="G46" i="39" s="1"/>
  <c r="L46" i="39" s="1"/>
  <c r="Q41" i="41"/>
  <c r="R41" i="41" s="1"/>
  <c r="K41" i="41"/>
  <c r="K41" i="39"/>
  <c r="Q41" i="39"/>
  <c r="R41" i="39" s="1"/>
  <c r="I21" i="41"/>
  <c r="L21" i="41" s="1"/>
  <c r="I21" i="39"/>
  <c r="L21" i="39" s="1"/>
  <c r="I16" i="41"/>
  <c r="L16" i="41" s="1"/>
  <c r="I16" i="39"/>
  <c r="L16" i="39" s="1"/>
  <c r="I15" i="41"/>
  <c r="G15" i="41" s="1"/>
  <c r="L15" i="41" s="1"/>
  <c r="I15" i="39"/>
  <c r="G15" i="39" s="1"/>
  <c r="L15" i="39" s="1"/>
  <c r="K87" i="25"/>
  <c r="Q166" i="35"/>
  <c r="O235" i="35"/>
  <c r="Q146" i="35"/>
  <c r="O146" i="35" s="1"/>
  <c r="I45" i="25"/>
  <c r="L60" i="25"/>
  <c r="L73" i="25"/>
  <c r="I73" i="25"/>
  <c r="O225" i="35"/>
  <c r="Q108" i="35"/>
  <c r="R99" i="41" l="1"/>
  <c r="K60" i="39"/>
  <c r="Q60" i="39"/>
  <c r="R60" i="39" s="1"/>
  <c r="K60" i="41"/>
  <c r="Q60" i="41"/>
  <c r="R60" i="41" s="1"/>
  <c r="Q99" i="39"/>
  <c r="R99" i="39" s="1"/>
  <c r="Q99" i="41"/>
  <c r="K75" i="39"/>
  <c r="Q75" i="39"/>
  <c r="R75" i="39" s="1"/>
  <c r="L91" i="39"/>
  <c r="K91" i="39" s="1"/>
  <c r="K75" i="41"/>
  <c r="Q75" i="41"/>
  <c r="K46" i="39"/>
  <c r="Q46" i="39"/>
  <c r="R46" i="39" s="1"/>
  <c r="Q46" i="41"/>
  <c r="R46" i="41" s="1"/>
  <c r="K46" i="41"/>
  <c r="K21" i="41"/>
  <c r="Q21" i="41"/>
  <c r="R21" i="41" s="1"/>
  <c r="K21" i="39"/>
  <c r="Q21" i="39"/>
  <c r="R21" i="39" s="1"/>
  <c r="K16" i="39"/>
  <c r="Q16" i="39"/>
  <c r="R16" i="39" s="1"/>
  <c r="K16" i="41"/>
  <c r="Q16" i="41"/>
  <c r="R16" i="41" s="1"/>
  <c r="Q15" i="41"/>
  <c r="R15" i="41" s="1"/>
  <c r="K15" i="41"/>
  <c r="K15" i="39"/>
  <c r="Q15" i="39"/>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Q91" i="39" l="1"/>
  <c r="R91" i="39" s="1"/>
  <c r="R15" i="39"/>
  <c r="R75" i="41"/>
  <c r="Q91" i="41"/>
  <c r="R91" i="41" s="1"/>
  <c r="L105" i="25"/>
  <c r="K105" i="25" s="1"/>
  <c r="I106" i="41"/>
  <c r="L106" i="41" s="1"/>
  <c r="I106" i="39"/>
  <c r="L106" i="39" s="1"/>
  <c r="O106" i="35"/>
  <c r="I23" i="25"/>
  <c r="G7" i="25"/>
  <c r="Q291" i="35"/>
  <c r="Q134" i="35"/>
  <c r="Q135" i="35"/>
  <c r="L133" i="35"/>
  <c r="O133" i="35" s="1"/>
  <c r="L134" i="35"/>
  <c r="O134" i="35" s="1"/>
  <c r="L135" i="35"/>
  <c r="O135" i="35" s="1"/>
  <c r="L37" i="25" l="1"/>
  <c r="I38" i="41"/>
  <c r="I38" i="39"/>
  <c r="Q106" i="39"/>
  <c r="R106" i="39" s="1"/>
  <c r="K106" i="39"/>
  <c r="K106" i="41"/>
  <c r="Q106" i="41"/>
  <c r="R106"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L40" i="41" l="1"/>
  <c r="L40" i="39"/>
  <c r="K38" i="39"/>
  <c r="Q38" i="39"/>
  <c r="R38" i="39" s="1"/>
  <c r="Q38" i="41"/>
  <c r="R38" i="41" s="1"/>
  <c r="K38" i="41"/>
  <c r="O138" i="35"/>
  <c r="L39" i="25"/>
  <c r="B165" i="37"/>
  <c r="B164" i="37"/>
  <c r="B163" i="37"/>
  <c r="B40" i="37"/>
  <c r="B16" i="37"/>
  <c r="K58" i="35"/>
  <c r="K57" i="35"/>
  <c r="K40" i="41" l="1"/>
  <c r="Q40" i="41"/>
  <c r="R40" i="41" s="1"/>
  <c r="K40" i="39"/>
  <c r="Q40" i="39"/>
  <c r="R40" i="39" s="1"/>
  <c r="K61" i="35"/>
  <c r="K62" i="35"/>
  <c r="I75" i="35"/>
  <c r="E40" i="41" l="1"/>
  <c r="G40" i="41" s="1"/>
  <c r="I40" i="41" s="1"/>
  <c r="E22" i="41"/>
  <c r="E35" i="41"/>
  <c r="E40" i="39"/>
  <c r="G40" i="39" s="1"/>
  <c r="I40" i="39" s="1"/>
  <c r="E22" i="39"/>
  <c r="E35" i="39"/>
  <c r="B163" i="35"/>
  <c r="E34" i="25"/>
  <c r="Q96" i="35"/>
  <c r="Q153" i="35"/>
  <c r="Q128" i="35"/>
  <c r="B2" i="25"/>
  <c r="E12" i="25"/>
  <c r="Q151" i="35"/>
  <c r="L58" i="38"/>
  <c r="M26" i="38"/>
  <c r="Q69" i="35"/>
  <c r="C149" i="35" s="1"/>
  <c r="J136" i="35"/>
  <c r="Q84" i="35"/>
  <c r="B20" i="35"/>
  <c r="K8" i="35"/>
  <c r="L35" i="41" l="1"/>
  <c r="L35" i="39"/>
  <c r="L23" i="41"/>
  <c r="I23" i="41"/>
  <c r="G23" i="41" s="1"/>
  <c r="L23" i="39"/>
  <c r="I23" i="39"/>
  <c r="G23" i="39" s="1"/>
  <c r="L22" i="41"/>
  <c r="I22" i="41"/>
  <c r="G22" i="41" s="1"/>
  <c r="I22" i="39"/>
  <c r="G22" i="39" s="1"/>
  <c r="L22" i="39"/>
  <c r="I51" i="41"/>
  <c r="G51" i="41" s="1"/>
  <c r="L51" i="41"/>
  <c r="I51" i="39"/>
  <c r="G51" i="39" s="1"/>
  <c r="L51" i="39"/>
  <c r="I52" i="41"/>
  <c r="G52" i="41" s="1"/>
  <c r="L52" i="41"/>
  <c r="I52" i="39"/>
  <c r="G52" i="39" s="1"/>
  <c r="L52" i="39"/>
  <c r="Q126" i="35"/>
  <c r="L34" i="25"/>
  <c r="L84" i="38"/>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K52" i="39" l="1"/>
  <c r="Q52" i="39"/>
  <c r="R52" i="39" s="1"/>
  <c r="Q52" i="41"/>
  <c r="R52" i="41" s="1"/>
  <c r="K52" i="41"/>
  <c r="K51" i="39"/>
  <c r="Q51" i="39"/>
  <c r="R51" i="39" s="1"/>
  <c r="K51" i="41"/>
  <c r="Q51" i="41"/>
  <c r="R51" i="41" s="1"/>
  <c r="K22" i="39"/>
  <c r="Q22" i="39"/>
  <c r="R22" i="39" s="1"/>
  <c r="K35" i="39"/>
  <c r="Q35" i="39"/>
  <c r="L54" i="39"/>
  <c r="Q22" i="41"/>
  <c r="R22" i="41" s="1"/>
  <c r="K22" i="41"/>
  <c r="K23" i="39"/>
  <c r="Q23" i="39"/>
  <c r="R23" i="39" s="1"/>
  <c r="Q23" i="41"/>
  <c r="R23" i="41" s="1"/>
  <c r="K23" i="41"/>
  <c r="L54" i="41"/>
  <c r="K35" i="41"/>
  <c r="Q35" i="41"/>
  <c r="B279" i="35"/>
  <c r="E126" i="41"/>
  <c r="G126" i="41" s="1"/>
  <c r="E126" i="39"/>
  <c r="G126"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R35" i="41" l="1"/>
  <c r="Q54" i="41"/>
  <c r="R54" i="41" s="1"/>
  <c r="K54" i="41"/>
  <c r="R35" i="39"/>
  <c r="Q54" i="39"/>
  <c r="R54" i="39" s="1"/>
  <c r="K54" i="39"/>
  <c r="K45" i="25"/>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L129" i="41" l="1"/>
  <c r="I129" i="41"/>
  <c r="I129" i="39"/>
  <c r="L129" i="39"/>
  <c r="O151" i="35"/>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L12" i="41" l="1"/>
  <c r="I12" i="41"/>
  <c r="I12" i="39"/>
  <c r="L12" i="39"/>
  <c r="K129" i="39"/>
  <c r="L130" i="39"/>
  <c r="Q129" i="39"/>
  <c r="K129" i="41"/>
  <c r="L130" i="41"/>
  <c r="Q129" i="41"/>
  <c r="Q277" i="35"/>
  <c r="O287" i="35"/>
  <c r="L119" i="25"/>
  <c r="O289" i="35"/>
  <c r="L120" i="25"/>
  <c r="L42" i="35"/>
  <c r="J42" i="35"/>
  <c r="P42" i="35"/>
  <c r="M42" i="35"/>
  <c r="G42" i="35"/>
  <c r="R42" i="35"/>
  <c r="O42" i="35"/>
  <c r="I42" i="35"/>
  <c r="R129" i="41" l="1"/>
  <c r="K130" i="39"/>
  <c r="K12" i="39"/>
  <c r="Q12" i="39"/>
  <c r="K130" i="41"/>
  <c r="R129" i="39"/>
  <c r="K12" i="41"/>
  <c r="Q12" i="41"/>
  <c r="Q130" i="41" s="1"/>
  <c r="R130" i="41" s="1"/>
  <c r="P43" i="35"/>
  <c r="M43" i="35"/>
  <c r="L118" i="25"/>
  <c r="O285" i="35"/>
  <c r="O277" i="35" s="1"/>
  <c r="J44" i="35"/>
  <c r="M44" i="35"/>
  <c r="P44" i="35"/>
  <c r="Q80" i="35" s="1"/>
  <c r="I26" i="25"/>
  <c r="R12" i="39" l="1"/>
  <c r="Q130" i="39"/>
  <c r="R130" i="39" s="1"/>
  <c r="L6" i="41"/>
  <c r="I6" i="41"/>
  <c r="L6" i="39"/>
  <c r="L32" i="39" s="1"/>
  <c r="I6" i="39"/>
  <c r="I6" i="25"/>
  <c r="R12" i="41"/>
  <c r="L6" i="25"/>
  <c r="Q78" i="35"/>
  <c r="Q261" i="35" s="1"/>
  <c r="O80" i="35"/>
  <c r="I37"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8" i="25"/>
  <c r="I52" i="25"/>
  <c r="I38"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K6" i="39" l="1"/>
  <c r="Q6" i="39"/>
  <c r="Q32" i="39" s="1"/>
  <c r="R32" i="39" s="1"/>
  <c r="R86" i="39"/>
  <c r="K6" i="41"/>
  <c r="Q6" i="41"/>
  <c r="L32" i="41"/>
  <c r="L53" i="25"/>
  <c r="K24" i="25"/>
  <c r="K25" i="25"/>
  <c r="L121" i="25"/>
  <c r="O78" i="35"/>
  <c r="L30" i="25"/>
  <c r="I61" i="25"/>
  <c r="G61" i="25" s="1"/>
  <c r="E61" i="25" s="1"/>
  <c r="K32" i="39" l="1"/>
  <c r="L101" i="39"/>
  <c r="R6" i="41"/>
  <c r="Q32" i="41"/>
  <c r="Q101" i="41" s="1"/>
  <c r="R6" i="39"/>
  <c r="K32" i="41"/>
  <c r="L101" i="41"/>
  <c r="K30" i="25"/>
  <c r="Q263" i="35"/>
  <c r="O261" i="35"/>
  <c r="L23" i="25"/>
  <c r="R32" i="41" l="1"/>
  <c r="Q101" i="39"/>
  <c r="R101" i="39" s="1"/>
  <c r="R101" i="41"/>
  <c r="I118" i="39"/>
  <c r="L118" i="39" s="1"/>
  <c r="K101" i="39"/>
  <c r="I116" i="39"/>
  <c r="L116" i="39" s="1"/>
  <c r="I118" i="41"/>
  <c r="L118" i="41" s="1"/>
  <c r="I116" i="41"/>
  <c r="L116" i="41" s="1"/>
  <c r="K101" i="41"/>
  <c r="K23" i="25"/>
  <c r="Q270" i="35"/>
  <c r="Q294" i="35" s="1"/>
  <c r="O263" i="35"/>
  <c r="O270" i="35" s="1"/>
  <c r="O294" i="35" s="1"/>
  <c r="L29" i="25"/>
  <c r="K93" i="25"/>
  <c r="L28" i="25"/>
  <c r="L27" i="25"/>
  <c r="L26" i="25"/>
  <c r="L119" i="41" l="1"/>
  <c r="Q116" i="41"/>
  <c r="R116" i="41" s="1"/>
  <c r="K116" i="41"/>
  <c r="K116" i="39"/>
  <c r="Q116" i="39"/>
  <c r="R116" i="39" s="1"/>
  <c r="L119" i="39"/>
  <c r="K119" i="39" s="1"/>
  <c r="Q118" i="39"/>
  <c r="R118" i="39" s="1"/>
  <c r="K118" i="39"/>
  <c r="Q118" i="41"/>
  <c r="R118" i="41" s="1"/>
  <c r="K118" i="41"/>
  <c r="K28" i="25"/>
  <c r="K29" i="25"/>
  <c r="K27" i="25"/>
  <c r="L31" i="25"/>
  <c r="L100" i="25" s="1"/>
  <c r="I103" i="25" s="1"/>
  <c r="K26" i="25"/>
  <c r="C8" i="31"/>
  <c r="H6" i="34"/>
  <c r="H7" i="34" s="1"/>
  <c r="F6" i="34"/>
  <c r="F7" i="34" s="1"/>
  <c r="J5" i="34"/>
  <c r="J4" i="34"/>
  <c r="Q119" i="39" l="1"/>
  <c r="R119" i="39" s="1"/>
  <c r="Q119" i="41"/>
  <c r="R119" i="41" s="1"/>
  <c r="K119" i="41"/>
  <c r="I106" i="25"/>
  <c r="L106" i="25" s="1"/>
  <c r="I104" i="25"/>
  <c r="L104" i="25" s="1"/>
  <c r="K104" i="25" s="1"/>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4" i="41"/>
  <c r="L104" i="41" s="1"/>
  <c r="I104" i="39"/>
  <c r="L104" i="39" s="1"/>
  <c r="I105" i="39"/>
  <c r="L105" i="39" s="1"/>
  <c r="I105" i="41"/>
  <c r="L105" i="41" s="1"/>
  <c r="I107" i="39"/>
  <c r="L107" i="39" s="1"/>
  <c r="I107" i="41"/>
  <c r="L107" i="41"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5" i="41" l="1"/>
  <c r="Q105" i="41"/>
  <c r="R105" i="41" s="1"/>
  <c r="Q104" i="39"/>
  <c r="K104" i="39"/>
  <c r="L111" i="39"/>
  <c r="K107" i="39"/>
  <c r="Q107" i="39"/>
  <c r="R107" i="39" s="1"/>
  <c r="Q105" i="39"/>
  <c r="R105" i="39" s="1"/>
  <c r="K105" i="39"/>
  <c r="K104" i="41"/>
  <c r="L111" i="41"/>
  <c r="Q104" i="41"/>
  <c r="K107" i="41"/>
  <c r="Q107" i="41"/>
  <c r="R107" i="41" s="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4" i="41" l="1"/>
  <c r="Q111" i="41"/>
  <c r="Q113" i="41" s="1"/>
  <c r="R104" i="39"/>
  <c r="Q111" i="39"/>
  <c r="K111" i="41"/>
  <c r="L113" i="41"/>
  <c r="K111" i="39"/>
  <c r="L113" i="39"/>
  <c r="G16" i="33"/>
  <c r="F17" i="33"/>
  <c r="F18" i="33" s="1"/>
  <c r="G17" i="33"/>
  <c r="G18" i="33" s="1"/>
  <c r="G10" i="33"/>
  <c r="K27" i="32"/>
  <c r="J83" i="32"/>
  <c r="AB84" i="32"/>
  <c r="AB85" i="32" s="1"/>
  <c r="AC83" i="32"/>
  <c r="AE27" i="32"/>
  <c r="AF27" i="32" s="1"/>
  <c r="S84" i="32"/>
  <c r="T84" i="32" s="1"/>
  <c r="T83" i="32"/>
  <c r="R111" i="41" l="1"/>
  <c r="K113" i="39"/>
  <c r="L121" i="39"/>
  <c r="R111" i="39"/>
  <c r="Q113" i="39"/>
  <c r="R113" i="41"/>
  <c r="Q121" i="41"/>
  <c r="K113" i="41"/>
  <c r="L121" i="41"/>
  <c r="G8" i="33"/>
  <c r="G6" i="33"/>
  <c r="S85" i="32"/>
  <c r="AB99" i="32"/>
  <c r="AC99" i="32" s="1"/>
  <c r="AC85" i="32"/>
  <c r="J84" i="32"/>
  <c r="K84" i="32" s="1"/>
  <c r="K83" i="32"/>
  <c r="AH84" i="32"/>
  <c r="AC84" i="32"/>
  <c r="L132" i="41" l="1"/>
  <c r="L123" i="41"/>
  <c r="K121" i="41"/>
  <c r="R121" i="41"/>
  <c r="R113" i="39"/>
  <c r="Q121" i="39"/>
  <c r="R121" i="39" s="1"/>
  <c r="L123" i="39"/>
  <c r="L132" i="39"/>
  <c r="K121" i="39"/>
  <c r="S99" i="32"/>
  <c r="T99" i="32" s="1"/>
  <c r="S86" i="32"/>
  <c r="AH85" i="32"/>
  <c r="AI85" i="32" s="1"/>
  <c r="T85" i="32"/>
  <c r="T86" i="32" s="1"/>
  <c r="AE86" i="32"/>
  <c r="J85" i="32"/>
  <c r="K132" i="41" l="1"/>
  <c r="Q132" i="41"/>
  <c r="R132" i="41" s="1"/>
  <c r="Q132" i="39"/>
  <c r="R132" i="39" s="1"/>
  <c r="K132" i="39"/>
  <c r="J99" i="32"/>
  <c r="K99" i="32" s="1"/>
  <c r="K85" i="32"/>
  <c r="AE85" i="32"/>
  <c r="AF85" i="32" s="1"/>
  <c r="K119" i="25" l="1"/>
  <c r="K120" i="25" l="1"/>
  <c r="G39" i="25"/>
  <c r="I39" i="25" s="1"/>
  <c r="K37"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8" i="25"/>
  <c r="K68" i="25"/>
  <c r="K82" i="25"/>
  <c r="K61" i="25"/>
  <c r="K59" i="25"/>
  <c r="K66" i="25"/>
  <c r="K89" i="25"/>
  <c r="K79" i="25"/>
  <c r="K19" i="25"/>
  <c r="K52" i="25"/>
  <c r="K50" i="25"/>
  <c r="K6"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<sst xmlns="http://schemas.openxmlformats.org/spreadsheetml/2006/main" count="1973" uniqueCount="1005">
  <si>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</si>
  <si>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</si>
  <si>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</si>
  <si>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</si>
  <si>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</si>
  <si>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</si>
  <si>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</si>
  <si>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</si>
  <si>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</si>
  <si>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</si>
  <si>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</si>
  <si>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</si>
  <si>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</si>
  <si>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</si>
  <si>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</si>
  <si>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</si>
  <si>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</si>
  <si>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</si>
  <si>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</si>
  <si>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</si>
  <si>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</si>
  <si>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</si>
  <si>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</si>
  <si>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</si>
  <si>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</si>
  <si>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</si>
  <si>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</si>
  <si>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</si>
  <si>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</si>
  <si>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</si>
  <si>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</si>
  <si>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</si>
  <si>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</si>
  <si>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</si>
  <si>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</si>
  <si>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</si>
  <si>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</si>
  <si>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</si>
  <si>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</si>
  <si>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</si>
  <si>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</si>
  <si>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</si>
  <si>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</si>
  <si>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</si>
  <si>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</si>
  <si>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</si>
  <si>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</si>
  <si>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</si>
  <si>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</si>
  <si>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</si>
  <si>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</si>
  <si>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</si>
  <si>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</si>
  <si>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</si>
  <si>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</si>
  <si>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</si>
  <si>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</si>
  <si>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</si>
  <si>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</si>
  <si>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</si>
  <si>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</si>
  <si>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</si>
  <si>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</si>
  <si>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</si>
  <si>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</si>
  <si>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</si>
  <si>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</si>
  <si>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</si>
  <si>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</si>
  <si>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</si>
  <si>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</si>
  <si>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</si>
  <si>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</si>
  <si>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</si>
  <si>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</si>
  <si>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</si>
  <si>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</si>
  <si>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</si>
  <si>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</si>
  <si>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</si>
  <si>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</si>
  <si>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</si>
  <si>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</si>
  <si>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</si>
  <si>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</si>
  <si>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</si>
  <si>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</si>
  <si>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</si>
  <si>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</si>
  <si>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</si>
  <si>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</si>
  <si>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</si>
  <si>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</si>
  <si>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</si>
  <si>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</si>
  <si>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</si>
  <si>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</si>
  <si>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</si>
  <si>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</si>
  <si>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</si>
  <si>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</si>
  <si>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</si>
  <si>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</si>
  <si>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</si>
  <si>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</si>
  <si>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</si>
  <si>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</si>
  <si>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</si>
  <si>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</si>
  <si>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</si>
  <si>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</si>
  <si>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</si>
  <si>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</si>
  <si>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</si>
  <si>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</si>
  <si>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</si>
  <si>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</si>
  <si>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</si>
  <si>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</si>
  <si>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</si>
  <si>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</si>
  <si>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</si>
  <si>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</si>
  <si>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</si>
  <si>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</si>
  <si>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</si>
  <si>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</si>
  <si>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</si>
  <si>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</si>
  <si>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</si>
  <si>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</si>
  <si>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</si>
  <si>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</si>
  <si>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</si>
  <si>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</si>
  <si>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</si>
  <si>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</si>
  <si>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</si>
  <si>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</si>
  <si>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</si>
  <si>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</si>
  <si>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</si>
  <si>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</si>
  <si>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</si>
  <si>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</si>
  <si>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</si>
  <si>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</si>
  <si>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</si>
  <si>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</si>
  <si>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</si>
  <si>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</si>
  <si>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</si>
  <si>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</si>
  <si>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</si>
  <si>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</si>
  <si>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</si>
  <si>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</si>
  <si>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</si>
  <si>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</si>
  <si>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</si>
  <si>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</si>
  <si>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</si>
  <si>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</si>
  <si>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</si>
  <si>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</si>
  <si>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</si>
  <si>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</si>
  <si>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</si>
  <si>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</si>
  <si>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</si>
  <si>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</si>
  <si>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</si>
  <si>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</si>
  <si>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</si>
  <si>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</si>
  <si>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</si>
  <si>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</si>
  <si>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</si>
  <si>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</si>
  <si>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</si>
  <si>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</si>
  <si>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</si>
  <si>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</si>
  <si>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</si>
  <si>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</si>
  <si>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</si>
  <si>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</si>
  <si>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</si>
  <si>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</si>
  <si>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</si>
  <si>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</si>
  <si>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</si>
  <si>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</si>
  <si>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</si>
  <si>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</si>
  <si>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</si>
  <si>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</si>
  <si>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</si>
  <si>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</si>
  <si>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</si>
  <si>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</si>
  <si>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</si>
  <si>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</si>
  <si>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</si>
  <si>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</si>
  <si>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</si>
  <si>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</si>
  <si>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</si>
  <si>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</si>
  <si>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</si>
  <si>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</si>
  <si>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</si>
  <si>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</si>
  <si>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</si>
  <si>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</si>
  <si>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</si>
  <si>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</si>
  <si>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</si>
  <si>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</si>
  <si>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</si>
  <si>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</si>
  <si>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</si>
  <si>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</si>
  <si>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</si>
  <si>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</si>
  <si>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</si>
  <si>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</si>
  <si>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</si>
  <si>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</si>
  <si>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</si>
  <si>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</si>
  <si>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</si>
  <si>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</si>
  <si>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</si>
  <si>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</si>
  <si>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</si>
  <si>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</si>
  <si>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</si>
  <si>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</si>
  <si>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</si>
  <si>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</si>
  <si>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</si>
  <si>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</si>
  <si>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</si>
  <si>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</si>
  <si>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</si>
  <si>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</si>
  <si>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</si>
  <si>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</si>
  <si>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</si>
  <si>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</si>
  <si>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</si>
  <si>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</si>
  <si>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</si>
  <si>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</si>
  <si>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</si>
  <si>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</si>
  <si>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</si>
  <si>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</si>
  <si>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</si>
  <si>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</si>
  <si>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</si>
  <si>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</si>
  <si>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</si>
  <si>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</si>
  <si>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</si>
  <si>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</si>
  <si>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</si>
  <si>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</si>
  <si>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</si>
  <si>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</si>
  <si>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</si>
  <si>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</si>
  <si>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</si>
  <si>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</si>
  <si>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</si>
  <si>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</si>
  <si>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</si>
  <si>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</si>
  <si>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</si>
  <si>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</si>
  <si>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</si>
  <si>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</si>
  <si>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</si>
  <si>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</si>
  <si>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</si>
  <si>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</si>
  <si>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</si>
  <si>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</si>
  <si>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</si>
  <si>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</si>
  <si>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</si>
  <si>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</si>
  <si>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</si>
  <si>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</si>
  <si>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</si>
  <si>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</si>
  <si>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</si>
  <si>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</si>
  <si>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</si>
  <si>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</si>
  <si>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</si>
  <si>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</si>
  <si>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</si>
  <si>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</si>
  <si>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</si>
  <si>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</si>
  <si>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</si>
  <si>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</si>
  <si>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</si>
  <si>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</si>
  <si>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</si>
  <si>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</si>
  <si>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</si>
  <si>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</si>
  <si>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</si>
  <si>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</si>
  <si>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</si>
  <si>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</si>
  <si>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</si>
  <si>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</si>
  <si>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</si>
  <si>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</si>
  <si>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</si>
  <si>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</si>
  <si>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</si>
  <si>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</si>
  <si>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</si>
  <si>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</si>
  <si>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</si>
  <si>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</si>
  <si>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</si>
  <si>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</si>
  <si>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</si>
  <si>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</si>
  <si>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</si>
  <si>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</si>
  <si>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</si>
  <si>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</si>
  <si>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</si>
  <si>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</si>
  <si>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</si>
  <si>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</si>
  <si>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</si>
  <si>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</si>
  <si>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</si>
  <si>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</si>
  <si>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</si>
  <si>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</si>
  <si>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</si>
  <si>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</si>
  <si>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</si>
  <si>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</si>
  <si>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</si>
  <si>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</si>
  <si>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</si>
  <si>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</si>
  <si>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</si>
  <si>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</si>
  <si>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</si>
  <si>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</si>
  <si>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</si>
  <si>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</si>
  <si>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</si>
  <si>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</si>
  <si>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</si>
  <si>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</si>
  <si>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</si>
  <si>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</si>
  <si>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</si>
  <si>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</si>
  <si>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</si>
  <si>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</si>
  <si>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</si>
  <si>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</si>
  <si>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</si>
  <si>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</si>
  <si>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</si>
  <si>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</si>
  <si>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</si>
  <si>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</si>
  <si>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</si>
  <si>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</si>
  <si>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</si>
  <si>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</si>
  <si>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</si>
  <si>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</si>
  <si>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</si>
  <si>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</si>
  <si>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</si>
  <si>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</si>
  <si>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</si>
  <si>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</si>
  <si>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</si>
  <si>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</si>
  <si>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</si>
  <si>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</si>
  <si>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</si>
  <si>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</si>
  <si>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</si>
  <si>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</si>
  <si>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</si>
  <si>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</si>
  <si>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</si>
  <si>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</si>
  <si>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</si>
  <si>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</si>
  <si>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</si>
  <si>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</si>
  <si>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</si>
  <si>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</si>
  <si>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</si>
  <si>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</si>
  <si>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</si>
  <si>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</si>
  <si>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</si>
  <si>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</si>
  <si>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</si>
  <si>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</si>
  <si>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</si>
  <si>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</si>
  <si>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</si>
  <si>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</si>
  <si>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</si>
  <si>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</si>
  <si>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</si>
  <si>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</si>
  <si>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</si>
  <si>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</si>
  <si>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</si>
  <si>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</si>
  <si>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</si>
  <si>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</si>
  <si>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</si>
  <si>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</si>
  <si>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</si>
  <si>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</si>
  <si>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</si>
  <si>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</si>
  <si>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</si>
  <si>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</si>
  <si>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</si>
  <si>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</si>
  <si>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</si>
  <si>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</si>
  <si>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</si>
  <si>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</si>
  <si>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</si>
  <si>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</si>
  <si>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</si>
  <si>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</si>
  <si>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</si>
  <si>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</si>
  <si>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</si>
  <si>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</si>
  <si>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</si>
  <si>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</si>
  <si>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</si>
  <si>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</si>
  <si>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</si>
  <si>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</si>
  <si>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</si>
  <si>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</si>
  <si>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</si>
  <si>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</si>
  <si>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</si>
  <si>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</si>
  <si>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</si>
  <si>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</si>
  <si>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</si>
  <si>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</si>
  <si>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</si>
  <si>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</si>
  <si>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</si>
  <si>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</si>
  <si>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</si>
  <si>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</si>
  <si>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</si>
  <si>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</si>
  <si>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</si>
  <si>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</si>
  <si>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</si>
  <si>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</si>
  <si>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</si>
  <si>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</si>
  <si>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</si>
  <si>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</si>
  <si>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</si>
  <si>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</si>
  <si>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</si>
  <si>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</si>
  <si>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</si>
  <si>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</si>
  <si>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</si>
  <si>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</si>
  <si>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</si>
  <si>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</si>
  <si>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</si>
  <si>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</si>
  <si>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</si>
  <si>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</si>
  <si>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</si>
  <si>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</si>
  <si>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</si>
  <si>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</si>
  <si>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</si>
  <si>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</si>
  <si>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</si>
  <si>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</si>
  <si>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</si>
  <si>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</si>
  <si>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</si>
  <si>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</si>
  <si>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</si>
  <si>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</si>
  <si>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</si>
  <si>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</si>
  <si>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</si>
  <si>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</si>
  <si>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</si>
  <si>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</si>
  <si>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</si>
  <si>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</si>
  <si>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</si>
  <si>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</si>
  <si>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</si>
  <si>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</si>
  <si>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</si>
  <si>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</si>
  <si>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</si>
  <si>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</si>
  <si>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</si>
  <si>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</si>
  <si>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</si>
  <si>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</si>
  <si>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</si>
  <si>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</si>
  <si>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</si>
  <si>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</si>
  <si>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</si>
  <si>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</si>
  <si>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</si>
  <si>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</si>
  <si>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</si>
  <si>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</si>
  <si>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</si>
  <si>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</si>
  <si>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</si>
  <si>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</si>
  <si>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</si>
  <si>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</si>
  <si>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</si>
  <si>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</si>
  <si>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</si>
  <si>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</si>
  <si>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</si>
  <si>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</si>
  <si>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</si>
  <si>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</si>
  <si>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</si>
  <si>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</si>
  <si>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</si>
  <si>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</si>
  <si>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</si>
  <si>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</si>
  <si>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</si>
  <si>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</si>
  <si>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</si>
  <si>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</si>
  <si>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</si>
  <si>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</si>
  <si>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</si>
  <si>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</si>
  <si>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</si>
  <si>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</si>
  <si>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</si>
  <si>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</si>
  <si>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</si>
  <si>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</si>
  <si>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</si>
  <si>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</si>
  <si>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</si>
  <si>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</si>
  <si>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</si>
  <si>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</si>
  <si>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</si>
  <si>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</si>
  <si>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</si>
  <si>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</si>
  <si>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</si>
  <si>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</si>
  <si>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</si>
  <si>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</si>
  <si>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</si>
  <si>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</si>
  <si>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</si>
  <si>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</si>
  <si>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</si>
  <si>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</si>
  <si>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</si>
  <si>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</si>
  <si>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</si>
  <si>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</si>
  <si>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</si>
  <si>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</si>
  <si>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</si>
  <si>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</si>
  <si>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</si>
  <si>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</si>
  <si>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</si>
  <si>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</si>
  <si>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</si>
  <si>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</si>
  <si>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</si>
  <si>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</si>
  <si>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</si>
  <si>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</si>
  <si>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</si>
  <si>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</si>
  <si>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</si>
  <si>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</si>
  <si>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</si>
  <si>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</si>
  <si>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</si>
  <si>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</si>
  <si>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</si>
  <si>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</si>
  <si>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</si>
  <si>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</si>
  <si>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</si>
  <si>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</si>
  <si>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</si>
  <si>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</si>
  <si>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</si>
  <si>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</si>
  <si>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</si>
  <si>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</si>
  <si>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</si>
  <si>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</si>
  <si>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</si>
  <si>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</si>
  <si>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</si>
  <si>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</si>
  <si>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</si>
  <si>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</si>
  <si>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</si>
  <si>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</si>
  <si>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</si>
  <si>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</si>
  <si>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</si>
  <si>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</si>
  <si>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</si>
  <si>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</si>
  <si>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</si>
  <si>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</si>
  <si>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</si>
  <si>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</si>
  <si>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</si>
  <si>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</si>
  <si>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</si>
  <si>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</si>
  <si>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</si>
  <si>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</si>
  <si>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</si>
  <si>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</si>
  <si>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Agent Storage (AFFF)</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</si>
  <si>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</si>
  <si>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</si>
  <si>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</si>
  <si>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</si>
  <si>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</si>
  <si>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</si>
  <si>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</si>
  <si>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</si>
  <si>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</si>
  <si>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</si>
  <si>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</si>
  <si>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</si>
  <si>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</si>
  <si>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</si>
  <si>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</si>
  <si>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</si>
  <si>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</si>
  <si>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</si>
  <si>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</si>
  <si>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</si>
  <si>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</si>
  <si>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</si>
  <si>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</si>
  <si>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</si>
  <si>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</si>
  <si>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</si>
  <si>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</si>
  <si>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</si>
  <si>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</si>
  <si>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Provide EMS Office (yes or no):</t>
  </si>
  <si>
    <t>Area sized at:</t>
  </si>
  <si>
    <t>Provide HAZMAT/ Safety Office (yes or no):</t>
  </si>
  <si>
    <t>Provide Training Officer Office (yes or no):</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</si>
  <si>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</si>
  <si>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</si>
  <si>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</si>
  <si>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</si>
  <si>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</si>
  <si>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</si>
  <si>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</si>
  <si>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</si>
  <si>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</si>
  <si>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</si>
  <si>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</si>
  <si>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</si>
  <si>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</si>
  <si>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</si>
  <si>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</si>
  <si>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</si>
  <si>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</si>
  <si>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</si>
  <si>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</si>
  <si>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</si>
  <si>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</si>
  <si>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</si>
  <si>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</si>
  <si>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</si>
  <si>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</si>
  <si>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</si>
  <si>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</si>
  <si>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</si>
  <si>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</si>
  <si>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</si>
  <si>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</si>
  <si>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</si>
  <si>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</si>
  <si>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</si>
  <si>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</si>
  <si>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</si>
  <si>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</si>
  <si>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</si>
  <si>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</si>
  <si>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</si>
  <si>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</si>
  <si>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</si>
  <si>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</si>
  <si>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</si>
  <si>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</si>
  <si>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</si>
  <si>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</si>
  <si>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</si>
  <si>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</si>
  <si>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</si>
  <si>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</si>
  <si>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</si>
  <si>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</si>
  <si>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</si>
  <si>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</si>
  <si>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</si>
  <si>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</si>
  <si>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</si>
  <si>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</si>
  <si>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</si>
  <si>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</si>
  <si>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</si>
  <si>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</si>
  <si>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</si>
  <si>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</si>
  <si>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</si>
  <si>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</si>
  <si>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</si>
  <si>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</si>
  <si>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</si>
  <si>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</si>
  <si>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</si>
  <si>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</si>
  <si>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</si>
  <si>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</si>
  <si>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</si>
  <si>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</si>
  <si>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</si>
  <si>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</si>
  <si>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</si>
  <si>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</si>
  <si>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</si>
  <si>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</si>
  <si>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</si>
  <si>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</si>
  <si>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</si>
  <si>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</si>
  <si>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</si>
  <si>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</si>
  <si>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</si>
  <si>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</si>
  <si>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</si>
  <si>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</si>
  <si>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</si>
  <si>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</si>
  <si>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</si>
  <si>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</si>
  <si>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</si>
  <si>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</si>
  <si>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</si>
  <si>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</si>
  <si>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</si>
  <si>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</si>
  <si>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</si>
  <si>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</si>
  <si>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</si>
  <si>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</si>
  <si>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</si>
  <si>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</si>
  <si>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</si>
  <si>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</si>
  <si>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</si>
  <si>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</si>
  <si>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</si>
  <si>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</si>
  <si>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</si>
  <si>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</si>
  <si>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</si>
  <si>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</si>
  <si>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</si>
  <si>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</si>
  <si>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</si>
  <si>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</si>
  <si>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</si>
  <si>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</si>
  <si>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</si>
  <si>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</si>
  <si>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Responders of each gender identified for the facility.</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</si>
  <si>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</si>
  <si>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</si>
  <si>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</si>
  <si>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</si>
  <si>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</si>
  <si>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</si>
  <si>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</si>
  <si>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</si>
  <si>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</si>
  <si>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</si>
  <si>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</si>
  <si>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</si>
  <si>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</si>
  <si>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</si>
  <si>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</si>
  <si>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</si>
  <si>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</si>
  <si>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</si>
  <si>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</si>
  <si>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</si>
  <si>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</si>
  <si>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</si>
  <si>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</si>
  <si>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</si>
  <si>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</si>
  <si>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</si>
  <si>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</si>
  <si>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</si>
  <si>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</si>
  <si>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</si>
  <si>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</si>
  <si>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</si>
  <si>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</si>
  <si>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</si>
  <si>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</si>
  <si>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</si>
  <si>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</si>
  <si>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</si>
  <si>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</si>
  <si>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</si>
  <si>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</si>
  <si>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</si>
  <si>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</si>
  <si>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</si>
  <si>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</si>
  <si>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</si>
  <si>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</si>
  <si>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</si>
  <si>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</si>
  <si>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</si>
  <si>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</si>
  <si>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</si>
  <si>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</si>
  <si>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</si>
  <si>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</si>
  <si>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</si>
  <si>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</si>
  <si>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</si>
  <si>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</si>
  <si>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</si>
  <si>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</si>
  <si>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</si>
  <si>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</si>
  <si>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</si>
  <si>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</si>
  <si>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</si>
  <si>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</si>
  <si>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</si>
  <si>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</si>
  <si>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</si>
  <si>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</si>
  <si>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</si>
  <si>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</si>
  <si>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</si>
  <si>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</si>
  <si>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Chief / Asst. Chief Bathroom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</si>
  <si>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</si>
  <si>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</si>
  <si>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</si>
  <si>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</si>
  <si>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</si>
  <si>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</si>
  <si>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</si>
  <si>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</si>
  <si>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</si>
  <si>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</si>
  <si>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</si>
  <si>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</si>
  <si>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</si>
  <si>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</si>
  <si>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</si>
  <si>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</si>
  <si>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</si>
  <si>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</si>
  <si>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</si>
  <si>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</si>
  <si>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</si>
  <si>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</si>
  <si>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</si>
  <si>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</si>
  <si>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</si>
  <si>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</si>
  <si>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</si>
  <si>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</si>
  <si>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</si>
  <si>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</si>
  <si>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</si>
  <si>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</si>
  <si>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</si>
  <si>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</si>
  <si>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</si>
  <si>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</si>
  <si>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</si>
  <si>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</si>
  <si>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</si>
  <si>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</si>
  <si>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</si>
  <si>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</si>
  <si>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</si>
  <si>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</si>
  <si>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</si>
  <si>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</si>
  <si>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</si>
  <si>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</si>
  <si>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</si>
  <si>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</si>
  <si>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</si>
  <si>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</si>
  <si>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</si>
  <si>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</si>
  <si>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</si>
  <si>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</si>
  <si>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</si>
  <si>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</si>
  <si>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Custodial</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</si>
  <si>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</si>
  <si>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</si>
  <si>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</si>
  <si>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</si>
  <si>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</si>
  <si>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</si>
  <si>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</si>
  <si>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</si>
  <si>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</si>
  <si>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</si>
  <si>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</si>
  <si>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</si>
  <si>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</si>
  <si>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</si>
  <si>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</si>
  <si>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</si>
  <si>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</si>
  <si>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</si>
  <si>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</si>
  <si>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</si>
  <si>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Air Force Reserve and Active Duty Mobility / Deployment Gear Stor.</t>
  </si>
  <si>
    <t>Flightline Fire Extinguishing Tank Recovery Ext. Covered Storage</t>
  </si>
  <si>
    <t>AS DESIGNED</t>
  </si>
  <si>
    <t>Space Allocation Standard Used in Matrices</t>
  </si>
  <si>
    <t>1/2% of Net Assigned Area</t>
  </si>
  <si>
    <t xml:space="preserve">IT / Comms </t>
  </si>
  <si>
    <t>Administration &amp; Training Break Room</t>
  </si>
  <si>
    <t>Not required in satellite stations</t>
  </si>
  <si>
    <t>Per AFMAN 32-1084 8.5.5.2 Verify with MAJCOM</t>
  </si>
  <si>
    <t>Comply with LEED</t>
  </si>
  <si>
    <t>Vending / Recycling</t>
  </si>
  <si>
    <t>Combination of dining, kitchen, and living</t>
  </si>
  <si>
    <t>Station Chief / Station Capt.</t>
  </si>
  <si>
    <t>Base IT / Comms Room(s)</t>
  </si>
  <si>
    <t>(1) ABA Water Closet, (1) Lavatory, (1) Urinal</t>
  </si>
  <si>
    <t>(1) Lavatory, (1) Shower, (1) Water Closet</t>
  </si>
  <si>
    <t>Entries</t>
  </si>
  <si>
    <t>Covered Exterior Entries</t>
  </si>
  <si>
    <t>Calculated at half area</t>
  </si>
  <si>
    <t>Provide HAZMAT/CBRN Equipment Storage (yes or no):</t>
  </si>
  <si>
    <t>HAZMAT / CBRN Equipment Storage</t>
  </si>
  <si>
    <t>Station Chief or Captain Office/ Watch Desk</t>
  </si>
  <si>
    <t>Station Chief Office / Watch Desk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</si>
</sst>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0"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s>
  <fills count="3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378">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3" fontId="21" fillId="6" borderId="1"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0" fontId="56" fillId="29" borderId="4" xfId="0" applyFont="1" applyFill="1" applyBorder="1" applyAlignment="1">
      <alignment horizontal="left" vertical="center"/>
    </xf>
    <xf numFmtId="3" fontId="56" fillId="29" borderId="4" xfId="0" applyNumberFormat="1" applyFont="1" applyFill="1" applyBorder="1" applyAlignment="1">
      <alignment horizontal="righ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0" fontId="56" fillId="29" borderId="4" xfId="0" applyFont="1" applyFill="1" applyBorder="1" applyAlignment="1">
      <alignment horizontal="lef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0" fontId="56" fillId="31" borderId="4" xfId="0" applyFont="1" applyFill="1" applyBorder="1" applyAlignment="1">
      <alignment horizontal="left" vertical="center"/>
    </xf>
    <xf numFmtId="3" fontId="56" fillId="31" borderId="4" xfId="0" applyNumberFormat="1" applyFont="1" applyFill="1" applyBorder="1" applyAlignment="1">
      <alignment horizontal="right" vertical="center" wrapText="1"/>
    </xf>
    <xf numFmtId="165" fontId="56" fillId="31" borderId="6"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0" fontId="56" fillId="31" borderId="2" xfId="0" applyFont="1" applyFill="1" applyBorder="1" applyAlignment="1">
      <alignment horizontal="left" vertical="center"/>
    </xf>
    <xf numFmtId="3" fontId="56" fillId="31" borderId="2" xfId="0" applyNumberFormat="1" applyFont="1" applyFill="1" applyBorder="1" applyAlignment="1">
      <alignment horizontal="right" vertical="center" wrapText="1"/>
    </xf>
    <xf numFmtId="165" fontId="56" fillId="31" borderId="7"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2"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0" fontId="7" fillId="30" borderId="6" xfId="0" applyFont="1" applyFill="1" applyBorder="1" applyAlignment="1">
      <alignment horizontal="left" vertical="center"/>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0" fontId="7" fillId="24" borderId="2" xfId="0" applyFont="1" applyFill="1" applyBorder="1" applyAlignment="1">
      <alignment horizontal="left" vertical="center"/>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0" fontId="1" fillId="5" borderId="11" xfId="0" applyFont="1" applyFill="1" applyBorder="1" applyAlignment="1" applyProtection="1">
      <alignment horizontal="center"/>
      <protection locked="0"/>
    </xf>
    <xf numFmtId="1" fontId="1" fillId="34" borderId="31" xfId="0" applyNumberFormat="1" applyFont="1" applyFill="1" applyBorder="1" applyAlignment="1" applyProtection="1">
      <protection locked="0"/>
    </xf>
    <xf numFmtId="0" fontId="79" fillId="18" borderId="4" xfId="0" applyFont="1" applyFill="1" applyBorder="1" applyAlignment="1">
      <alignment horizontal="left" vertical="center"/>
    </xf>
    <xf numFmtId="3" fontId="79" fillId="18" borderId="4" xfId="0" applyNumberFormat="1" applyFont="1" applyFill="1" applyBorder="1" applyAlignment="1">
      <alignment horizontal="right" vertical="center" wrapText="1"/>
    </xf>
    <xf numFmtId="0" fontId="79" fillId="18" borderId="2" xfId="0" applyFont="1" applyFill="1" applyBorder="1" applyAlignment="1">
      <alignment horizontal="left" vertical="center"/>
    </xf>
    <xf numFmtId="3" fontId="79" fillId="18" borderId="2" xfId="0" applyNumberFormat="1" applyFont="1" applyFill="1" applyBorder="1" applyAlignment="1">
      <alignment horizontal="right" vertical="center" wrapText="1"/>
    </xf>
    <xf numFmtId="0" fontId="7" fillId="33" borderId="57" xfId="0" applyFont="1" applyFill="1" applyBorder="1" applyAlignment="1">
      <alignment horizontal="center" vertical="center" wrapText="1"/>
    </xf>
    <xf numFmtId="0" fontId="7" fillId="23" borderId="6" xfId="0" applyFont="1" applyFill="1" applyBorder="1" applyAlignment="1">
      <alignment horizontal="left" vertical="center"/>
    </xf>
    <xf numFmtId="0" fontId="7" fillId="23" borderId="6" xfId="0" applyFont="1" applyFill="1" applyBorder="1" applyAlignment="1">
      <alignment horizontal="left" vertical="center" wrapText="1"/>
    </xf>
    <xf numFmtId="0" fontId="79" fillId="6" borderId="0" xfId="0" applyFont="1" applyFill="1" applyBorder="1" applyAlignment="1">
      <alignment horizontal="right" vertical="center" wrapText="1"/>
    </xf>
    <xf numFmtId="3" fontId="79" fillId="6" borderId="0" xfId="0" applyNumberFormat="1" applyFont="1" applyFill="1" applyBorder="1" applyAlignment="1">
      <alignment horizontal="right" vertical="center" wrapText="1"/>
    </xf>
    <xf numFmtId="165" fontId="79" fillId="18" borderId="6" xfId="0" applyNumberFormat="1" applyFont="1" applyFill="1" applyBorder="1" applyAlignment="1">
      <alignment horizontal="right" vertical="center" wrapText="1"/>
    </xf>
    <xf numFmtId="3" fontId="79" fillId="18" borderId="7" xfId="0" applyNumberFormat="1" applyFont="1" applyFill="1" applyBorder="1" applyAlignment="1">
      <alignment horizontal="right" vertical="center" wrapText="1"/>
    </xf>
    <xf numFmtId="0" fontId="79" fillId="18" borderId="4" xfId="0" applyFont="1" applyFill="1" applyBorder="1" applyAlignment="1">
      <alignment horizontal="left" vertical="center" wrapText="1"/>
    </xf>
    <xf numFmtId="165" fontId="79" fillId="18" borderId="7" xfId="0" applyNumberFormat="1" applyFont="1" applyFill="1" applyBorder="1" applyAlignment="1">
      <alignment horizontal="right" vertical="center" wrapText="1"/>
    </xf>
    <xf numFmtId="0" fontId="79" fillId="18" borderId="2" xfId="0" applyFont="1" applyFill="1" applyBorder="1" applyAlignment="1">
      <alignment horizontal="left" vertical="center" wrapText="1"/>
    </xf>
    <xf numFmtId="3" fontId="7" fillId="0" borderId="36" xfId="0" applyNumberFormat="1" applyFont="1" applyFill="1" applyBorder="1" applyAlignment="1" applyProtection="1">
      <alignment vertical="center"/>
      <protection locked="0"/>
    </xf>
    <xf numFmtId="0" fontId="1" fillId="3" borderId="0" xfId="0" applyFont="1" applyFill="1" applyAlignment="1" applyProtection="1">
      <alignment horizontal="left" vertical="center" wrapText="1"/>
    </xf>
    <xf numFmtId="0" fontId="9" fillId="3" borderId="0" xfId="0" applyFont="1"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165" fontId="0" fillId="3" borderId="0" xfId="0" applyNumberForma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6" fillId="6" borderId="3" xfId="0" applyFont="1" applyFill="1" applyBorder="1" applyAlignment="1" applyProtection="1">
      <alignment horizontal="center" wrapText="1"/>
    </xf>
    <xf numFmtId="3" fontId="6" fillId="4" borderId="1" xfId="0" applyNumberFormat="1" applyFont="1" applyFill="1" applyBorder="1" applyAlignment="1" applyProtection="1">
      <alignment horizontal="center" wrapText="1"/>
    </xf>
    <xf numFmtId="3" fontId="6" fillId="6" borderId="0" xfId="0" applyNumberFormat="1" applyFont="1" applyFill="1" applyBorder="1" applyAlignment="1" applyProtection="1">
      <alignment horizontal="center" wrapText="1"/>
    </xf>
    <xf numFmtId="0" fontId="57" fillId="6" borderId="3" xfId="0" applyFont="1" applyFill="1" applyBorder="1" applyAlignment="1" applyProtection="1">
      <alignment horizontal="center" wrapText="1"/>
    </xf>
    <xf numFmtId="3" fontId="6" fillId="4" borderId="1" xfId="0" applyNumberFormat="1" applyFont="1" applyFill="1" applyBorder="1" applyAlignment="1" applyProtection="1">
      <alignment horizontal="center" textRotation="90" wrapText="1"/>
    </xf>
    <xf numFmtId="0" fontId="57" fillId="4" borderId="36" xfId="0" applyFont="1" applyFill="1" applyBorder="1" applyAlignment="1" applyProtection="1">
      <alignment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3" fontId="8" fillId="6" borderId="2"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8" fillId="6" borderId="3" xfId="0" applyNumberFormat="1" applyFont="1" applyFill="1" applyBorder="1" applyAlignment="1" applyProtection="1">
      <alignment horizontal="center" vertical="center" wrapText="1"/>
    </xf>
    <xf numFmtId="165" fontId="8" fillId="2" borderId="1" xfId="0" applyNumberFormat="1" applyFont="1" applyFill="1" applyBorder="1" applyAlignment="1" applyProtection="1">
      <alignment horizontal="center" vertical="center" wrapText="1"/>
    </xf>
    <xf numFmtId="1" fontId="7" fillId="2" borderId="1" xfId="0" applyNumberFormat="1" applyFont="1" applyFill="1" applyBorder="1" applyAlignment="1" applyProtection="1">
      <alignment vertical="center" wrapText="1"/>
    </xf>
    <xf numFmtId="0" fontId="1"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3" fontId="0" fillId="3" borderId="0" xfId="0" applyNumberFormat="1" applyFill="1" applyBorder="1" applyAlignment="1" applyProtection="1">
      <alignment horizontal="center" vertical="center" wrapText="1"/>
    </xf>
    <xf numFmtId="3" fontId="0" fillId="6" borderId="0" xfId="0" applyNumberFormat="1" applyFill="1" applyBorder="1" applyAlignment="1" applyProtection="1">
      <alignment horizontal="center" vertical="center" wrapText="1"/>
    </xf>
    <xf numFmtId="165" fontId="0" fillId="3" borderId="0" xfId="0" applyNumberFormat="1" applyFill="1" applyBorder="1" applyAlignment="1" applyProtection="1">
      <alignment horizontal="center" vertical="center" wrapText="1"/>
    </xf>
    <xf numFmtId="0" fontId="7" fillId="3" borderId="0" xfId="0" applyFont="1" applyFill="1" applyBorder="1" applyAlignment="1" applyProtection="1">
      <alignment vertical="center" wrapText="1"/>
    </xf>
    <xf numFmtId="0" fontId="30" fillId="6" borderId="0" xfId="0" applyFont="1" applyFill="1" applyBorder="1" applyAlignment="1" applyProtection="1">
      <alignment horizontal="center" vertical="center" wrapText="1"/>
    </xf>
    <xf numFmtId="0" fontId="42" fillId="8" borderId="1" xfId="0" applyFont="1" applyFill="1" applyBorder="1" applyAlignment="1" applyProtection="1">
      <alignment horizontal="center" wrapText="1"/>
    </xf>
    <xf numFmtId="0" fontId="42" fillId="4" borderId="1" xfId="0" applyFont="1" applyFill="1" applyBorder="1" applyAlignment="1" applyProtection="1">
      <alignment horizontal="center" wrapText="1"/>
    </xf>
    <xf numFmtId="3" fontId="30" fillId="6" borderId="0" xfId="0" applyNumberFormat="1" applyFont="1" applyFill="1" applyBorder="1" applyAlignment="1" applyProtection="1">
      <alignment horizontal="center" vertical="center" wrapText="1"/>
    </xf>
    <xf numFmtId="165" fontId="50" fillId="4" borderId="1" xfId="0" applyNumberFormat="1" applyFont="1" applyFill="1" applyBorder="1" applyAlignment="1" applyProtection="1">
      <alignment horizontal="center" wrapText="1"/>
    </xf>
    <xf numFmtId="0" fontId="76" fillId="4" borderId="1" xfId="0" applyFont="1" applyFill="1" applyBorder="1" applyAlignment="1" applyProtection="1">
      <alignment horizontal="center" wrapText="1"/>
    </xf>
    <xf numFmtId="165" fontId="50" fillId="4" borderId="10" xfId="0" applyNumberFormat="1" applyFont="1" applyFill="1" applyBorder="1" applyAlignment="1" applyProtection="1">
      <alignment horizontal="center" wrapText="1"/>
    </xf>
    <xf numFmtId="0" fontId="7" fillId="31" borderId="4" xfId="0" applyFont="1" applyFill="1" applyBorder="1" applyAlignment="1" applyProtection="1">
      <alignment horizontal="left" vertical="center"/>
    </xf>
    <xf numFmtId="0" fontId="7" fillId="6" borderId="0" xfId="0" applyFont="1" applyFill="1" applyBorder="1" applyAlignment="1" applyProtection="1">
      <alignment horizontal="right" vertical="center" wrapText="1"/>
    </xf>
    <xf numFmtId="3" fontId="7" fillId="31" borderId="5" xfId="0" applyNumberFormat="1" applyFont="1" applyFill="1" applyBorder="1" applyAlignment="1" applyProtection="1">
      <alignment horizontal="right" vertical="center" wrapText="1"/>
    </xf>
    <xf numFmtId="3" fontId="7" fillId="6" borderId="0" xfId="0" applyNumberFormat="1" applyFont="1" applyFill="1" applyBorder="1" applyAlignment="1" applyProtection="1">
      <alignment horizontal="right" vertical="center" wrapText="1"/>
    </xf>
    <xf numFmtId="165" fontId="7" fillId="31" borderId="6" xfId="0" applyNumberFormat="1" applyFont="1" applyFill="1" applyBorder="1" applyAlignment="1" applyProtection="1">
      <alignment horizontal="right" vertical="center" wrapText="1"/>
    </xf>
    <xf numFmtId="3" fontId="7" fillId="31" borderId="7" xfId="0" applyNumberFormat="1" applyFont="1" applyFill="1" applyBorder="1" applyAlignment="1" applyProtection="1">
      <alignment horizontal="right" vertical="center" wrapText="1"/>
    </xf>
    <xf numFmtId="3" fontId="7" fillId="31" borderId="2" xfId="0" applyNumberFormat="1" applyFont="1" applyFill="1" applyBorder="1" applyAlignment="1" applyProtection="1">
      <alignment horizontal="right" vertical="center" wrapText="1"/>
    </xf>
    <xf numFmtId="166" fontId="7" fillId="31" borderId="19" xfId="0" applyNumberFormat="1" applyFont="1" applyFill="1" applyBorder="1" applyAlignment="1" applyProtection="1">
      <alignment horizontal="right" vertical="center" wrapText="1"/>
    </xf>
    <xf numFmtId="0" fontId="7" fillId="31" borderId="5" xfId="0" applyFont="1" applyFill="1" applyBorder="1" applyAlignment="1" applyProtection="1">
      <alignment horizontal="left" vertical="center" wrapText="1"/>
    </xf>
    <xf numFmtId="0" fontId="79" fillId="31" borderId="4" xfId="0" applyFont="1" applyFill="1" applyBorder="1" applyAlignment="1" applyProtection="1">
      <alignment horizontal="left" vertical="center"/>
    </xf>
    <xf numFmtId="0" fontId="56" fillId="6" borderId="0" xfId="0" applyFont="1" applyFill="1" applyBorder="1" applyAlignment="1" applyProtection="1">
      <alignment horizontal="right" vertical="center" wrapText="1"/>
    </xf>
    <xf numFmtId="3" fontId="56" fillId="31" borderId="4" xfId="0" applyNumberFormat="1" applyFont="1" applyFill="1" applyBorder="1" applyAlignment="1" applyProtection="1">
      <alignment horizontal="right" vertical="center" wrapText="1"/>
    </xf>
    <xf numFmtId="3" fontId="79" fillId="31" borderId="4" xfId="0" applyNumberFormat="1" applyFont="1" applyFill="1" applyBorder="1" applyAlignment="1" applyProtection="1">
      <alignment horizontal="right" vertical="center" wrapText="1"/>
    </xf>
    <xf numFmtId="3" fontId="56" fillId="6" borderId="0" xfId="0" applyNumberFormat="1" applyFont="1" applyFill="1" applyBorder="1" applyAlignment="1" applyProtection="1">
      <alignment horizontal="right" vertical="center" wrapText="1"/>
    </xf>
    <xf numFmtId="1" fontId="79" fillId="31" borderId="4" xfId="0" applyNumberFormat="1" applyFont="1" applyFill="1" applyBorder="1" applyAlignment="1" applyProtection="1">
      <alignment horizontal="right" vertical="center" wrapText="1"/>
    </xf>
    <xf numFmtId="1" fontId="79" fillId="6" borderId="0" xfId="0" applyNumberFormat="1" applyFont="1" applyFill="1" applyBorder="1" applyAlignment="1" applyProtection="1">
      <alignment horizontal="right" vertical="center" wrapText="1"/>
    </xf>
    <xf numFmtId="1" fontId="79" fillId="31" borderId="6" xfId="0" applyNumberFormat="1" applyFont="1" applyFill="1" applyBorder="1" applyAlignment="1" applyProtection="1">
      <alignment horizontal="right" vertical="center" wrapText="1"/>
    </xf>
    <xf numFmtId="1" fontId="79" fillId="31" borderId="7" xfId="0" applyNumberFormat="1" applyFont="1" applyFill="1" applyBorder="1" applyAlignment="1" applyProtection="1">
      <alignment horizontal="right" vertical="center" wrapText="1"/>
    </xf>
    <xf numFmtId="1" fontId="79" fillId="31" borderId="19" xfId="0" applyNumberFormat="1" applyFont="1" applyFill="1" applyBorder="1" applyAlignment="1" applyProtection="1">
      <alignment horizontal="right" vertical="center" wrapText="1"/>
    </xf>
    <xf numFmtId="1" fontId="79" fillId="31" borderId="4" xfId="0" applyNumberFormat="1" applyFont="1" applyFill="1" applyBorder="1" applyAlignment="1" applyProtection="1">
      <alignment horizontal="left" vertical="center" wrapText="1"/>
    </xf>
    <xf numFmtId="0" fontId="79" fillId="31" borderId="2" xfId="0" applyFont="1" applyFill="1" applyBorder="1" applyAlignment="1" applyProtection="1">
      <alignment horizontal="left" vertical="center"/>
    </xf>
    <xf numFmtId="3" fontId="56" fillId="31" borderId="2" xfId="0" applyNumberFormat="1" applyFont="1" applyFill="1" applyBorder="1" applyAlignment="1" applyProtection="1">
      <alignment horizontal="right" vertical="center" wrapText="1"/>
    </xf>
    <xf numFmtId="3" fontId="79" fillId="31" borderId="2" xfId="0" applyNumberFormat="1" applyFont="1" applyFill="1" applyBorder="1" applyAlignment="1" applyProtection="1">
      <alignment horizontal="right" vertical="center" wrapText="1"/>
    </xf>
    <xf numFmtId="1" fontId="79" fillId="31" borderId="2" xfId="0" applyNumberFormat="1" applyFont="1" applyFill="1" applyBorder="1" applyAlignment="1" applyProtection="1">
      <alignment horizontal="right" vertical="center" wrapText="1"/>
    </xf>
    <xf numFmtId="1" fontId="79" fillId="31" borderId="21" xfId="0" applyNumberFormat="1" applyFont="1" applyFill="1" applyBorder="1" applyAlignment="1" applyProtection="1">
      <alignment horizontal="right" vertical="center" wrapText="1"/>
    </xf>
    <xf numFmtId="1" fontId="79" fillId="31" borderId="2" xfId="0" applyNumberFormat="1" applyFont="1" applyFill="1" applyBorder="1" applyAlignment="1" applyProtection="1">
      <alignment horizontal="left" vertical="center" wrapText="1"/>
    </xf>
    <xf numFmtId="0" fontId="7" fillId="32" borderId="5" xfId="0" applyFont="1" applyFill="1" applyBorder="1" applyAlignment="1" applyProtection="1">
      <alignment horizontal="left" vertical="center"/>
    </xf>
    <xf numFmtId="0" fontId="38" fillId="6" borderId="0" xfId="0" applyFont="1" applyFill="1" applyBorder="1" applyAlignment="1" applyProtection="1">
      <alignment horizontal="center" vertical="center" wrapText="1"/>
    </xf>
    <xf numFmtId="3" fontId="7" fillId="32" borderId="5" xfId="0" applyNumberFormat="1" applyFont="1" applyFill="1" applyBorder="1" applyAlignment="1" applyProtection="1">
      <alignment vertical="center"/>
    </xf>
    <xf numFmtId="0" fontId="7" fillId="6" borderId="0" xfId="0" applyFont="1" applyFill="1" applyBorder="1" applyAlignment="1" applyProtection="1">
      <alignment horizontal="center" vertical="center" wrapText="1"/>
    </xf>
    <xf numFmtId="0" fontId="7" fillId="32" borderId="5" xfId="0" applyFont="1" applyFill="1" applyBorder="1" applyAlignment="1" applyProtection="1">
      <alignment vertical="center"/>
    </xf>
    <xf numFmtId="3" fontId="7" fillId="6" borderId="0" xfId="0" applyNumberFormat="1" applyFont="1" applyFill="1" applyBorder="1" applyAlignment="1" applyProtection="1">
      <alignment horizontal="center" vertical="center" wrapText="1"/>
    </xf>
    <xf numFmtId="165" fontId="7" fillId="32" borderId="5" xfId="0" applyNumberFormat="1" applyFont="1" applyFill="1" applyBorder="1" applyAlignment="1" applyProtection="1">
      <alignment horizontal="right" vertical="center" wrapText="1"/>
    </xf>
    <xf numFmtId="3" fontId="7" fillId="32" borderId="5" xfId="0" applyNumberFormat="1" applyFont="1" applyFill="1" applyBorder="1" applyAlignment="1" applyProtection="1">
      <alignment horizontal="right" vertical="center" wrapText="1"/>
    </xf>
    <xf numFmtId="166" fontId="7" fillId="32" borderId="5" xfId="0" applyNumberFormat="1" applyFont="1" applyFill="1" applyBorder="1" applyAlignment="1" applyProtection="1">
      <alignment horizontal="right" vertical="center" wrapText="1"/>
    </xf>
    <xf numFmtId="0" fontId="7" fillId="32" borderId="5" xfId="0" applyFont="1" applyFill="1" applyBorder="1" applyAlignment="1" applyProtection="1">
      <alignment horizontal="left" vertical="center" wrapText="1"/>
    </xf>
    <xf numFmtId="0" fontId="7" fillId="32" borderId="4" xfId="0" applyFont="1" applyFill="1" applyBorder="1" applyAlignment="1" applyProtection="1">
      <alignment horizontal="left" vertical="top"/>
    </xf>
    <xf numFmtId="3" fontId="7" fillId="32" borderId="4" xfId="0" applyNumberFormat="1" applyFont="1" applyFill="1" applyBorder="1" applyAlignment="1" applyProtection="1">
      <alignment vertical="center"/>
    </xf>
    <xf numFmtId="0" fontId="7" fillId="32" borderId="4" xfId="0" applyFont="1" applyFill="1" applyBorder="1" applyAlignment="1" applyProtection="1">
      <alignment vertical="center"/>
    </xf>
    <xf numFmtId="165" fontId="7" fillId="32" borderId="4" xfId="0" applyNumberFormat="1" applyFont="1" applyFill="1" applyBorder="1" applyAlignment="1" applyProtection="1">
      <alignment horizontal="right" vertical="center" wrapText="1"/>
    </xf>
    <xf numFmtId="3" fontId="7" fillId="32" borderId="2" xfId="0" applyNumberFormat="1" applyFont="1" applyFill="1" applyBorder="1" applyAlignment="1" applyProtection="1">
      <alignment horizontal="right" vertical="center" wrapText="1"/>
    </xf>
    <xf numFmtId="3" fontId="7" fillId="32" borderId="4" xfId="0" applyNumberFormat="1" applyFont="1" applyFill="1" applyBorder="1" applyAlignment="1" applyProtection="1">
      <alignment horizontal="right" vertical="center" wrapText="1"/>
    </xf>
    <xf numFmtId="166" fontId="7" fillId="32" borderId="4" xfId="0" applyNumberFormat="1" applyFont="1" applyFill="1" applyBorder="1" applyAlignment="1" applyProtection="1">
      <alignment horizontal="right" vertical="center" wrapText="1"/>
    </xf>
    <xf numFmtId="0" fontId="7" fillId="32" borderId="4" xfId="0" applyFont="1" applyFill="1" applyBorder="1" applyAlignment="1" applyProtection="1">
      <alignment horizontal="left" vertical="center" wrapText="1"/>
    </xf>
    <xf numFmtId="0" fontId="7" fillId="32" borderId="6" xfId="0" applyFont="1" applyFill="1" applyBorder="1" applyAlignment="1" applyProtection="1">
      <alignment horizontal="left" vertical="top"/>
    </xf>
    <xf numFmtId="3" fontId="7" fillId="32" borderId="6" xfId="0" applyNumberFormat="1" applyFont="1" applyFill="1" applyBorder="1" applyAlignment="1" applyProtection="1">
      <alignment vertical="center"/>
    </xf>
    <xf numFmtId="0" fontId="7" fillId="32" borderId="6" xfId="0" applyFont="1" applyFill="1" applyBorder="1" applyAlignment="1" applyProtection="1">
      <alignment vertical="center"/>
    </xf>
    <xf numFmtId="165" fontId="7" fillId="32" borderId="6" xfId="0" applyNumberFormat="1" applyFont="1" applyFill="1" applyBorder="1" applyAlignment="1" applyProtection="1">
      <alignment horizontal="right" vertical="center" wrapText="1"/>
    </xf>
    <xf numFmtId="3" fontId="7" fillId="32" borderId="7" xfId="0" applyNumberFormat="1" applyFont="1" applyFill="1" applyBorder="1" applyAlignment="1" applyProtection="1">
      <alignment horizontal="right" vertical="center" wrapText="1"/>
    </xf>
    <xf numFmtId="3" fontId="7" fillId="32" borderId="6" xfId="0" applyNumberFormat="1" applyFont="1" applyFill="1" applyBorder="1" applyAlignment="1" applyProtection="1">
      <alignment horizontal="right" vertical="center" wrapText="1"/>
    </xf>
    <xf numFmtId="166" fontId="7" fillId="32" borderId="6" xfId="0" applyNumberFormat="1" applyFont="1" applyFill="1" applyBorder="1" applyAlignment="1" applyProtection="1">
      <alignment horizontal="right" vertical="center" wrapText="1"/>
    </xf>
    <xf numFmtId="0" fontId="7" fillId="32" borderId="6" xfId="0" applyFont="1" applyFill="1" applyBorder="1" applyAlignment="1" applyProtection="1">
      <alignment horizontal="left" vertical="center" wrapText="1"/>
    </xf>
    <xf numFmtId="0" fontId="7" fillId="32" borderId="6" xfId="0" applyFont="1" applyFill="1" applyBorder="1" applyAlignment="1" applyProtection="1">
      <alignment horizontal="left" vertical="center"/>
    </xf>
    <xf numFmtId="0" fontId="7" fillId="32" borderId="7" xfId="0" applyFont="1" applyFill="1" applyBorder="1" applyAlignment="1" applyProtection="1">
      <alignment horizontal="left" vertical="center"/>
    </xf>
    <xf numFmtId="3" fontId="7" fillId="32" borderId="7" xfId="0" applyNumberFormat="1" applyFont="1" applyFill="1" applyBorder="1" applyAlignment="1" applyProtection="1">
      <alignment vertical="center"/>
    </xf>
    <xf numFmtId="0" fontId="7" fillId="32" borderId="7" xfId="0" applyFont="1" applyFill="1" applyBorder="1" applyAlignment="1" applyProtection="1">
      <alignment vertical="center"/>
    </xf>
    <xf numFmtId="165" fontId="7" fillId="32" borderId="7" xfId="0" applyNumberFormat="1" applyFont="1" applyFill="1" applyBorder="1" applyAlignment="1" applyProtection="1">
      <alignment horizontal="right" vertical="center" wrapText="1"/>
    </xf>
    <xf numFmtId="166" fontId="7" fillId="32" borderId="7" xfId="0" applyNumberFormat="1" applyFont="1" applyFill="1" applyBorder="1" applyAlignment="1" applyProtection="1">
      <alignment horizontal="right" vertical="center" wrapText="1"/>
    </xf>
    <xf numFmtId="0" fontId="7" fillId="32" borderId="7" xfId="0" applyFont="1" applyFill="1" applyBorder="1" applyAlignment="1" applyProtection="1">
      <alignment horizontal="left" vertical="center" wrapText="1"/>
    </xf>
    <xf numFmtId="0" fontId="77" fillId="6" borderId="0" xfId="0" applyFont="1" applyFill="1" applyBorder="1" applyAlignment="1" applyProtection="1">
      <alignment horizontal="center" vertical="center" wrapText="1"/>
    </xf>
    <xf numFmtId="3" fontId="51" fillId="8" borderId="90" xfId="0" applyNumberFormat="1" applyFont="1" applyFill="1" applyBorder="1" applyAlignment="1" applyProtection="1">
      <alignment vertical="center"/>
    </xf>
    <xf numFmtId="0" fontId="51" fillId="6" borderId="0" xfId="0" applyFont="1" applyFill="1" applyBorder="1" applyAlignment="1" applyProtection="1">
      <alignment horizontal="center" vertical="center" wrapText="1"/>
    </xf>
    <xf numFmtId="0" fontId="51" fillId="8" borderId="90" xfId="0" applyFont="1" applyFill="1" applyBorder="1" applyAlignment="1" applyProtection="1">
      <alignment vertical="center"/>
    </xf>
    <xf numFmtId="3" fontId="51" fillId="6" borderId="0" xfId="0" applyNumberFormat="1" applyFont="1" applyFill="1" applyBorder="1" applyAlignment="1" applyProtection="1">
      <alignment horizontal="center" vertical="center" wrapText="1"/>
    </xf>
    <xf numFmtId="165" fontId="51" fillId="8" borderId="90" xfId="0" applyNumberFormat="1" applyFont="1" applyFill="1" applyBorder="1" applyAlignment="1" applyProtection="1">
      <alignment horizontal="right" vertical="center" wrapText="1"/>
    </xf>
    <xf numFmtId="3" fontId="51" fillId="8" borderId="90" xfId="0" applyNumberFormat="1" applyFont="1" applyFill="1" applyBorder="1" applyAlignment="1" applyProtection="1">
      <alignment horizontal="right" vertical="center" wrapText="1"/>
    </xf>
    <xf numFmtId="3" fontId="51" fillId="8" borderId="91" xfId="0" applyNumberFormat="1" applyFont="1" applyFill="1" applyBorder="1" applyAlignment="1" applyProtection="1">
      <alignment horizontal="right" vertical="center" wrapText="1"/>
    </xf>
    <xf numFmtId="166" fontId="51" fillId="8" borderId="93" xfId="0" applyNumberFormat="1" applyFont="1" applyFill="1" applyBorder="1" applyAlignment="1" applyProtection="1">
      <alignment horizontal="right" vertical="center" wrapText="1"/>
    </xf>
    <xf numFmtId="0" fontId="77" fillId="8" borderId="9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left" vertical="center"/>
    </xf>
    <xf numFmtId="0" fontId="22" fillId="6"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vertical="center"/>
    </xf>
    <xf numFmtId="0" fontId="7" fillId="3" borderId="0" xfId="0" applyFont="1" applyFill="1" applyBorder="1" applyAlignment="1" applyProtection="1">
      <alignment vertical="center"/>
    </xf>
    <xf numFmtId="3" fontId="22" fillId="6" borderId="0" xfId="0"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vertical="center"/>
    </xf>
    <xf numFmtId="165" fontId="7" fillId="0" borderId="0"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wrapText="1"/>
    </xf>
    <xf numFmtId="0" fontId="31" fillId="6" borderId="0" xfId="0" applyFont="1" applyFill="1" applyBorder="1" applyAlignment="1" applyProtection="1">
      <alignment horizontal="center" vertical="center" wrapText="1"/>
    </xf>
    <xf numFmtId="0" fontId="45" fillId="4" borderId="1" xfId="0" applyFont="1" applyFill="1" applyBorder="1" applyAlignment="1" applyProtection="1">
      <alignment horizontal="center" wrapText="1"/>
    </xf>
    <xf numFmtId="3" fontId="31" fillId="6" borderId="0" xfId="0" applyNumberFormat="1" applyFont="1" applyFill="1" applyBorder="1" applyAlignment="1" applyProtection="1">
      <alignment horizontal="center" vertical="center" wrapText="1"/>
    </xf>
    <xf numFmtId="0" fontId="16" fillId="4" borderId="1" xfId="0" applyFont="1" applyFill="1" applyBorder="1" applyAlignment="1" applyProtection="1">
      <alignment horizontal="center" wrapText="1"/>
    </xf>
    <xf numFmtId="3" fontId="3" fillId="6" borderId="0" xfId="0" applyNumberFormat="1" applyFont="1" applyFill="1" applyBorder="1" applyAlignment="1" applyProtection="1">
      <alignment horizontal="center" vertical="center" wrapText="1"/>
    </xf>
    <xf numFmtId="165" fontId="16" fillId="4" borderId="1" xfId="0" applyNumberFormat="1" applyFont="1" applyFill="1" applyBorder="1" applyAlignment="1" applyProtection="1">
      <alignment horizontal="center" wrapText="1"/>
    </xf>
    <xf numFmtId="0" fontId="3" fillId="6" borderId="0" xfId="0" applyFont="1" applyFill="1" applyBorder="1" applyAlignment="1" applyProtection="1">
      <alignment horizontal="center" vertical="center" wrapText="1"/>
    </xf>
    <xf numFmtId="0" fontId="76" fillId="4" borderId="47" xfId="0" applyFont="1" applyFill="1" applyBorder="1" applyAlignment="1" applyProtection="1">
      <alignment horizontal="center" wrapText="1"/>
    </xf>
    <xf numFmtId="165" fontId="16" fillId="4" borderId="10" xfId="0" applyNumberFormat="1" applyFont="1" applyFill="1" applyBorder="1" applyAlignment="1" applyProtection="1">
      <alignment horizontal="center" wrapText="1"/>
    </xf>
    <xf numFmtId="0" fontId="7" fillId="23" borderId="4" xfId="0" applyFont="1" applyFill="1" applyBorder="1" applyAlignment="1" applyProtection="1">
      <alignment horizontal="left" vertical="center"/>
    </xf>
    <xf numFmtId="3" fontId="7" fillId="23" borderId="6" xfId="0" applyNumberFormat="1" applyFont="1" applyFill="1" applyBorder="1" applyAlignment="1" applyProtection="1">
      <alignment vertical="center"/>
    </xf>
    <xf numFmtId="0" fontId="7" fillId="23" borderId="6" xfId="0" applyFont="1" applyFill="1" applyBorder="1" applyAlignment="1" applyProtection="1">
      <alignment vertical="center"/>
    </xf>
    <xf numFmtId="165" fontId="7" fillId="23" borderId="6" xfId="0" applyNumberFormat="1" applyFont="1" applyFill="1" applyBorder="1" applyAlignment="1" applyProtection="1">
      <alignment horizontal="right" vertical="center" wrapText="1"/>
    </xf>
    <xf numFmtId="3" fontId="7" fillId="23" borderId="7" xfId="0" applyNumberFormat="1" applyFont="1" applyFill="1" applyBorder="1" applyAlignment="1" applyProtection="1">
      <alignment horizontal="right" vertical="center" wrapText="1"/>
    </xf>
    <xf numFmtId="3" fontId="7" fillId="23" borderId="36" xfId="0" applyNumberFormat="1" applyFont="1" applyFill="1" applyBorder="1" applyAlignment="1" applyProtection="1">
      <alignment horizontal="right" vertical="center" wrapText="1"/>
    </xf>
    <xf numFmtId="166" fontId="7" fillId="23" borderId="20" xfId="0" applyNumberFormat="1" applyFont="1" applyFill="1" applyBorder="1" applyAlignment="1" applyProtection="1">
      <alignment horizontal="right" vertical="center" wrapText="1"/>
    </xf>
    <xf numFmtId="0" fontId="7" fillId="23" borderId="5" xfId="0" applyFont="1" applyFill="1" applyBorder="1" applyAlignment="1" applyProtection="1">
      <alignment horizontal="left" vertical="center" wrapText="1"/>
    </xf>
    <xf numFmtId="0" fontId="7" fillId="23" borderId="2" xfId="0" applyFont="1" applyFill="1" applyBorder="1" applyAlignment="1" applyProtection="1">
      <alignment horizontal="left" vertical="center"/>
    </xf>
    <xf numFmtId="3" fontId="7" fillId="23" borderId="2" xfId="0" applyNumberFormat="1" applyFont="1" applyFill="1" applyBorder="1" applyAlignment="1" applyProtection="1">
      <alignment vertical="center"/>
    </xf>
    <xf numFmtId="0" fontId="7" fillId="23" borderId="2" xfId="0" applyFont="1" applyFill="1" applyBorder="1" applyAlignment="1" applyProtection="1">
      <alignment vertical="center"/>
    </xf>
    <xf numFmtId="165" fontId="7" fillId="23" borderId="2" xfId="0" applyNumberFormat="1" applyFont="1" applyFill="1" applyBorder="1" applyAlignment="1" applyProtection="1">
      <alignment horizontal="right" vertical="center" wrapText="1"/>
    </xf>
    <xf numFmtId="3" fontId="7" fillId="23" borderId="6" xfId="0" applyNumberFormat="1" applyFont="1" applyFill="1" applyBorder="1" applyAlignment="1" applyProtection="1">
      <alignment horizontal="right" vertical="center" wrapText="1"/>
    </xf>
    <xf numFmtId="166" fontId="7" fillId="23" borderId="19" xfId="0" applyNumberFormat="1" applyFont="1" applyFill="1" applyBorder="1" applyAlignment="1" applyProtection="1">
      <alignment horizontal="right" vertical="center" wrapText="1"/>
    </xf>
    <xf numFmtId="0" fontId="7" fillId="23" borderId="2" xfId="0" applyFont="1" applyFill="1" applyBorder="1" applyAlignment="1" applyProtection="1">
      <alignment horizontal="left" vertical="center" wrapText="1"/>
    </xf>
    <xf numFmtId="0" fontId="7" fillId="23" borderId="7" xfId="0" applyFont="1" applyFill="1" applyBorder="1" applyAlignment="1" applyProtection="1">
      <alignment horizontal="left" vertical="center"/>
    </xf>
    <xf numFmtId="3" fontId="7" fillId="23" borderId="7" xfId="0" applyNumberFormat="1" applyFont="1" applyFill="1" applyBorder="1" applyAlignment="1" applyProtection="1">
      <alignment vertical="center"/>
    </xf>
    <xf numFmtId="0" fontId="7" fillId="23" borderId="7" xfId="0" applyFont="1" applyFill="1" applyBorder="1" applyAlignment="1" applyProtection="1">
      <alignment vertical="center"/>
    </xf>
    <xf numFmtId="165" fontId="7" fillId="23" borderId="7" xfId="0" applyNumberFormat="1" applyFont="1" applyFill="1" applyBorder="1" applyAlignment="1" applyProtection="1">
      <alignment horizontal="right" vertical="center" wrapText="1"/>
    </xf>
    <xf numFmtId="166" fontId="7" fillId="23" borderId="21" xfId="0" applyNumberFormat="1" applyFont="1" applyFill="1" applyBorder="1" applyAlignment="1" applyProtection="1">
      <alignment horizontal="right" vertical="center" wrapText="1"/>
    </xf>
    <xf numFmtId="0" fontId="7" fillId="23" borderId="7" xfId="0" applyFont="1" applyFill="1" applyBorder="1" applyAlignment="1" applyProtection="1">
      <alignment horizontal="left" vertical="center" wrapText="1"/>
    </xf>
    <xf numFmtId="0" fontId="7" fillId="23" borderId="6" xfId="0" applyFont="1" applyFill="1" applyBorder="1" applyAlignment="1" applyProtection="1">
      <alignment horizontal="left" vertical="center"/>
    </xf>
    <xf numFmtId="3" fontId="7" fillId="35" borderId="6" xfId="0" applyNumberFormat="1" applyFont="1" applyFill="1" applyBorder="1" applyAlignment="1" applyProtection="1">
      <alignment vertical="center"/>
    </xf>
    <xf numFmtId="0" fontId="7" fillId="35" borderId="6" xfId="0" applyFont="1" applyFill="1" applyBorder="1" applyAlignment="1" applyProtection="1">
      <alignment vertical="center"/>
    </xf>
    <xf numFmtId="166" fontId="7" fillId="23" borderId="6" xfId="0" applyNumberFormat="1" applyFont="1" applyFill="1" applyBorder="1" applyAlignment="1" applyProtection="1">
      <alignment horizontal="right" vertical="center" wrapText="1"/>
    </xf>
    <xf numFmtId="0" fontId="7" fillId="23" borderId="6" xfId="0" applyFont="1" applyFill="1" applyBorder="1" applyAlignment="1" applyProtection="1">
      <alignment horizontal="left" vertical="center" wrapText="1"/>
    </xf>
    <xf numFmtId="3" fontId="7" fillId="19" borderId="1" xfId="0" applyNumberFormat="1" applyFont="1" applyFill="1" applyBorder="1" applyAlignment="1" applyProtection="1">
      <alignment horizontal="center" vertical="center"/>
    </xf>
    <xf numFmtId="0" fontId="7" fillId="19" borderId="10" xfId="0" applyFont="1" applyFill="1" applyBorder="1" applyAlignment="1" applyProtection="1">
      <alignment horizontal="left" vertical="center"/>
    </xf>
    <xf numFmtId="3" fontId="7" fillId="19" borderId="1" xfId="0" applyNumberFormat="1" applyFont="1" applyFill="1" applyBorder="1" applyAlignment="1" applyProtection="1">
      <alignment vertical="center"/>
    </xf>
    <xf numFmtId="165" fontId="7" fillId="19" borderId="1" xfId="0" applyNumberFormat="1" applyFont="1" applyFill="1" applyBorder="1" applyAlignment="1" applyProtection="1">
      <alignment horizontal="right" vertical="center" wrapText="1"/>
    </xf>
    <xf numFmtId="3" fontId="7" fillId="19" borderId="1" xfId="0" applyNumberFormat="1" applyFont="1" applyFill="1" applyBorder="1" applyAlignment="1" applyProtection="1">
      <alignment horizontal="right" vertical="center" wrapText="1"/>
    </xf>
    <xf numFmtId="166" fontId="7" fillId="19" borderId="10" xfId="0" applyNumberFormat="1" applyFont="1" applyFill="1" applyBorder="1" applyAlignment="1" applyProtection="1">
      <alignment horizontal="right" vertical="center" wrapText="1"/>
    </xf>
    <xf numFmtId="0" fontId="7" fillId="19" borderId="1" xfId="0" applyFont="1" applyFill="1" applyBorder="1" applyAlignment="1" applyProtection="1">
      <alignment horizontal="left" vertical="center" wrapText="1"/>
    </xf>
    <xf numFmtId="0" fontId="7" fillId="18" borderId="4" xfId="0" applyFont="1" applyFill="1" applyBorder="1" applyAlignment="1" applyProtection="1">
      <alignment horizontal="left" vertical="center"/>
    </xf>
    <xf numFmtId="3" fontId="7" fillId="18" borderId="4" xfId="0" applyNumberFormat="1" applyFont="1" applyFill="1" applyBorder="1" applyAlignment="1" applyProtection="1">
      <alignment vertical="center"/>
    </xf>
    <xf numFmtId="0" fontId="7" fillId="18" borderId="4" xfId="0" applyFont="1" applyFill="1" applyBorder="1" applyAlignment="1" applyProtection="1">
      <alignment vertical="center"/>
    </xf>
    <xf numFmtId="165" fontId="7" fillId="18" borderId="4" xfId="0" applyNumberFormat="1" applyFont="1" applyFill="1" applyBorder="1" applyAlignment="1" applyProtection="1">
      <alignment horizontal="right" vertical="center" wrapText="1"/>
    </xf>
    <xf numFmtId="3" fontId="7" fillId="18" borderId="2" xfId="0" applyNumberFormat="1" applyFont="1" applyFill="1" applyBorder="1" applyAlignment="1" applyProtection="1">
      <alignment horizontal="right" vertical="center" wrapText="1"/>
    </xf>
    <xf numFmtId="166" fontId="7" fillId="18" borderId="28" xfId="0" applyNumberFormat="1" applyFont="1" applyFill="1" applyBorder="1" applyAlignment="1" applyProtection="1">
      <alignment horizontal="right" vertical="center" wrapText="1"/>
    </xf>
    <xf numFmtId="0" fontId="7" fillId="18" borderId="4" xfId="0" applyFont="1" applyFill="1" applyBorder="1" applyAlignment="1" applyProtection="1">
      <alignment horizontal="left" vertical="center" wrapText="1"/>
    </xf>
    <xf numFmtId="0" fontId="79" fillId="18" borderId="4" xfId="0" applyFont="1" applyFill="1" applyBorder="1" applyAlignment="1" applyProtection="1">
      <alignment horizontal="left" vertical="center"/>
    </xf>
    <xf numFmtId="3" fontId="56" fillId="18" borderId="4" xfId="0" applyNumberFormat="1" applyFont="1" applyFill="1" applyBorder="1" applyAlignment="1" applyProtection="1">
      <alignment horizontal="right" vertical="center" wrapText="1"/>
    </xf>
    <xf numFmtId="3" fontId="79" fillId="18" borderId="4" xfId="0" applyNumberFormat="1" applyFont="1" applyFill="1" applyBorder="1" applyAlignment="1" applyProtection="1">
      <alignment horizontal="right" vertical="center" wrapText="1"/>
    </xf>
    <xf numFmtId="1" fontId="79" fillId="18" borderId="4" xfId="0" applyNumberFormat="1" applyFont="1" applyFill="1" applyBorder="1" applyAlignment="1" applyProtection="1">
      <alignment horizontal="right" vertical="center" wrapText="1"/>
    </xf>
    <xf numFmtId="1" fontId="79" fillId="18" borderId="6" xfId="0" applyNumberFormat="1" applyFont="1" applyFill="1" applyBorder="1" applyAlignment="1" applyProtection="1">
      <alignment horizontal="right" vertical="center" wrapText="1"/>
    </xf>
    <xf numFmtId="1" fontId="79" fillId="18" borderId="7" xfId="0" applyNumberFormat="1" applyFont="1" applyFill="1" applyBorder="1" applyAlignment="1" applyProtection="1">
      <alignment horizontal="right" vertical="center" wrapText="1"/>
    </xf>
    <xf numFmtId="1" fontId="79" fillId="18" borderId="19" xfId="0" applyNumberFormat="1" applyFont="1" applyFill="1" applyBorder="1" applyAlignment="1" applyProtection="1">
      <alignment horizontal="right" vertical="center" wrapText="1"/>
    </xf>
    <xf numFmtId="1" fontId="79" fillId="18" borderId="4" xfId="0" applyNumberFormat="1" applyFont="1" applyFill="1" applyBorder="1" applyAlignment="1" applyProtection="1">
      <alignment horizontal="left" vertical="center" wrapText="1"/>
    </xf>
    <xf numFmtId="0" fontId="7" fillId="18" borderId="6" xfId="0" applyFont="1" applyFill="1" applyBorder="1" applyAlignment="1" applyProtection="1">
      <alignment horizontal="left" vertical="center"/>
    </xf>
    <xf numFmtId="3" fontId="7" fillId="18" borderId="6" xfId="0" applyNumberFormat="1" applyFont="1" applyFill="1" applyBorder="1" applyAlignment="1" applyProtection="1">
      <alignment vertical="center"/>
    </xf>
    <xf numFmtId="0" fontId="7" fillId="18" borderId="6" xfId="0" applyFont="1" applyFill="1" applyBorder="1" applyAlignment="1" applyProtection="1">
      <alignment vertical="center"/>
    </xf>
    <xf numFmtId="165" fontId="7" fillId="18" borderId="6" xfId="0" applyNumberFormat="1" applyFont="1" applyFill="1" applyBorder="1" applyAlignment="1" applyProtection="1">
      <alignment horizontal="right" vertical="center" wrapText="1"/>
    </xf>
    <xf numFmtId="3" fontId="7" fillId="18" borderId="7" xfId="0" applyNumberFormat="1" applyFont="1" applyFill="1" applyBorder="1" applyAlignment="1" applyProtection="1">
      <alignment horizontal="right" vertical="center" wrapText="1"/>
    </xf>
    <xf numFmtId="166" fontId="7" fillId="18" borderId="19" xfId="0" applyNumberFormat="1" applyFont="1" applyFill="1" applyBorder="1" applyAlignment="1" applyProtection="1">
      <alignment horizontal="right" vertical="center" wrapText="1"/>
    </xf>
    <xf numFmtId="0" fontId="7" fillId="18" borderId="6" xfId="0" applyFont="1" applyFill="1" applyBorder="1" applyAlignment="1" applyProtection="1">
      <alignment horizontal="left" vertical="center" wrapText="1"/>
    </xf>
    <xf numFmtId="0" fontId="79" fillId="18" borderId="2" xfId="0" applyFont="1" applyFill="1" applyBorder="1" applyAlignment="1" applyProtection="1">
      <alignment horizontal="left" vertical="center"/>
    </xf>
    <xf numFmtId="3" fontId="56" fillId="18" borderId="2" xfId="0" applyNumberFormat="1" applyFont="1" applyFill="1" applyBorder="1" applyAlignment="1" applyProtection="1">
      <alignment horizontal="right" vertical="center" wrapText="1"/>
    </xf>
    <xf numFmtId="3" fontId="79" fillId="18" borderId="2" xfId="0" applyNumberFormat="1" applyFont="1" applyFill="1" applyBorder="1" applyAlignment="1" applyProtection="1">
      <alignment horizontal="right" vertical="center" wrapText="1"/>
    </xf>
    <xf numFmtId="1" fontId="79" fillId="18" borderId="2" xfId="0" applyNumberFormat="1" applyFont="1" applyFill="1" applyBorder="1" applyAlignment="1" applyProtection="1">
      <alignment horizontal="right" vertical="center" wrapText="1"/>
    </xf>
    <xf numFmtId="1" fontId="79" fillId="18" borderId="21" xfId="0" applyNumberFormat="1" applyFont="1" applyFill="1" applyBorder="1" applyAlignment="1" applyProtection="1">
      <alignment horizontal="right" vertical="center" wrapText="1"/>
    </xf>
    <xf numFmtId="1" fontId="79" fillId="18" borderId="2" xfId="0" applyNumberFormat="1" applyFont="1" applyFill="1" applyBorder="1" applyAlignment="1" applyProtection="1">
      <alignment horizontal="left" vertical="center" wrapText="1"/>
    </xf>
    <xf numFmtId="0" fontId="7"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left" vertical="center"/>
    </xf>
    <xf numFmtId="3" fontId="7" fillId="20" borderId="1" xfId="0" applyNumberFormat="1" applyFont="1" applyFill="1" applyBorder="1" applyAlignment="1" applyProtection="1">
      <alignment vertical="center"/>
    </xf>
    <xf numFmtId="0" fontId="7" fillId="20" borderId="1" xfId="0" applyFont="1" applyFill="1" applyBorder="1" applyAlignment="1" applyProtection="1">
      <alignment vertical="center"/>
    </xf>
    <xf numFmtId="165" fontId="7" fillId="20" borderId="1" xfId="0" applyNumberFormat="1" applyFont="1" applyFill="1" applyBorder="1" applyAlignment="1" applyProtection="1">
      <alignment horizontal="right" vertical="center" wrapText="1"/>
    </xf>
    <xf numFmtId="3" fontId="7" fillId="20" borderId="1" xfId="0" applyNumberFormat="1" applyFont="1" applyFill="1" applyBorder="1" applyAlignment="1" applyProtection="1">
      <alignment horizontal="right" vertical="center" wrapText="1"/>
    </xf>
    <xf numFmtId="166" fontId="7" fillId="20" borderId="10" xfId="0" applyNumberFormat="1" applyFont="1" applyFill="1" applyBorder="1" applyAlignment="1" applyProtection="1">
      <alignment horizontal="right" vertical="center" wrapText="1"/>
    </xf>
    <xf numFmtId="0" fontId="7" fillId="20" borderId="1" xfId="0" applyFont="1" applyFill="1" applyBorder="1" applyAlignment="1" applyProtection="1">
      <alignment horizontal="left" vertical="center" wrapText="1"/>
    </xf>
    <xf numFmtId="0" fontId="7" fillId="21" borderId="1" xfId="0" applyFont="1" applyFill="1" applyBorder="1" applyAlignment="1" applyProtection="1">
      <alignment horizontal="center" vertical="center" wrapText="1"/>
    </xf>
    <xf numFmtId="0" fontId="7" fillId="21" borderId="1" xfId="0" applyFont="1" applyFill="1" applyBorder="1" applyAlignment="1" applyProtection="1">
      <alignment horizontal="left" vertical="center"/>
    </xf>
    <xf numFmtId="3" fontId="7" fillId="21" borderId="1" xfId="0" applyNumberFormat="1" applyFont="1" applyFill="1" applyBorder="1" applyAlignment="1" applyProtection="1">
      <alignment vertical="center"/>
    </xf>
    <xf numFmtId="0" fontId="7" fillId="21" borderId="1" xfId="0" applyFont="1" applyFill="1" applyBorder="1" applyAlignment="1" applyProtection="1">
      <alignment vertical="center"/>
    </xf>
    <xf numFmtId="165" fontId="7" fillId="21" borderId="1" xfId="0" applyNumberFormat="1" applyFont="1" applyFill="1" applyBorder="1" applyAlignment="1" applyProtection="1">
      <alignment horizontal="right" vertical="center" wrapText="1"/>
    </xf>
    <xf numFmtId="3" fontId="7" fillId="21" borderId="1" xfId="0" applyNumberFormat="1" applyFont="1" applyFill="1" applyBorder="1" applyAlignment="1" applyProtection="1">
      <alignment horizontal="right" vertical="center" wrapText="1"/>
    </xf>
    <xf numFmtId="166" fontId="7" fillId="21" borderId="1" xfId="0" applyNumberFormat="1" applyFont="1" applyFill="1" applyBorder="1" applyAlignment="1" applyProtection="1">
      <alignment horizontal="right" vertical="center" wrapText="1"/>
    </xf>
    <xf numFmtId="0" fontId="7" fillId="21" borderId="1" xfId="0" applyFont="1" applyFill="1" applyBorder="1" applyAlignment="1" applyProtection="1">
      <alignment horizontal="left" vertical="center" wrapText="1"/>
    </xf>
    <xf numFmtId="0" fontId="7"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left" vertical="center"/>
    </xf>
    <xf numFmtId="3" fontId="7" fillId="22" borderId="1" xfId="0" applyNumberFormat="1" applyFont="1" applyFill="1" applyBorder="1" applyAlignment="1" applyProtection="1">
      <alignment vertical="center"/>
    </xf>
    <xf numFmtId="0" fontId="7" fillId="22" borderId="1" xfId="0" applyFont="1" applyFill="1" applyBorder="1" applyAlignment="1" applyProtection="1">
      <alignment vertical="center"/>
    </xf>
    <xf numFmtId="165" fontId="7" fillId="22" borderId="1" xfId="0" applyNumberFormat="1" applyFont="1" applyFill="1" applyBorder="1" applyAlignment="1" applyProtection="1">
      <alignment horizontal="right" vertical="center" wrapText="1"/>
    </xf>
    <xf numFmtId="3" fontId="7" fillId="22" borderId="1" xfId="0" applyNumberFormat="1" applyFont="1" applyFill="1" applyBorder="1" applyAlignment="1" applyProtection="1">
      <alignment horizontal="right" vertical="center" wrapText="1"/>
    </xf>
    <xf numFmtId="166" fontId="7" fillId="22" borderId="10" xfId="0" applyNumberFormat="1" applyFont="1" applyFill="1" applyBorder="1" applyAlignment="1" applyProtection="1">
      <alignment horizontal="right" vertical="center" wrapText="1"/>
    </xf>
    <xf numFmtId="0" fontId="7" fillId="22" borderId="1" xfId="0" applyFont="1" applyFill="1" applyBorder="1" applyAlignment="1" applyProtection="1">
      <alignment horizontal="left" vertical="center" wrapText="1"/>
    </xf>
    <xf numFmtId="166" fontId="51" fillId="8" borderId="90" xfId="0" applyNumberFormat="1" applyFont="1" applyFill="1" applyBorder="1" applyAlignment="1" applyProtection="1">
      <alignment horizontal="right" vertical="center" wrapText="1"/>
    </xf>
    <xf numFmtId="0" fontId="45" fillId="4" borderId="36" xfId="0" applyFont="1" applyFill="1" applyBorder="1" applyAlignment="1" applyProtection="1">
      <alignment horizontal="center" wrapText="1"/>
    </xf>
    <xf numFmtId="0" fontId="16" fillId="4" borderId="36" xfId="0" applyFont="1" applyFill="1" applyBorder="1" applyAlignment="1" applyProtection="1">
      <alignment horizontal="center" wrapText="1"/>
    </xf>
    <xf numFmtId="165" fontId="16" fillId="4" borderId="36" xfId="0" applyNumberFormat="1" applyFont="1" applyFill="1" applyBorder="1" applyAlignment="1" applyProtection="1">
      <alignment horizontal="center" wrapText="1"/>
    </xf>
    <xf numFmtId="165" fontId="16" fillId="4" borderId="88" xfId="0" applyNumberFormat="1" applyFont="1" applyFill="1" applyBorder="1" applyAlignment="1" applyProtection="1">
      <alignment horizontal="center" wrapText="1"/>
    </xf>
    <xf numFmtId="0" fontId="7" fillId="25" borderId="5" xfId="0" applyFont="1" applyFill="1" applyBorder="1" applyAlignment="1" applyProtection="1">
      <alignment horizontal="left" vertical="center"/>
    </xf>
    <xf numFmtId="3" fontId="7" fillId="25" borderId="5" xfId="0" applyNumberFormat="1" applyFont="1" applyFill="1" applyBorder="1" applyAlignment="1" applyProtection="1">
      <alignment vertical="center"/>
    </xf>
    <xf numFmtId="0" fontId="7" fillId="25" borderId="5" xfId="0" applyFont="1" applyFill="1" applyBorder="1" applyAlignment="1" applyProtection="1">
      <alignment vertical="center"/>
    </xf>
    <xf numFmtId="165" fontId="7" fillId="25" borderId="5" xfId="0" applyNumberFormat="1" applyFont="1" applyFill="1" applyBorder="1" applyAlignment="1" applyProtection="1">
      <alignment horizontal="right" vertical="center" wrapText="1"/>
    </xf>
    <xf numFmtId="3" fontId="7" fillId="25" borderId="36" xfId="0" applyNumberFormat="1" applyFont="1" applyFill="1" applyBorder="1" applyAlignment="1" applyProtection="1">
      <alignment horizontal="right" vertical="center" wrapText="1"/>
    </xf>
    <xf numFmtId="166" fontId="7" fillId="25" borderId="20" xfId="0" applyNumberFormat="1" applyFont="1" applyFill="1" applyBorder="1" applyAlignment="1" applyProtection="1">
      <alignment horizontal="right" vertical="center" wrapText="1"/>
    </xf>
    <xf numFmtId="0" fontId="7" fillId="25" borderId="5" xfId="0" applyFont="1" applyFill="1" applyBorder="1" applyAlignment="1" applyProtection="1">
      <alignment horizontal="left" vertical="center" wrapText="1"/>
    </xf>
    <xf numFmtId="0" fontId="7" fillId="25" borderId="37" xfId="0" applyFont="1" applyFill="1" applyBorder="1" applyAlignment="1" applyProtection="1">
      <alignment horizontal="left" vertical="center"/>
    </xf>
    <xf numFmtId="3" fontId="7" fillId="25" borderId="37" xfId="0" applyNumberFormat="1" applyFont="1" applyFill="1" applyBorder="1" applyAlignment="1" applyProtection="1">
      <alignment vertical="center"/>
    </xf>
    <xf numFmtId="0" fontId="7" fillId="25" borderId="37" xfId="0" applyFont="1" applyFill="1" applyBorder="1" applyAlignment="1" applyProtection="1">
      <alignment vertical="center"/>
    </xf>
    <xf numFmtId="165" fontId="7" fillId="25" borderId="37" xfId="0" applyNumberFormat="1" applyFont="1" applyFill="1" applyBorder="1" applyAlignment="1" applyProtection="1">
      <alignment horizontal="right" vertical="center" wrapText="1"/>
    </xf>
    <xf numFmtId="3" fontId="7" fillId="25" borderId="37" xfId="0" applyNumberFormat="1" applyFont="1" applyFill="1" applyBorder="1" applyAlignment="1" applyProtection="1">
      <alignment horizontal="right" vertical="center" wrapText="1"/>
    </xf>
    <xf numFmtId="166" fontId="7" fillId="25" borderId="37" xfId="0" applyNumberFormat="1" applyFont="1" applyFill="1" applyBorder="1" applyAlignment="1" applyProtection="1">
      <alignment horizontal="right" vertical="center" wrapText="1"/>
    </xf>
    <xf numFmtId="0" fontId="7" fillId="25" borderId="37" xfId="0" applyFont="1" applyFill="1" applyBorder="1" applyAlignment="1" applyProtection="1">
      <alignment horizontal="left" vertical="center" wrapText="1"/>
    </xf>
    <xf numFmtId="0" fontId="7" fillId="29" borderId="4" xfId="0" applyFont="1" applyFill="1" applyBorder="1" applyAlignment="1" applyProtection="1">
      <alignment horizontal="left" vertical="center"/>
    </xf>
    <xf numFmtId="3" fontId="7" fillId="29" borderId="4" xfId="0" applyNumberFormat="1" applyFont="1" applyFill="1" applyBorder="1" applyAlignment="1" applyProtection="1">
      <alignment vertical="center"/>
    </xf>
    <xf numFmtId="0" fontId="7" fillId="29" borderId="4" xfId="0" applyFont="1" applyFill="1" applyBorder="1" applyAlignment="1" applyProtection="1">
      <alignment vertical="center"/>
    </xf>
    <xf numFmtId="165" fontId="7" fillId="29" borderId="4" xfId="0" applyNumberFormat="1" applyFont="1" applyFill="1" applyBorder="1" applyAlignment="1" applyProtection="1">
      <alignment horizontal="right" vertical="center" wrapText="1"/>
    </xf>
    <xf numFmtId="3" fontId="7" fillId="29" borderId="2" xfId="0" applyNumberFormat="1" applyFont="1" applyFill="1" applyBorder="1" applyAlignment="1" applyProtection="1">
      <alignment horizontal="right" vertical="center" wrapText="1"/>
    </xf>
    <xf numFmtId="166" fontId="7" fillId="29" borderId="2" xfId="0" applyNumberFormat="1" applyFont="1" applyFill="1" applyBorder="1" applyAlignment="1" applyProtection="1">
      <alignment horizontal="right" vertical="center" wrapText="1"/>
    </xf>
    <xf numFmtId="0" fontId="7" fillId="29" borderId="4" xfId="0" applyFont="1" applyFill="1" applyBorder="1" applyAlignment="1" applyProtection="1">
      <alignment horizontal="left" vertical="center" wrapText="1"/>
    </xf>
    <xf numFmtId="0" fontId="7" fillId="29" borderId="6" xfId="0" applyFont="1" applyFill="1" applyBorder="1" applyAlignment="1" applyProtection="1">
      <alignment horizontal="left" vertical="center"/>
    </xf>
    <xf numFmtId="165" fontId="7" fillId="29" borderId="6" xfId="0" applyNumberFormat="1" applyFont="1" applyFill="1" applyBorder="1" applyAlignment="1" applyProtection="1">
      <alignment horizontal="right" vertical="center" wrapText="1"/>
    </xf>
    <xf numFmtId="3" fontId="7" fillId="29" borderId="7" xfId="0" applyNumberFormat="1" applyFont="1" applyFill="1" applyBorder="1" applyAlignment="1" applyProtection="1">
      <alignment horizontal="right" vertical="center" wrapText="1"/>
    </xf>
    <xf numFmtId="166" fontId="7" fillId="29" borderId="7" xfId="0" applyNumberFormat="1" applyFont="1" applyFill="1" applyBorder="1" applyAlignment="1" applyProtection="1">
      <alignment horizontal="right" vertical="center" wrapText="1"/>
    </xf>
    <xf numFmtId="3" fontId="56" fillId="29" borderId="6" xfId="0" applyNumberFormat="1" applyFont="1" applyFill="1" applyBorder="1" applyAlignment="1" applyProtection="1">
      <alignment horizontal="right" vertical="center" wrapText="1"/>
    </xf>
    <xf numFmtId="3" fontId="79" fillId="29" borderId="6" xfId="0" applyNumberFormat="1" applyFont="1" applyFill="1" applyBorder="1" applyAlignment="1" applyProtection="1">
      <alignment horizontal="right" vertical="center" wrapText="1"/>
    </xf>
    <xf numFmtId="1" fontId="79" fillId="29" borderId="6" xfId="0" applyNumberFormat="1" applyFont="1" applyFill="1" applyBorder="1" applyAlignment="1" applyProtection="1">
      <alignment horizontal="right" vertical="center" wrapText="1"/>
    </xf>
    <xf numFmtId="1" fontId="79" fillId="29" borderId="6" xfId="0" applyNumberFormat="1" applyFont="1" applyFill="1" applyBorder="1" applyAlignment="1" applyProtection="1">
      <alignment horizontal="left" vertical="center" wrapText="1"/>
    </xf>
    <xf numFmtId="3" fontId="7" fillId="29" borderId="6" xfId="0" applyNumberFormat="1" applyFont="1" applyFill="1" applyBorder="1" applyAlignment="1" applyProtection="1">
      <alignment vertical="center"/>
    </xf>
    <xf numFmtId="0" fontId="7" fillId="29" borderId="6" xfId="0" applyFont="1" applyFill="1" applyBorder="1" applyAlignment="1" applyProtection="1">
      <alignment vertical="center"/>
    </xf>
    <xf numFmtId="0" fontId="7" fillId="29" borderId="6" xfId="0" applyFont="1" applyFill="1" applyBorder="1" applyAlignment="1" applyProtection="1">
      <alignment horizontal="left" vertical="center" wrapText="1"/>
    </xf>
    <xf numFmtId="166" fontId="7" fillId="29" borderId="19" xfId="0" applyNumberFormat="1" applyFont="1" applyFill="1" applyBorder="1" applyAlignment="1" applyProtection="1">
      <alignment horizontal="right" vertical="center" wrapText="1"/>
    </xf>
    <xf numFmtId="0" fontId="73" fillId="29" borderId="6" xfId="0" applyFont="1" applyFill="1" applyBorder="1" applyAlignment="1" applyProtection="1">
      <alignment horizontal="left" vertical="center" wrapText="1"/>
    </xf>
    <xf numFmtId="3" fontId="7" fillId="29" borderId="4" xfId="0" applyNumberFormat="1" applyFont="1" applyFill="1" applyBorder="1" applyAlignment="1" applyProtection="1">
      <alignment horizontal="right" vertical="center"/>
    </xf>
    <xf numFmtId="165" fontId="7" fillId="29" borderId="7" xfId="0" applyNumberFormat="1" applyFont="1" applyFill="1" applyBorder="1" applyAlignment="1" applyProtection="1">
      <alignment horizontal="right" vertical="center" wrapText="1"/>
    </xf>
    <xf numFmtId="0" fontId="7" fillId="29" borderId="2" xfId="0" applyFont="1" applyFill="1" applyBorder="1" applyAlignment="1" applyProtection="1">
      <alignment horizontal="left" vertical="center"/>
    </xf>
    <xf numFmtId="3" fontId="7" fillId="29" borderId="7" xfId="0" applyNumberFormat="1" applyFont="1" applyFill="1" applyBorder="1" applyAlignment="1" applyProtection="1">
      <alignment vertical="center"/>
    </xf>
    <xf numFmtId="0" fontId="7" fillId="29" borderId="7" xfId="0" applyFont="1" applyFill="1" applyBorder="1" applyAlignment="1" applyProtection="1">
      <alignment vertical="center"/>
    </xf>
    <xf numFmtId="166" fontId="7" fillId="29" borderId="21" xfId="0" applyNumberFormat="1" applyFont="1" applyFill="1" applyBorder="1" applyAlignment="1" applyProtection="1">
      <alignment horizontal="right" vertical="center" wrapText="1"/>
    </xf>
    <xf numFmtId="0" fontId="7" fillId="29" borderId="7" xfId="0" applyFont="1" applyFill="1" applyBorder="1" applyAlignment="1" applyProtection="1">
      <alignment horizontal="left" vertical="center" wrapText="1"/>
    </xf>
    <xf numFmtId="0" fontId="7" fillId="28" borderId="5" xfId="0" applyFont="1" applyFill="1" applyBorder="1" applyAlignment="1" applyProtection="1">
      <alignment horizontal="left" vertical="center"/>
    </xf>
    <xf numFmtId="3" fontId="7" fillId="28" borderId="5" xfId="0" applyNumberFormat="1" applyFont="1" applyFill="1" applyBorder="1" applyAlignment="1" applyProtection="1">
      <alignment horizontal="right" vertical="center"/>
    </xf>
    <xf numFmtId="0" fontId="7" fillId="28" borderId="5" xfId="0" applyFont="1" applyFill="1" applyBorder="1" applyAlignment="1" applyProtection="1">
      <alignment vertical="center"/>
    </xf>
    <xf numFmtId="3" fontId="7" fillId="28" borderId="5" xfId="0" applyNumberFormat="1" applyFont="1" applyFill="1" applyBorder="1" applyAlignment="1" applyProtection="1">
      <alignment vertical="center"/>
    </xf>
    <xf numFmtId="165" fontId="7" fillId="28" borderId="5" xfId="0" applyNumberFormat="1" applyFont="1" applyFill="1" applyBorder="1" applyAlignment="1" applyProtection="1">
      <alignment horizontal="right" vertical="center" wrapText="1"/>
    </xf>
    <xf numFmtId="3" fontId="7" fillId="28" borderId="36" xfId="0" applyNumberFormat="1" applyFont="1" applyFill="1" applyBorder="1" applyAlignment="1" applyProtection="1">
      <alignment horizontal="right" vertical="center" wrapText="1"/>
    </xf>
    <xf numFmtId="166" fontId="7" fillId="28" borderId="20" xfId="0" applyNumberFormat="1" applyFont="1" applyFill="1" applyBorder="1" applyAlignment="1" applyProtection="1">
      <alignment horizontal="right" vertical="center" wrapText="1"/>
    </xf>
    <xf numFmtId="0" fontId="7" fillId="28" borderId="5" xfId="0" applyFont="1" applyFill="1" applyBorder="1" applyAlignment="1" applyProtection="1">
      <alignment horizontal="left" vertical="center" wrapText="1"/>
    </xf>
    <xf numFmtId="0" fontId="7" fillId="28" borderId="4" xfId="0" applyFont="1" applyFill="1" applyBorder="1" applyAlignment="1" applyProtection="1">
      <alignment horizontal="left" vertical="center"/>
    </xf>
    <xf numFmtId="0" fontId="7" fillId="6" borderId="0" xfId="0" applyFont="1" applyFill="1" applyBorder="1" applyAlignment="1" applyProtection="1">
      <alignment vertical="center" wrapText="1"/>
    </xf>
    <xf numFmtId="3" fontId="7" fillId="28" borderId="6" xfId="0" applyNumberFormat="1" applyFont="1" applyFill="1" applyBorder="1" applyAlignment="1" applyProtection="1">
      <alignment vertical="center"/>
    </xf>
    <xf numFmtId="0" fontId="7" fillId="28" borderId="6" xfId="0" applyFont="1" applyFill="1" applyBorder="1" applyAlignment="1" applyProtection="1">
      <alignment vertical="center"/>
    </xf>
    <xf numFmtId="3" fontId="7" fillId="6" borderId="0" xfId="0" applyNumberFormat="1" applyFont="1" applyFill="1" applyBorder="1" applyAlignment="1" applyProtection="1">
      <alignment vertical="center" wrapText="1"/>
    </xf>
    <xf numFmtId="165" fontId="7" fillId="28" borderId="6" xfId="0" applyNumberFormat="1" applyFont="1" applyFill="1" applyBorder="1" applyAlignment="1" applyProtection="1">
      <alignment vertical="center" wrapText="1"/>
    </xf>
    <xf numFmtId="3" fontId="7" fillId="28" borderId="7" xfId="0" applyNumberFormat="1" applyFont="1" applyFill="1" applyBorder="1" applyAlignment="1" applyProtection="1">
      <alignment vertical="center" wrapText="1"/>
    </xf>
    <xf numFmtId="0" fontId="7" fillId="6" borderId="0" xfId="0" applyFont="1" applyFill="1" applyBorder="1" applyAlignment="1" applyProtection="1">
      <alignment horizontal="left" vertical="center" wrapText="1" indent="1"/>
    </xf>
    <xf numFmtId="3" fontId="7" fillId="28" borderId="7" xfId="0" applyNumberFormat="1" applyFont="1" applyFill="1" applyBorder="1" applyAlignment="1" applyProtection="1">
      <alignment horizontal="right" vertical="center" wrapText="1"/>
    </xf>
    <xf numFmtId="166" fontId="7" fillId="28" borderId="19" xfId="0" applyNumberFormat="1" applyFont="1" applyFill="1" applyBorder="1" applyAlignment="1" applyProtection="1">
      <alignment horizontal="right" vertical="center" wrapText="1"/>
    </xf>
    <xf numFmtId="0" fontId="73" fillId="28" borderId="6" xfId="0" applyFont="1" applyFill="1" applyBorder="1" applyAlignment="1" applyProtection="1">
      <alignment horizontal="left" vertical="center" wrapText="1"/>
    </xf>
    <xf numFmtId="0" fontId="7" fillId="28" borderId="6" xfId="0" applyFont="1" applyFill="1" applyBorder="1" applyAlignment="1" applyProtection="1">
      <alignment horizontal="left" vertical="center"/>
    </xf>
    <xf numFmtId="165" fontId="7" fillId="28" borderId="6" xfId="0" applyNumberFormat="1" applyFont="1" applyFill="1" applyBorder="1" applyAlignment="1" applyProtection="1">
      <alignment horizontal="right" vertical="center" wrapText="1"/>
    </xf>
    <xf numFmtId="0" fontId="7" fillId="28" borderId="6" xfId="0" applyFont="1" applyFill="1" applyBorder="1" applyAlignment="1" applyProtection="1">
      <alignment horizontal="left" vertical="center" wrapText="1"/>
    </xf>
    <xf numFmtId="0" fontId="7" fillId="28" borderId="57" xfId="0" applyFont="1" applyFill="1" applyBorder="1" applyAlignment="1" applyProtection="1">
      <alignment horizontal="left" vertical="center"/>
    </xf>
    <xf numFmtId="3" fontId="7" fillId="28" borderId="37" xfId="0" applyNumberFormat="1" applyFont="1" applyFill="1" applyBorder="1" applyAlignment="1" applyProtection="1">
      <alignment vertical="center"/>
    </xf>
    <xf numFmtId="0" fontId="7" fillId="28" borderId="37" xfId="0" applyFont="1" applyFill="1" applyBorder="1" applyAlignment="1" applyProtection="1">
      <alignment vertical="center"/>
    </xf>
    <xf numFmtId="165" fontId="7" fillId="28" borderId="37" xfId="0" applyNumberFormat="1" applyFont="1" applyFill="1" applyBorder="1" applyAlignment="1" applyProtection="1">
      <alignment horizontal="right" vertical="center" wrapText="1"/>
    </xf>
    <xf numFmtId="3" fontId="7" fillId="28" borderId="37" xfId="0" applyNumberFormat="1" applyFont="1" applyFill="1" applyBorder="1" applyAlignment="1" applyProtection="1">
      <alignment horizontal="right" vertical="center" wrapText="1"/>
    </xf>
    <xf numFmtId="166" fontId="7" fillId="28" borderId="44" xfId="0" applyNumberFormat="1" applyFont="1" applyFill="1" applyBorder="1" applyAlignment="1" applyProtection="1">
      <alignment horizontal="right" vertical="center" wrapText="1"/>
    </xf>
    <xf numFmtId="0" fontId="7" fillId="28" borderId="37" xfId="0" applyFont="1" applyFill="1" applyBorder="1" applyAlignment="1" applyProtection="1">
      <alignment horizontal="left" vertical="center" wrapText="1"/>
    </xf>
    <xf numFmtId="0" fontId="7" fillId="27" borderId="5" xfId="0" applyFont="1" applyFill="1" applyBorder="1" applyAlignment="1" applyProtection="1">
      <alignment horizontal="left" vertical="center"/>
    </xf>
    <xf numFmtId="3" fontId="7" fillId="27" borderId="5" xfId="0" applyNumberFormat="1" applyFont="1" applyFill="1" applyBorder="1" applyAlignment="1" applyProtection="1">
      <alignment vertical="center"/>
    </xf>
    <xf numFmtId="0" fontId="7" fillId="27" borderId="5" xfId="0" applyFont="1" applyFill="1" applyBorder="1" applyAlignment="1" applyProtection="1">
      <alignment vertical="center"/>
    </xf>
    <xf numFmtId="165" fontId="7" fillId="27" borderId="5" xfId="0" applyNumberFormat="1" applyFont="1" applyFill="1" applyBorder="1" applyAlignment="1" applyProtection="1">
      <alignment horizontal="right" vertical="center" wrapText="1"/>
    </xf>
    <xf numFmtId="3" fontId="7" fillId="27" borderId="36" xfId="0" applyNumberFormat="1" applyFont="1" applyFill="1" applyBorder="1" applyAlignment="1" applyProtection="1">
      <alignment horizontal="right" vertical="center" wrapText="1"/>
    </xf>
    <xf numFmtId="166" fontId="7" fillId="27" borderId="20" xfId="0" applyNumberFormat="1" applyFont="1" applyFill="1" applyBorder="1" applyAlignment="1" applyProtection="1">
      <alignment horizontal="right" vertical="center" wrapText="1"/>
    </xf>
    <xf numFmtId="0" fontId="7" fillId="27" borderId="5" xfId="0" applyFont="1" applyFill="1" applyBorder="1" applyAlignment="1" applyProtection="1">
      <alignment horizontal="left" vertical="center" wrapText="1"/>
    </xf>
    <xf numFmtId="0" fontId="7" fillId="27" borderId="37" xfId="0" applyFont="1" applyFill="1" applyBorder="1" applyAlignment="1" applyProtection="1">
      <alignment horizontal="left" vertical="center"/>
    </xf>
    <xf numFmtId="3" fontId="7" fillId="27" borderId="37" xfId="0" applyNumberFormat="1" applyFont="1" applyFill="1" applyBorder="1" applyAlignment="1" applyProtection="1">
      <alignment vertical="center"/>
    </xf>
    <xf numFmtId="0" fontId="7" fillId="27" borderId="37" xfId="0" applyFont="1" applyFill="1" applyBorder="1" applyAlignment="1" applyProtection="1">
      <alignment vertical="center"/>
    </xf>
    <xf numFmtId="165" fontId="7" fillId="27" borderId="37" xfId="0" applyNumberFormat="1" applyFont="1" applyFill="1" applyBorder="1" applyAlignment="1" applyProtection="1">
      <alignment horizontal="right" vertical="center" wrapText="1"/>
    </xf>
    <xf numFmtId="3" fontId="7" fillId="27" borderId="37" xfId="0" applyNumberFormat="1" applyFont="1" applyFill="1" applyBorder="1" applyAlignment="1" applyProtection="1">
      <alignment horizontal="right" vertical="center" wrapText="1"/>
    </xf>
    <xf numFmtId="166" fontId="7" fillId="27" borderId="44" xfId="0" applyNumberFormat="1" applyFont="1" applyFill="1" applyBorder="1" applyAlignment="1" applyProtection="1">
      <alignment horizontal="right" vertical="center" wrapText="1"/>
    </xf>
    <xf numFmtId="0" fontId="7" fillId="27" borderId="37" xfId="0" applyFont="1" applyFill="1" applyBorder="1" applyAlignment="1" applyProtection="1">
      <alignment horizontal="left" vertical="center" wrapText="1"/>
    </xf>
    <xf numFmtId="0" fontId="7" fillId="26" borderId="2" xfId="0" applyFont="1" applyFill="1" applyBorder="1" applyAlignment="1" applyProtection="1">
      <alignment horizontal="left" vertical="center"/>
    </xf>
    <xf numFmtId="3" fontId="7" fillId="26" borderId="4" xfId="0" applyNumberFormat="1" applyFont="1" applyFill="1" applyBorder="1" applyAlignment="1" applyProtection="1">
      <alignment vertical="center"/>
    </xf>
    <xf numFmtId="0" fontId="7" fillId="26" borderId="4" xfId="0" applyFont="1" applyFill="1" applyBorder="1" applyAlignment="1" applyProtection="1">
      <alignment vertical="center"/>
    </xf>
    <xf numFmtId="165" fontId="7" fillId="26" borderId="4" xfId="0" applyNumberFormat="1" applyFont="1" applyFill="1" applyBorder="1" applyAlignment="1" applyProtection="1">
      <alignment horizontal="right" vertical="center" wrapText="1"/>
    </xf>
    <xf numFmtId="3" fontId="7" fillId="26" borderId="2" xfId="0" applyNumberFormat="1" applyFont="1" applyFill="1" applyBorder="1" applyAlignment="1" applyProtection="1">
      <alignment horizontal="right" vertical="center" wrapText="1"/>
    </xf>
    <xf numFmtId="166" fontId="7" fillId="26" borderId="28" xfId="0" applyNumberFormat="1" applyFont="1" applyFill="1" applyBorder="1" applyAlignment="1" applyProtection="1">
      <alignment horizontal="right" vertical="center" wrapText="1"/>
    </xf>
    <xf numFmtId="0" fontId="7" fillId="26" borderId="4" xfId="0" applyFont="1" applyFill="1" applyBorder="1" applyAlignment="1" applyProtection="1">
      <alignment horizontal="left" vertical="center" wrapText="1"/>
    </xf>
    <xf numFmtId="0" fontId="7" fillId="26" borderId="7" xfId="0" applyFont="1" applyFill="1" applyBorder="1" applyAlignment="1" applyProtection="1">
      <alignment horizontal="left" vertical="center"/>
    </xf>
    <xf numFmtId="3" fontId="7" fillId="26" borderId="6" xfId="0" applyNumberFormat="1" applyFont="1" applyFill="1" applyBorder="1" applyAlignment="1" applyProtection="1">
      <alignment vertical="center"/>
    </xf>
    <xf numFmtId="0" fontId="7" fillId="26" borderId="6" xfId="0" applyFont="1" applyFill="1" applyBorder="1" applyAlignment="1" applyProtection="1">
      <alignment vertical="center"/>
    </xf>
    <xf numFmtId="165" fontId="7" fillId="26" borderId="6" xfId="0" applyNumberFormat="1" applyFont="1" applyFill="1" applyBorder="1" applyAlignment="1" applyProtection="1">
      <alignment horizontal="right" vertical="center" wrapText="1"/>
    </xf>
    <xf numFmtId="3" fontId="7" fillId="26" borderId="7" xfId="0" applyNumberFormat="1" applyFont="1" applyFill="1" applyBorder="1" applyAlignment="1" applyProtection="1">
      <alignment horizontal="right" vertical="center" wrapText="1"/>
    </xf>
    <xf numFmtId="166" fontId="7" fillId="26" borderId="19" xfId="0" applyNumberFormat="1" applyFont="1" applyFill="1" applyBorder="1" applyAlignment="1" applyProtection="1">
      <alignment horizontal="right" vertical="center" wrapText="1"/>
    </xf>
    <xf numFmtId="0" fontId="7" fillId="26" borderId="6" xfId="0" applyFont="1" applyFill="1" applyBorder="1" applyAlignment="1" applyProtection="1">
      <alignment horizontal="left" vertical="center" wrapText="1"/>
    </xf>
    <xf numFmtId="3" fontId="7" fillId="26" borderId="7" xfId="0" applyNumberFormat="1" applyFont="1" applyFill="1" applyBorder="1" applyAlignment="1" applyProtection="1">
      <alignment vertical="center"/>
    </xf>
    <xf numFmtId="0" fontId="7" fillId="26" borderId="7" xfId="0" applyFont="1" applyFill="1" applyBorder="1" applyAlignment="1" applyProtection="1">
      <alignment vertical="center"/>
    </xf>
    <xf numFmtId="165" fontId="7" fillId="26" borderId="7" xfId="0" applyNumberFormat="1" applyFont="1" applyFill="1" applyBorder="1" applyAlignment="1" applyProtection="1">
      <alignment horizontal="right" vertical="center" wrapText="1"/>
    </xf>
    <xf numFmtId="166" fontId="7" fillId="26" borderId="21" xfId="0" applyNumberFormat="1" applyFont="1" applyFill="1" applyBorder="1" applyAlignment="1" applyProtection="1">
      <alignment horizontal="right" vertical="center" wrapText="1"/>
    </xf>
    <xf numFmtId="0" fontId="7" fillId="26" borderId="7"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xf>
    <xf numFmtId="3" fontId="7" fillId="6" borderId="0" xfId="0" applyNumberFormat="1" applyFont="1" applyFill="1" applyBorder="1" applyAlignment="1" applyProtection="1">
      <alignment vertical="center"/>
    </xf>
    <xf numFmtId="0" fontId="7" fillId="6" borderId="0" xfId="0" applyFont="1" applyFill="1" applyBorder="1" applyAlignment="1" applyProtection="1">
      <alignment vertical="center"/>
    </xf>
    <xf numFmtId="165" fontId="7" fillId="6" borderId="0" xfId="0" applyNumberFormat="1" applyFont="1" applyFill="1" applyBorder="1" applyAlignment="1" applyProtection="1">
      <alignment horizontal="right" vertical="center" wrapText="1"/>
    </xf>
    <xf numFmtId="0" fontId="7" fillId="6" borderId="0" xfId="0" applyFont="1" applyFill="1" applyBorder="1" applyAlignment="1" applyProtection="1">
      <alignment horizontal="left" vertical="center" wrapText="1"/>
    </xf>
    <xf numFmtId="165" fontId="45" fillId="4" borderId="1" xfId="0" applyNumberFormat="1" applyFont="1" applyFill="1" applyBorder="1" applyAlignment="1" applyProtection="1">
      <alignment horizontal="center" wrapText="1"/>
    </xf>
    <xf numFmtId="165" fontId="45" fillId="4" borderId="10" xfId="0" applyNumberFormat="1" applyFont="1" applyFill="1" applyBorder="1" applyAlignment="1" applyProtection="1">
      <alignment horizontal="center" wrapText="1"/>
    </xf>
    <xf numFmtId="0" fontId="7" fillId="24" borderId="5" xfId="0" applyFont="1" applyFill="1" applyBorder="1" applyAlignment="1" applyProtection="1">
      <alignment horizontal="left" vertical="center"/>
    </xf>
    <xf numFmtId="3" fontId="7" fillId="24" borderId="7" xfId="0" applyNumberFormat="1" applyFont="1" applyFill="1" applyBorder="1" applyAlignment="1" applyProtection="1">
      <alignment vertical="center"/>
    </xf>
    <xf numFmtId="0" fontId="7" fillId="24" borderId="7" xfId="0" applyFont="1" applyFill="1" applyBorder="1" applyAlignment="1" applyProtection="1">
      <alignment vertical="center"/>
    </xf>
    <xf numFmtId="165" fontId="7" fillId="24" borderId="6" xfId="0" applyNumberFormat="1" applyFont="1" applyFill="1" applyBorder="1" applyAlignment="1" applyProtection="1">
      <alignment horizontal="right" vertical="center" wrapText="1"/>
    </xf>
    <xf numFmtId="3" fontId="7" fillId="24" borderId="7" xfId="0" applyNumberFormat="1" applyFont="1" applyFill="1" applyBorder="1" applyAlignment="1" applyProtection="1">
      <alignment horizontal="right" vertical="center" wrapText="1"/>
    </xf>
    <xf numFmtId="3" fontId="7" fillId="24" borderId="2" xfId="0" applyNumberFormat="1" applyFont="1" applyFill="1" applyBorder="1" applyAlignment="1" applyProtection="1">
      <alignment horizontal="right" vertical="center" wrapText="1"/>
    </xf>
    <xf numFmtId="3" fontId="7" fillId="24" borderId="21" xfId="0" applyNumberFormat="1" applyFont="1" applyFill="1" applyBorder="1" applyAlignment="1" applyProtection="1">
      <alignment horizontal="right" vertical="center" wrapText="1"/>
    </xf>
    <xf numFmtId="166" fontId="7" fillId="24" borderId="19" xfId="0" applyNumberFormat="1" applyFont="1" applyFill="1" applyBorder="1" applyAlignment="1" applyProtection="1">
      <alignment horizontal="right" vertical="center" wrapText="1"/>
    </xf>
    <xf numFmtId="0" fontId="7" fillId="24" borderId="5" xfId="0" applyFont="1" applyFill="1" applyBorder="1" applyAlignment="1" applyProtection="1">
      <alignment horizontal="left" vertical="center" wrapText="1"/>
    </xf>
    <xf numFmtId="0" fontId="7" fillId="24" borderId="4" xfId="0" applyFont="1" applyFill="1" applyBorder="1" applyAlignment="1" applyProtection="1">
      <alignment horizontal="left" vertical="center"/>
    </xf>
    <xf numFmtId="3" fontId="7" fillId="24" borderId="6" xfId="0" applyNumberFormat="1" applyFont="1" applyFill="1" applyBorder="1" applyAlignment="1" applyProtection="1">
      <alignment vertical="center"/>
    </xf>
    <xf numFmtId="0" fontId="7" fillId="24" borderId="6" xfId="0" applyFont="1" applyFill="1" applyBorder="1" applyAlignment="1" applyProtection="1">
      <alignment vertical="center"/>
    </xf>
    <xf numFmtId="0" fontId="7" fillId="24" borderId="4" xfId="0" applyFont="1" applyFill="1" applyBorder="1" applyAlignment="1" applyProtection="1">
      <alignment horizontal="left" vertical="center" wrapText="1"/>
    </xf>
    <xf numFmtId="0" fontId="7" fillId="24" borderId="7" xfId="0" applyFont="1" applyFill="1" applyBorder="1" applyAlignment="1" applyProtection="1">
      <alignment horizontal="left" vertical="center"/>
    </xf>
    <xf numFmtId="165" fontId="7" fillId="24" borderId="7" xfId="0" applyNumberFormat="1" applyFont="1" applyFill="1" applyBorder="1" applyAlignment="1" applyProtection="1">
      <alignment horizontal="right" vertical="center" wrapText="1"/>
    </xf>
    <xf numFmtId="3" fontId="7" fillId="24" borderId="54" xfId="0" applyNumberFormat="1" applyFont="1" applyFill="1" applyBorder="1" applyAlignment="1" applyProtection="1">
      <alignment horizontal="right" vertical="center" wrapText="1"/>
    </xf>
    <xf numFmtId="166" fontId="7" fillId="24" borderId="21" xfId="0" applyNumberFormat="1" applyFont="1" applyFill="1" applyBorder="1" applyAlignment="1" applyProtection="1">
      <alignment horizontal="right" vertical="center" wrapText="1"/>
    </xf>
    <xf numFmtId="0" fontId="7" fillId="24" borderId="7" xfId="0" applyFont="1" applyFill="1" applyBorder="1" applyAlignment="1" applyProtection="1">
      <alignment horizontal="left" vertical="center" wrapText="1"/>
    </xf>
    <xf numFmtId="3" fontId="51" fillId="8" borderId="57" xfId="0" applyNumberFormat="1" applyFont="1" applyFill="1" applyBorder="1" applyAlignment="1" applyProtection="1">
      <alignment horizontal="right" vertical="center" wrapText="1"/>
    </xf>
    <xf numFmtId="0" fontId="21" fillId="6" borderId="50"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1" fillId="6" borderId="0" xfId="0" applyFont="1" applyFill="1" applyBorder="1" applyAlignment="1" applyProtection="1">
      <alignment vertical="center" wrapText="1"/>
    </xf>
    <xf numFmtId="3" fontId="19" fillId="6" borderId="0" xfId="0" applyNumberFormat="1" applyFont="1" applyFill="1" applyBorder="1" applyAlignment="1" applyProtection="1">
      <alignment horizontal="center" vertical="center" wrapText="1"/>
    </xf>
    <xf numFmtId="165" fontId="21" fillId="9" borderId="1" xfId="0" applyNumberFormat="1" applyFont="1" applyFill="1" applyBorder="1" applyAlignment="1" applyProtection="1">
      <alignment horizontal="right" vertical="center" wrapText="1"/>
    </xf>
    <xf numFmtId="3" fontId="21" fillId="9" borderId="1" xfId="0" applyNumberFormat="1" applyFont="1" applyFill="1" applyBorder="1" applyAlignment="1" applyProtection="1">
      <alignment horizontal="right" vertical="center" wrapText="1"/>
    </xf>
    <xf numFmtId="0" fontId="19" fillId="6" borderId="0" xfId="0" applyFont="1" applyFill="1" applyBorder="1" applyAlignment="1" applyProtection="1">
      <alignment horizontal="right" vertical="center" wrapText="1"/>
    </xf>
    <xf numFmtId="166" fontId="21" fillId="9" borderId="1" xfId="0" applyNumberFormat="1" applyFont="1" applyFill="1" applyBorder="1" applyAlignment="1" applyProtection="1">
      <alignment horizontal="right" vertical="center" wrapText="1"/>
    </xf>
    <xf numFmtId="0" fontId="10" fillId="9" borderId="1" xfId="0" applyFont="1" applyFill="1" applyBorder="1" applyAlignment="1" applyProtection="1">
      <alignment vertical="center" wrapText="1"/>
    </xf>
    <xf numFmtId="165" fontId="45" fillId="4" borderId="36" xfId="0" applyNumberFormat="1" applyFont="1" applyFill="1" applyBorder="1" applyAlignment="1" applyProtection="1">
      <alignment horizontal="center" wrapText="1"/>
    </xf>
    <xf numFmtId="0" fontId="76" fillId="4" borderId="36" xfId="0" applyFont="1" applyFill="1" applyBorder="1" applyAlignment="1" applyProtection="1">
      <alignment horizontal="center" wrapText="1"/>
    </xf>
    <xf numFmtId="165" fontId="45" fillId="4" borderId="88" xfId="0" applyNumberFormat="1" applyFont="1" applyFill="1" applyBorder="1" applyAlignment="1" applyProtection="1">
      <alignment horizontal="center" wrapText="1"/>
    </xf>
    <xf numFmtId="0" fontId="7" fillId="30" borderId="1" xfId="0" applyFont="1" applyFill="1" applyBorder="1" applyAlignment="1" applyProtection="1">
      <alignment horizontal="center" vertical="center" wrapText="1"/>
    </xf>
    <xf numFmtId="0" fontId="7" fillId="30" borderId="1" xfId="0" applyFont="1" applyFill="1" applyBorder="1" applyAlignment="1" applyProtection="1">
      <alignment horizontal="left" vertical="center"/>
    </xf>
    <xf numFmtId="3" fontId="7" fillId="30" borderId="1" xfId="0" applyNumberFormat="1" applyFont="1" applyFill="1" applyBorder="1" applyAlignment="1" applyProtection="1">
      <alignment vertical="center"/>
    </xf>
    <xf numFmtId="0" fontId="7" fillId="30" borderId="1" xfId="0" applyFont="1" applyFill="1" applyBorder="1" applyAlignment="1" applyProtection="1">
      <alignment horizontal="center" vertical="center"/>
    </xf>
    <xf numFmtId="165" fontId="7" fillId="30" borderId="1" xfId="0" applyNumberFormat="1" applyFont="1" applyFill="1" applyBorder="1" applyAlignment="1" applyProtection="1">
      <alignment horizontal="right" vertical="center" wrapText="1"/>
    </xf>
    <xf numFmtId="3" fontId="7" fillId="30" borderId="1" xfId="0" applyNumberFormat="1" applyFont="1" applyFill="1" applyBorder="1" applyAlignment="1" applyProtection="1">
      <alignment horizontal="right" vertical="center" wrapText="1"/>
    </xf>
    <xf numFmtId="166" fontId="7" fillId="30" borderId="1" xfId="0" applyNumberFormat="1" applyFont="1" applyFill="1" applyBorder="1" applyAlignment="1" applyProtection="1">
      <alignment horizontal="right" vertical="center" wrapText="1"/>
    </xf>
    <xf numFmtId="0" fontId="7" fillId="30" borderId="1" xfId="0" applyFont="1" applyFill="1" applyBorder="1" applyAlignment="1" applyProtection="1">
      <alignment horizontal="left" vertical="center" wrapText="1"/>
    </xf>
    <xf numFmtId="0" fontId="7" fillId="30" borderId="36" xfId="0" applyFont="1" applyFill="1" applyBorder="1" applyAlignment="1" applyProtection="1">
      <alignment horizontal="left" vertical="center"/>
    </xf>
    <xf numFmtId="3" fontId="7" fillId="30" borderId="36" xfId="0" applyNumberFormat="1" applyFont="1" applyFill="1" applyBorder="1" applyAlignment="1" applyProtection="1">
      <alignment vertical="center"/>
    </xf>
    <xf numFmtId="0" fontId="7" fillId="30" borderId="36" xfId="0" applyFont="1" applyFill="1" applyBorder="1" applyAlignment="1" applyProtection="1">
      <alignment horizontal="center" vertical="center"/>
    </xf>
    <xf numFmtId="165" fontId="7" fillId="30" borderId="36" xfId="0" applyNumberFormat="1" applyFont="1" applyFill="1" applyBorder="1" applyAlignment="1" applyProtection="1">
      <alignment horizontal="right" vertical="center" wrapText="1"/>
    </xf>
    <xf numFmtId="3" fontId="7" fillId="30" borderId="36" xfId="0" applyNumberFormat="1" applyFont="1" applyFill="1" applyBorder="1" applyAlignment="1" applyProtection="1">
      <alignment horizontal="right" vertical="center" wrapText="1"/>
    </xf>
    <xf numFmtId="166" fontId="7" fillId="30" borderId="36" xfId="0" applyNumberFormat="1" applyFont="1" applyFill="1" applyBorder="1" applyAlignment="1" applyProtection="1">
      <alignment horizontal="right" vertical="center" wrapText="1"/>
    </xf>
    <xf numFmtId="0" fontId="7" fillId="30" borderId="36" xfId="0" applyFont="1" applyFill="1" applyBorder="1" applyAlignment="1" applyProtection="1">
      <alignment horizontal="left" vertical="center" wrapText="1"/>
    </xf>
    <xf numFmtId="0" fontId="7" fillId="30" borderId="6" xfId="0" applyFont="1" applyFill="1" applyBorder="1" applyAlignment="1" applyProtection="1">
      <alignment horizontal="left" vertical="center"/>
    </xf>
    <xf numFmtId="3" fontId="7" fillId="30" borderId="6" xfId="0" applyNumberFormat="1" applyFont="1" applyFill="1" applyBorder="1" applyAlignment="1" applyProtection="1">
      <alignment vertical="center"/>
    </xf>
    <xf numFmtId="0" fontId="7" fillId="30" borderId="6" xfId="0" applyFont="1" applyFill="1" applyBorder="1" applyAlignment="1" applyProtection="1">
      <alignment vertical="center"/>
    </xf>
    <xf numFmtId="165" fontId="7" fillId="30" borderId="6" xfId="0" applyNumberFormat="1" applyFont="1" applyFill="1" applyBorder="1" applyAlignment="1" applyProtection="1">
      <alignment horizontal="right" vertical="center" wrapText="1"/>
    </xf>
    <xf numFmtId="3" fontId="7" fillId="30" borderId="6" xfId="0" applyNumberFormat="1" applyFont="1" applyFill="1" applyBorder="1" applyAlignment="1" applyProtection="1">
      <alignment horizontal="right" vertical="center" wrapText="1"/>
    </xf>
    <xf numFmtId="166" fontId="7" fillId="30" borderId="6" xfId="0" applyNumberFormat="1" applyFont="1" applyFill="1" applyBorder="1" applyAlignment="1" applyProtection="1">
      <alignment horizontal="right" vertical="center" wrapText="1"/>
    </xf>
    <xf numFmtId="0" fontId="7" fillId="30" borderId="7" xfId="0" applyFont="1" applyFill="1" applyBorder="1" applyAlignment="1" applyProtection="1">
      <alignment horizontal="left" vertical="center" wrapText="1"/>
    </xf>
    <xf numFmtId="0" fontId="7" fillId="30" borderId="57" xfId="0" applyFont="1" applyFill="1" applyBorder="1" applyAlignment="1" applyProtection="1">
      <alignment horizontal="left" vertical="center"/>
    </xf>
    <xf numFmtId="3" fontId="7" fillId="30" borderId="57" xfId="0" applyNumberFormat="1" applyFont="1" applyFill="1" applyBorder="1" applyAlignment="1" applyProtection="1">
      <alignment vertical="center"/>
    </xf>
    <xf numFmtId="0" fontId="7" fillId="30" borderId="57" xfId="0" applyFont="1" applyFill="1" applyBorder="1" applyAlignment="1" applyProtection="1">
      <alignment vertical="center"/>
    </xf>
    <xf numFmtId="165" fontId="7" fillId="30" borderId="57" xfId="0" applyNumberFormat="1" applyFont="1" applyFill="1" applyBorder="1" applyAlignment="1" applyProtection="1">
      <alignment horizontal="right" vertical="center" wrapText="1"/>
    </xf>
    <xf numFmtId="3" fontId="7" fillId="30" borderId="57" xfId="0" applyNumberFormat="1" applyFont="1" applyFill="1" applyBorder="1" applyAlignment="1" applyProtection="1">
      <alignment horizontal="right" vertical="center" wrapText="1"/>
    </xf>
    <xf numFmtId="166" fontId="7" fillId="30" borderId="57" xfId="0" applyNumberFormat="1" applyFont="1" applyFill="1" applyBorder="1" applyAlignment="1" applyProtection="1">
      <alignment horizontal="right" vertical="center" wrapText="1"/>
    </xf>
    <xf numFmtId="0" fontId="7" fillId="30" borderId="5" xfId="0" applyFont="1" applyFill="1" applyBorder="1" applyAlignment="1" applyProtection="1">
      <alignment horizontal="left" vertical="center"/>
    </xf>
    <xf numFmtId="3" fontId="7" fillId="30" borderId="4" xfId="0" applyNumberFormat="1" applyFont="1" applyFill="1" applyBorder="1" applyAlignment="1" applyProtection="1">
      <alignment vertical="center"/>
    </xf>
    <xf numFmtId="0" fontId="7" fillId="30" borderId="4" xfId="0" applyFont="1" applyFill="1" applyBorder="1" applyAlignment="1" applyProtection="1">
      <alignment vertical="center"/>
    </xf>
    <xf numFmtId="3" fontId="7" fillId="30" borderId="4" xfId="0" applyNumberFormat="1" applyFont="1" applyFill="1" applyBorder="1" applyAlignment="1" applyProtection="1">
      <alignment horizontal="right" vertical="center"/>
    </xf>
    <xf numFmtId="165" fontId="7" fillId="30" borderId="4" xfId="0" applyNumberFormat="1" applyFont="1" applyFill="1" applyBorder="1" applyAlignment="1" applyProtection="1">
      <alignment horizontal="right" vertical="center" wrapText="1"/>
    </xf>
    <xf numFmtId="3" fontId="7" fillId="30" borderId="2" xfId="0" applyNumberFormat="1" applyFont="1" applyFill="1" applyBorder="1" applyAlignment="1" applyProtection="1">
      <alignment horizontal="right" vertical="center" wrapText="1"/>
    </xf>
    <xf numFmtId="3" fontId="7" fillId="30" borderId="21" xfId="0" applyNumberFormat="1" applyFont="1" applyFill="1" applyBorder="1" applyAlignment="1" applyProtection="1">
      <alignment horizontal="right" vertical="center" wrapText="1"/>
    </xf>
    <xf numFmtId="166" fontId="7" fillId="30" borderId="21" xfId="0" applyNumberFormat="1" applyFont="1" applyFill="1" applyBorder="1" applyAlignment="1" applyProtection="1">
      <alignment horizontal="right" vertical="center" wrapText="1"/>
    </xf>
    <xf numFmtId="0" fontId="7" fillId="30" borderId="37" xfId="0" applyFont="1" applyFill="1" applyBorder="1" applyAlignment="1" applyProtection="1">
      <alignment horizontal="left" vertical="center"/>
    </xf>
    <xf numFmtId="3" fontId="7" fillId="30" borderId="37" xfId="0" applyNumberFormat="1" applyFont="1" applyFill="1" applyBorder="1" applyAlignment="1" applyProtection="1">
      <alignment vertical="center"/>
    </xf>
    <xf numFmtId="0" fontId="7" fillId="30" borderId="37" xfId="0" applyFont="1" applyFill="1" applyBorder="1" applyAlignment="1" applyProtection="1">
      <alignment vertical="center"/>
    </xf>
    <xf numFmtId="165" fontId="7" fillId="30" borderId="37" xfId="0" applyNumberFormat="1" applyFont="1" applyFill="1" applyBorder="1" applyAlignment="1" applyProtection="1">
      <alignment horizontal="right" vertical="center" wrapText="1"/>
    </xf>
    <xf numFmtId="3" fontId="7" fillId="30" borderId="37" xfId="0" applyNumberFormat="1" applyFont="1" applyFill="1" applyBorder="1" applyAlignment="1" applyProtection="1">
      <alignment horizontal="right" vertical="center" wrapText="1"/>
    </xf>
    <xf numFmtId="166" fontId="7" fillId="30" borderId="37" xfId="0" applyNumberFormat="1" applyFont="1" applyFill="1" applyBorder="1" applyAlignment="1" applyProtection="1">
      <alignment horizontal="right" vertical="center" wrapText="1"/>
    </xf>
    <xf numFmtId="0" fontId="7" fillId="30" borderId="138" xfId="0" applyFont="1" applyFill="1" applyBorder="1" applyAlignment="1" applyProtection="1">
      <alignment horizontal="center" vertical="center" wrapText="1"/>
    </xf>
    <xf numFmtId="0" fontId="7" fillId="30" borderId="4" xfId="0" applyFont="1" applyFill="1" applyBorder="1" applyAlignment="1" applyProtection="1">
      <alignment horizontal="left" vertical="center"/>
    </xf>
    <xf numFmtId="3" fontId="7" fillId="30" borderId="138" xfId="0" applyNumberFormat="1" applyFont="1" applyFill="1" applyBorder="1" applyAlignment="1" applyProtection="1">
      <alignment horizontal="right" vertical="center" wrapText="1"/>
    </xf>
    <xf numFmtId="3" fontId="7" fillId="30" borderId="3" xfId="0" applyNumberFormat="1" applyFont="1" applyFill="1" applyBorder="1" applyAlignment="1" applyProtection="1">
      <alignment horizontal="right" vertical="center" wrapText="1"/>
    </xf>
    <xf numFmtId="166" fontId="7" fillId="30" borderId="28" xfId="0" applyNumberFormat="1" applyFont="1" applyFill="1" applyBorder="1" applyAlignment="1" applyProtection="1">
      <alignment horizontal="right" vertical="center" wrapText="1"/>
    </xf>
    <xf numFmtId="0" fontId="7" fillId="30" borderId="94"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7" fillId="9" borderId="1" xfId="0" applyFont="1" applyFill="1" applyBorder="1" applyAlignment="1" applyProtection="1">
      <alignment horizontal="left" vertical="center" wrapText="1"/>
    </xf>
    <xf numFmtId="0" fontId="7" fillId="30" borderId="1" xfId="0" applyFont="1" applyFill="1" applyBorder="1" applyAlignment="1" applyProtection="1">
      <alignment vertical="center"/>
    </xf>
    <xf numFmtId="0" fontId="7" fillId="30" borderId="36" xfId="0" applyFont="1" applyFill="1" applyBorder="1" applyAlignment="1" applyProtection="1">
      <alignment horizontal="center" vertical="center" wrapText="1"/>
    </xf>
    <xf numFmtId="9" fontId="21" fillId="9" borderId="1" xfId="0" applyNumberFormat="1" applyFont="1" applyFill="1" applyBorder="1" applyAlignment="1" applyProtection="1">
      <alignment horizontal="right" vertical="center" wrapText="1"/>
    </xf>
    <xf numFmtId="0" fontId="45" fillId="4" borderId="47" xfId="0" applyFont="1" applyFill="1" applyBorder="1" applyAlignment="1" applyProtection="1">
      <alignment horizontal="center" wrapText="1"/>
    </xf>
    <xf numFmtId="0" fontId="7" fillId="33" borderId="5" xfId="0" applyFont="1" applyFill="1" applyBorder="1" applyAlignment="1" applyProtection="1">
      <alignment horizontal="left" vertical="center"/>
    </xf>
    <xf numFmtId="3" fontId="7" fillId="33" borderId="5" xfId="0" applyNumberFormat="1" applyFont="1" applyFill="1" applyBorder="1" applyAlignment="1" applyProtection="1">
      <alignment vertical="center"/>
    </xf>
    <xf numFmtId="165" fontId="7" fillId="33" borderId="5" xfId="0" applyNumberFormat="1" applyFont="1" applyFill="1" applyBorder="1" applyAlignment="1" applyProtection="1">
      <alignment horizontal="right" vertical="center" wrapText="1"/>
    </xf>
    <xf numFmtId="3" fontId="7" fillId="33" borderId="36" xfId="0" applyNumberFormat="1" applyFont="1" applyFill="1" applyBorder="1" applyAlignment="1" applyProtection="1">
      <alignment horizontal="right" vertical="center" wrapText="1"/>
    </xf>
    <xf numFmtId="166" fontId="7" fillId="33" borderId="20" xfId="0" applyNumberFormat="1" applyFont="1" applyFill="1" applyBorder="1" applyAlignment="1" applyProtection="1">
      <alignment horizontal="right" vertical="center" wrapText="1"/>
    </xf>
    <xf numFmtId="0" fontId="7" fillId="33" borderId="5" xfId="0" applyFont="1" applyFill="1" applyBorder="1" applyAlignment="1" applyProtection="1">
      <alignment horizontal="left" vertical="center" wrapText="1"/>
    </xf>
    <xf numFmtId="0" fontId="7" fillId="33" borderId="4" xfId="0" applyFont="1" applyFill="1" applyBorder="1" applyAlignment="1" applyProtection="1">
      <alignment horizontal="left" vertical="center"/>
    </xf>
    <xf numFmtId="3" fontId="7" fillId="33" borderId="6" xfId="0" applyNumberFormat="1" applyFont="1" applyFill="1" applyBorder="1" applyAlignment="1" applyProtection="1">
      <alignment vertical="center"/>
    </xf>
    <xf numFmtId="0" fontId="7" fillId="33" borderId="6" xfId="0" applyFont="1" applyFill="1" applyBorder="1" applyAlignment="1" applyProtection="1">
      <alignment vertical="center"/>
    </xf>
    <xf numFmtId="165" fontId="7" fillId="33" borderId="6" xfId="0" applyNumberFormat="1" applyFont="1" applyFill="1" applyBorder="1" applyAlignment="1" applyProtection="1">
      <alignment horizontal="right" vertical="center" wrapText="1"/>
    </xf>
    <xf numFmtId="3" fontId="7" fillId="33" borderId="7" xfId="0" applyNumberFormat="1" applyFont="1" applyFill="1" applyBorder="1" applyAlignment="1" applyProtection="1">
      <alignment horizontal="right" vertical="center" wrapText="1"/>
    </xf>
    <xf numFmtId="166" fontId="7" fillId="33" borderId="19" xfId="0" applyNumberFormat="1" applyFont="1" applyFill="1" applyBorder="1" applyAlignment="1" applyProtection="1">
      <alignment horizontal="right" vertical="center" wrapText="1"/>
    </xf>
    <xf numFmtId="0" fontId="7" fillId="33" borderId="4" xfId="0" applyFont="1" applyFill="1" applyBorder="1" applyAlignment="1" applyProtection="1">
      <alignment horizontal="left" vertical="center" wrapText="1"/>
    </xf>
    <xf numFmtId="0" fontId="7" fillId="33" borderId="57" xfId="0" applyFont="1" applyFill="1" applyBorder="1" applyAlignment="1" applyProtection="1">
      <alignment horizontal="left" vertical="center"/>
    </xf>
    <xf numFmtId="3" fontId="7" fillId="33" borderId="37" xfId="0" applyNumberFormat="1" applyFont="1" applyFill="1" applyBorder="1" applyAlignment="1" applyProtection="1">
      <alignment vertical="center"/>
    </xf>
    <xf numFmtId="0" fontId="7" fillId="33" borderId="37" xfId="0" applyFont="1" applyFill="1" applyBorder="1" applyAlignment="1" applyProtection="1">
      <alignment vertical="center"/>
    </xf>
    <xf numFmtId="165" fontId="7" fillId="33" borderId="37" xfId="0" applyNumberFormat="1" applyFont="1" applyFill="1" applyBorder="1" applyAlignment="1" applyProtection="1">
      <alignment horizontal="right" vertical="center" wrapText="1"/>
    </xf>
    <xf numFmtId="3" fontId="7" fillId="33" borderId="37" xfId="0" applyNumberFormat="1" applyFont="1" applyFill="1" applyBorder="1" applyAlignment="1" applyProtection="1">
      <alignment horizontal="right" vertical="center" wrapText="1"/>
    </xf>
    <xf numFmtId="166" fontId="7" fillId="33" borderId="44" xfId="0" applyNumberFormat="1" applyFont="1" applyFill="1" applyBorder="1" applyAlignment="1" applyProtection="1">
      <alignment horizontal="right" vertical="center" wrapText="1"/>
    </xf>
    <xf numFmtId="0" fontId="7" fillId="33" borderId="57" xfId="0" applyFont="1" applyFill="1" applyBorder="1" applyAlignment="1" applyProtection="1">
      <alignment horizontal="left" vertical="center" wrapText="1"/>
    </xf>
    <xf numFmtId="0" fontId="7" fillId="33" borderId="57" xfId="0" applyFont="1" applyFill="1" applyBorder="1" applyAlignment="1" applyProtection="1">
      <alignment horizontal="center" vertical="center" wrapText="1"/>
    </xf>
    <xf numFmtId="0" fontId="7" fillId="33" borderId="2" xfId="0" applyFont="1" applyFill="1" applyBorder="1" applyAlignment="1" applyProtection="1">
      <alignment horizontal="left" vertical="center"/>
    </xf>
    <xf numFmtId="3" fontId="7" fillId="33" borderId="2" xfId="0" applyNumberFormat="1" applyFont="1" applyFill="1" applyBorder="1" applyAlignment="1" applyProtection="1">
      <alignment vertical="center"/>
    </xf>
    <xf numFmtId="0" fontId="7" fillId="33" borderId="2" xfId="0" applyFont="1" applyFill="1" applyBorder="1" applyAlignment="1" applyProtection="1">
      <alignment vertical="center"/>
    </xf>
    <xf numFmtId="165" fontId="7" fillId="33" borderId="2" xfId="0" applyNumberFormat="1" applyFont="1" applyFill="1" applyBorder="1" applyAlignment="1" applyProtection="1">
      <alignment horizontal="right" vertical="center" wrapText="1"/>
    </xf>
    <xf numFmtId="3" fontId="7" fillId="33" borderId="2" xfId="0" applyNumberFormat="1" applyFont="1" applyFill="1" applyBorder="1" applyAlignment="1" applyProtection="1">
      <alignment horizontal="right" vertical="center" wrapText="1"/>
    </xf>
    <xf numFmtId="166" fontId="7" fillId="33" borderId="3" xfId="0" applyNumberFormat="1" applyFont="1" applyFill="1" applyBorder="1" applyAlignment="1" applyProtection="1">
      <alignment horizontal="right" vertical="center" wrapText="1"/>
    </xf>
    <xf numFmtId="0" fontId="7" fillId="33" borderId="2" xfId="0" applyFont="1" applyFill="1" applyBorder="1" applyAlignment="1" applyProtection="1">
      <alignment horizontal="left" vertical="center" wrapText="1"/>
    </xf>
    <xf numFmtId="3" fontId="19" fillId="6" borderId="3" xfId="0" applyNumberFormat="1" applyFont="1" applyFill="1" applyBorder="1" applyAlignment="1" applyProtection="1">
      <alignment horizontal="center" vertical="center" wrapText="1"/>
    </xf>
    <xf numFmtId="165" fontId="21" fillId="9" borderId="39" xfId="0" applyNumberFormat="1" applyFont="1" applyFill="1" applyBorder="1" applyAlignment="1" applyProtection="1">
      <alignment horizontal="right" vertical="center" wrapText="1"/>
    </xf>
    <xf numFmtId="3" fontId="21" fillId="9" borderId="9" xfId="0" applyNumberFormat="1" applyFont="1" applyFill="1" applyBorder="1" applyAlignment="1" applyProtection="1">
      <alignment horizontal="right" vertical="center" wrapText="1"/>
    </xf>
    <xf numFmtId="3" fontId="21" fillId="9" borderId="30" xfId="0" applyNumberFormat="1" applyFont="1" applyFill="1" applyBorder="1" applyAlignment="1" applyProtection="1">
      <alignment horizontal="right" vertical="center" wrapText="1"/>
    </xf>
    <xf numFmtId="166" fontId="21" fillId="9" borderId="10" xfId="0" applyNumberFormat="1" applyFont="1" applyFill="1" applyBorder="1" applyAlignment="1" applyProtection="1">
      <alignment horizontal="right" vertical="center" wrapText="1"/>
    </xf>
    <xf numFmtId="0" fontId="1" fillId="3" borderId="0" xfId="0" applyFont="1" applyFill="1" applyAlignment="1" applyProtection="1">
      <alignment horizontal="center" vertical="center" wrapText="1"/>
    </xf>
    <xf numFmtId="0" fontId="9" fillId="3" borderId="0" xfId="0" applyFont="1" applyFill="1" applyProtection="1"/>
    <xf numFmtId="0" fontId="9" fillId="6" borderId="0" xfId="0" applyFont="1" applyFill="1" applyBorder="1" applyProtection="1"/>
    <xf numFmtId="0" fontId="9" fillId="3" borderId="0" xfId="0" applyFont="1" applyFill="1" applyAlignment="1" applyProtection="1">
      <alignment horizontal="center" vertical="center" wrapText="1"/>
    </xf>
    <xf numFmtId="0" fontId="9" fillId="6" borderId="0"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165" fontId="9" fillId="3" borderId="0" xfId="0" applyNumberFormat="1" applyFont="1" applyFill="1" applyAlignment="1" applyProtection="1">
      <alignment horizontal="center" vertical="center" wrapText="1"/>
    </xf>
    <xf numFmtId="0" fontId="7" fillId="3" borderId="0" xfId="0" applyFont="1" applyFill="1" applyAlignment="1" applyProtection="1">
      <alignment vertical="center" wrapText="1"/>
    </xf>
    <xf numFmtId="165" fontId="9" fillId="3" borderId="0" xfId="0" applyNumberFormat="1" applyFont="1" applyFill="1" applyAlignment="1" applyProtection="1">
      <alignment horizontal="left" vertical="center" wrapText="1"/>
    </xf>
    <xf numFmtId="0" fontId="7" fillId="3" borderId="0" xfId="0" applyFont="1" applyFill="1" applyAlignment="1" applyProtection="1">
      <alignment horizontal="left" vertical="center" wrapText="1"/>
    </xf>
    <xf numFmtId="0" fontId="0" fillId="3" borderId="0" xfId="0" applyFill="1" applyAlignment="1" applyProtection="1">
      <alignment horizontal="center" vertical="center" wrapText="1"/>
    </xf>
    <xf numFmtId="165" fontId="0" fillId="3" borderId="0" xfId="0" applyNumberFormat="1" applyFill="1" applyAlignment="1" applyProtection="1">
      <alignment horizontal="center" vertical="center" wrapText="1"/>
    </xf>
    <xf numFmtId="0" fontId="0" fillId="0" borderId="0" xfId="0" applyAlignment="1" applyProtection="1">
      <alignment horizontal="center" vertical="center" wrapText="1"/>
    </xf>
    <xf numFmtId="165" fontId="0" fillId="0" borderId="0" xfId="0" applyNumberFormat="1" applyAlignment="1" applyProtection="1">
      <alignment horizontal="center" vertical="center" wrapText="1"/>
    </xf>
    <xf numFmtId="0" fontId="7" fillId="0" borderId="0" xfId="0" applyFont="1" applyAlignment="1" applyProtection="1">
      <alignment vertical="center" wrapText="1"/>
    </xf>
    <xf numFmtId="3" fontId="7" fillId="0" borderId="5"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horizontal="right" vertical="center"/>
      <protection locked="0"/>
    </xf>
    <xf numFmtId="3" fontId="7" fillId="0" borderId="57" xfId="0" applyNumberFormat="1" applyFont="1" applyFill="1" applyBorder="1" applyAlignment="1" applyProtection="1">
      <alignment vertical="center"/>
      <protection locked="0"/>
    </xf>
    <xf numFmtId="3" fontId="7" fillId="0" borderId="7"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0" fontId="56" fillId="32" borderId="5" xfId="0" applyFont="1" applyFill="1" applyBorder="1" applyAlignment="1" applyProtection="1">
      <alignment horizontal="left" vertical="center" wrapText="1"/>
    </xf>
    <xf numFmtId="0" fontId="7" fillId="25" borderId="7" xfId="0" applyFont="1" applyFill="1" applyBorder="1" applyAlignment="1" applyProtection="1">
      <alignment horizontal="left" vertical="center"/>
    </xf>
    <xf numFmtId="3" fontId="7" fillId="25" borderId="7" xfId="0" applyNumberFormat="1" applyFont="1" applyFill="1" applyBorder="1" applyAlignment="1" applyProtection="1">
      <alignment vertical="center"/>
    </xf>
    <xf numFmtId="0" fontId="7" fillId="25" borderId="7" xfId="0" applyFont="1" applyFill="1" applyBorder="1" applyAlignment="1" applyProtection="1">
      <alignment vertical="center"/>
    </xf>
    <xf numFmtId="165" fontId="7" fillId="25" borderId="7" xfId="0" applyNumberFormat="1" applyFont="1" applyFill="1" applyBorder="1" applyAlignment="1" applyProtection="1">
      <alignment horizontal="right" vertical="center" wrapText="1"/>
    </xf>
    <xf numFmtId="3" fontId="7" fillId="25" borderId="7" xfId="0" applyNumberFormat="1" applyFont="1" applyFill="1" applyBorder="1" applyAlignment="1" applyProtection="1">
      <alignment horizontal="right" vertical="center" wrapText="1"/>
    </xf>
    <xf numFmtId="166" fontId="7" fillId="25" borderId="21" xfId="0" applyNumberFormat="1" applyFont="1" applyFill="1" applyBorder="1" applyAlignment="1" applyProtection="1">
      <alignment horizontal="right" vertical="center" wrapText="1"/>
    </xf>
    <xf numFmtId="0" fontId="7" fillId="25" borderId="7" xfId="0" applyFont="1" applyFill="1" applyBorder="1" applyAlignment="1" applyProtection="1">
      <alignment horizontal="left" vertical="center" wrapText="1"/>
    </xf>
    <xf numFmtId="0" fontId="7" fillId="29" borderId="5" xfId="0" applyFont="1" applyFill="1" applyBorder="1" applyAlignment="1" applyProtection="1">
      <alignment horizontal="left" vertical="center"/>
    </xf>
    <xf numFmtId="3" fontId="7" fillId="29" borderId="5" xfId="0" applyNumberFormat="1" applyFont="1" applyFill="1" applyBorder="1" applyAlignment="1" applyProtection="1">
      <alignment vertical="center"/>
    </xf>
    <xf numFmtId="0" fontId="7" fillId="29" borderId="5" xfId="0" applyFont="1" applyFill="1" applyBorder="1" applyAlignment="1" applyProtection="1">
      <alignment vertical="center"/>
    </xf>
    <xf numFmtId="165" fontId="7" fillId="29" borderId="5" xfId="0" applyNumberFormat="1" applyFont="1" applyFill="1" applyBorder="1" applyAlignment="1" applyProtection="1">
      <alignment horizontal="right" vertical="center" wrapText="1"/>
    </xf>
    <xf numFmtId="3" fontId="7" fillId="29" borderId="5" xfId="0" applyNumberFormat="1" applyFont="1" applyFill="1" applyBorder="1" applyAlignment="1" applyProtection="1">
      <alignment horizontal="right" vertical="center" wrapText="1"/>
    </xf>
    <xf numFmtId="166" fontId="7" fillId="29" borderId="5" xfId="0" applyNumberFormat="1" applyFont="1" applyFill="1" applyBorder="1" applyAlignment="1" applyProtection="1">
      <alignment horizontal="right" vertical="center" wrapText="1"/>
    </xf>
    <xf numFmtId="0" fontId="7" fillId="29" borderId="5" xfId="0" applyFont="1" applyFill="1" applyBorder="1" applyAlignment="1" applyProtection="1">
      <alignment horizontal="left" vertical="center" wrapText="1"/>
    </xf>
    <xf numFmtId="0" fontId="79" fillId="29" borderId="6" xfId="0" applyFont="1" applyFill="1" applyBorder="1" applyAlignment="1" applyProtection="1">
      <alignment horizontal="left" vertical="center"/>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20" fillId="3" borderId="0" xfId="0" quotePrefix="1" applyFont="1" applyFill="1" applyBorder="1" applyAlignment="1" applyProtection="1">
      <alignment horizontal="left" vertical="top" wrapText="1"/>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0" fontId="1" fillId="3" borderId="30" xfId="0" applyFont="1" applyFill="1" applyBorder="1" applyAlignment="1" applyProtection="1">
      <alignment horizontal="center"/>
    </xf>
    <xf numFmtId="0" fontId="1" fillId="3" borderId="10" xfId="0" applyFont="1" applyFill="1" applyBorder="1" applyAlignment="1" applyProtection="1">
      <alignment horizontal="center"/>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2" fontId="1" fillId="3" borderId="1" xfId="0" applyNumberFormat="1"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61" fillId="3" borderId="0" xfId="0" applyFont="1" applyFill="1" applyBorder="1" applyAlignment="1" applyProtection="1">
      <alignment horizontal="left" vertical="top" wrapText="1"/>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61" fillId="3" borderId="1" xfId="0" applyFont="1" applyFill="1" applyBorder="1" applyAlignment="1" applyProtection="1">
      <alignment horizontal="center" wrapText="1"/>
    </xf>
    <xf numFmtId="0" fontId="1" fillId="3" borderId="1" xfId="0" applyFont="1" applyFill="1" applyBorder="1" applyAlignment="1" applyProtection="1">
      <alignment horizont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1" fillId="6" borderId="11" xfId="0" applyFont="1" applyFill="1" applyBorder="1" applyAlignment="1" applyProtection="1">
      <alignment horizontal="center" vertical="center"/>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0" fontId="20" fillId="3" borderId="0" xfId="0" applyFont="1" applyFill="1" applyBorder="1" applyAlignment="1" applyProtection="1">
      <alignment horizontal="left" vertical="top" wrapText="1"/>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11" xfId="0" applyFont="1" applyFill="1" applyBorder="1" applyAlignment="1" applyProtection="1">
      <alignment horizontal="center" vertical="center"/>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74" fillId="3" borderId="1" xfId="0" applyFont="1" applyFill="1" applyBorder="1" applyAlignment="1" applyProtection="1">
      <alignment horizontal="center" textRotation="90" wrapText="1"/>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0" fontId="1" fillId="3" borderId="38" xfId="0" applyFont="1" applyFill="1" applyBorder="1" applyAlignment="1" applyProtection="1">
      <alignment horizont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1" fontId="1" fillId="3" borderId="0"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protection locked="0"/>
    </xf>
    <xf numFmtId="0" fontId="1" fillId="3" borderId="0" xfId="0" applyFont="1" applyFill="1" applyBorder="1" applyAlignment="1" applyProtection="1">
      <alignment horizont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 fillId="3" borderId="0" xfId="0" applyFont="1" applyFill="1" applyBorder="1" applyAlignment="1" applyProtection="1">
      <alignment horizontal="right" vertical="top" wrapText="1"/>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16" fillId="7" borderId="61"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62" xfId="0" applyFont="1" applyFill="1" applyBorder="1" applyAlignment="1" applyProtection="1">
      <alignment horizontal="center" vertical="center"/>
      <protection locked="0"/>
    </xf>
    <xf numFmtId="0" fontId="35" fillId="3" borderId="0" xfId="0" applyFont="1" applyFill="1" applyBorder="1" applyAlignment="1" applyProtection="1">
      <alignment horizontal="center" wrapText="1"/>
    </xf>
    <xf numFmtId="0" fontId="74" fillId="3" borderId="11" xfId="0" applyFont="1" applyFill="1" applyBorder="1" applyAlignment="1" applyProtection="1">
      <alignment horizont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7" fillId="29" borderId="2"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0" fontId="7" fillId="30" borderId="36" xfId="0" applyFont="1" applyFill="1" applyBorder="1" applyAlignment="1">
      <alignment horizontal="center" vertical="center" wrapText="1"/>
    </xf>
    <xf numFmtId="0" fontId="7" fillId="30" borderId="57"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44" fillId="4" borderId="0" xfId="0" applyFont="1" applyFill="1" applyBorder="1" applyAlignment="1">
      <alignment horizontal="left"/>
    </xf>
    <xf numFmtId="0" fontId="44" fillId="4" borderId="3" xfId="0" applyFont="1" applyFill="1" applyBorder="1" applyAlignment="1">
      <alignment horizontal="left"/>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0" fontId="51" fillId="8" borderId="91" xfId="0" applyFont="1" applyFill="1" applyBorder="1" applyAlignment="1" applyProtection="1">
      <alignment horizontal="right" vertical="center"/>
    </xf>
    <xf numFmtId="0" fontId="51" fillId="8" borderId="93" xfId="0" applyFont="1" applyFill="1" applyBorder="1" applyAlignment="1" applyProtection="1">
      <alignment horizontal="right" vertical="center"/>
    </xf>
    <xf numFmtId="0" fontId="21" fillId="9" borderId="30" xfId="0" applyFont="1" applyFill="1" applyBorder="1" applyAlignment="1" applyProtection="1">
      <alignment horizontal="right" vertical="center"/>
    </xf>
    <xf numFmtId="0" fontId="21" fillId="9" borderId="10" xfId="0" applyFont="1" applyFill="1" applyBorder="1" applyAlignment="1" applyProtection="1">
      <alignment horizontal="right" vertical="center"/>
    </xf>
    <xf numFmtId="0" fontId="44" fillId="4" borderId="30" xfId="0" applyFont="1" applyFill="1" applyBorder="1" applyAlignment="1" applyProtection="1">
      <alignment horizontal="left"/>
    </xf>
    <xf numFmtId="0" fontId="44" fillId="4" borderId="10" xfId="0" applyFont="1" applyFill="1" applyBorder="1" applyAlignment="1" applyProtection="1">
      <alignment horizontal="left"/>
    </xf>
    <xf numFmtId="0" fontId="7" fillId="33" borderId="36" xfId="0" applyFont="1" applyFill="1" applyBorder="1" applyAlignment="1" applyProtection="1">
      <alignment horizontal="center" vertical="center" wrapText="1"/>
    </xf>
    <xf numFmtId="0" fontId="7" fillId="33" borderId="2" xfId="0" applyFont="1" applyFill="1" applyBorder="1" applyAlignment="1" applyProtection="1">
      <alignment horizontal="center" vertical="center" wrapText="1"/>
    </xf>
    <xf numFmtId="0" fontId="7" fillId="33" borderId="57" xfId="0" applyFont="1" applyFill="1" applyBorder="1" applyAlignment="1" applyProtection="1">
      <alignment horizontal="center" vertical="center" wrapText="1"/>
    </xf>
    <xf numFmtId="0" fontId="44" fillId="4" borderId="0" xfId="0" applyFont="1" applyFill="1" applyBorder="1" applyAlignment="1" applyProtection="1">
      <alignment horizontal="left"/>
    </xf>
    <xf numFmtId="0" fontId="44" fillId="4" borderId="3" xfId="0" applyFont="1" applyFill="1" applyBorder="1" applyAlignment="1" applyProtection="1">
      <alignment horizontal="left"/>
    </xf>
    <xf numFmtId="0" fontId="7" fillId="26" borderId="2" xfId="0" applyFont="1" applyFill="1" applyBorder="1" applyAlignment="1" applyProtection="1">
      <alignment horizontal="center" vertical="center" wrapText="1"/>
    </xf>
    <xf numFmtId="0" fontId="7" fillId="30" borderId="36" xfId="0" applyFont="1" applyFill="1" applyBorder="1" applyAlignment="1" applyProtection="1">
      <alignment horizontal="center" vertical="center" wrapText="1"/>
    </xf>
    <xf numFmtId="0" fontId="7" fillId="30" borderId="57" xfId="0" applyFont="1" applyFill="1" applyBorder="1" applyAlignment="1" applyProtection="1">
      <alignment horizontal="center" vertical="center" wrapText="1"/>
    </xf>
    <xf numFmtId="0" fontId="7" fillId="30" borderId="2"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8" borderId="36" xfId="0" applyFont="1" applyFill="1" applyBorder="1" applyAlignment="1" applyProtection="1">
      <alignment horizontal="center" vertical="center" wrapText="1"/>
    </xf>
    <xf numFmtId="0" fontId="7" fillId="28" borderId="2" xfId="0" applyFont="1" applyFill="1" applyBorder="1" applyAlignment="1" applyProtection="1">
      <alignment horizontal="center" vertical="center" wrapText="1"/>
    </xf>
    <xf numFmtId="0" fontId="7" fillId="28" borderId="57" xfId="0" applyFont="1" applyFill="1" applyBorder="1" applyAlignment="1" applyProtection="1">
      <alignment horizontal="center" vertical="center" wrapText="1"/>
    </xf>
    <xf numFmtId="0" fontId="7" fillId="27" borderId="36" xfId="0" applyFont="1" applyFill="1" applyBorder="1" applyAlignment="1" applyProtection="1">
      <alignment horizontal="center" vertical="center" wrapText="1"/>
    </xf>
    <xf numFmtId="0" fontId="7" fillId="27" borderId="57" xfId="0" applyFont="1" applyFill="1" applyBorder="1" applyAlignment="1" applyProtection="1">
      <alignment horizontal="center" vertical="center" wrapText="1"/>
    </xf>
    <xf numFmtId="0" fontId="7" fillId="25" borderId="36" xfId="0" applyFont="1" applyFill="1" applyBorder="1" applyAlignment="1" applyProtection="1">
      <alignment horizontal="center" vertical="center" wrapText="1"/>
    </xf>
    <xf numFmtId="0" fontId="7" fillId="25" borderId="2" xfId="0" applyFont="1" applyFill="1" applyBorder="1" applyAlignment="1" applyProtection="1">
      <alignment horizontal="center" vertical="center" wrapText="1"/>
    </xf>
    <xf numFmtId="0" fontId="7" fillId="29" borderId="36" xfId="0" applyFont="1" applyFill="1" applyBorder="1" applyAlignment="1" applyProtection="1">
      <alignment horizontal="center" vertical="center" wrapText="1"/>
    </xf>
    <xf numFmtId="0" fontId="7" fillId="29" borderId="2" xfId="0" applyFont="1" applyFill="1" applyBorder="1" applyAlignment="1" applyProtection="1">
      <alignment horizontal="center" vertical="center" wrapText="1"/>
    </xf>
    <xf numFmtId="0" fontId="43" fillId="4" borderId="0" xfId="0" applyFont="1" applyFill="1" applyBorder="1" applyAlignment="1" applyProtection="1">
      <alignment horizontal="center" wrapText="1"/>
    </xf>
    <xf numFmtId="0" fontId="43" fillId="4" borderId="3" xfId="0" applyFont="1" applyFill="1" applyBorder="1" applyAlignment="1" applyProtection="1">
      <alignment horizontal="center" wrapText="1"/>
    </xf>
    <xf numFmtId="3" fontId="6" fillId="4" borderId="30" xfId="0" applyNumberFormat="1" applyFont="1" applyFill="1" applyBorder="1" applyAlignment="1" applyProtection="1">
      <alignment horizontal="center" wrapText="1"/>
    </xf>
    <xf numFmtId="3" fontId="6" fillId="4" borderId="10" xfId="0" applyNumberFormat="1" applyFont="1" applyFill="1" applyBorder="1" applyAlignment="1" applyProtection="1">
      <alignment horizontal="center" wrapText="1"/>
    </xf>
    <xf numFmtId="3" fontId="6" fillId="4" borderId="38" xfId="0" applyNumberFormat="1" applyFont="1" applyFill="1" applyBorder="1" applyAlignment="1" applyProtection="1">
      <alignment horizontal="center" wrapText="1"/>
    </xf>
    <xf numFmtId="0" fontId="7" fillId="31" borderId="36" xfId="0" applyFont="1" applyFill="1" applyBorder="1" applyAlignment="1" applyProtection="1">
      <alignment horizontal="center" vertical="center" wrapText="1"/>
    </xf>
    <xf numFmtId="0" fontId="7" fillId="31" borderId="2" xfId="0" applyFont="1" applyFill="1" applyBorder="1" applyAlignment="1" applyProtection="1">
      <alignment horizontal="center" vertical="center" wrapText="1"/>
    </xf>
    <xf numFmtId="0" fontId="7" fillId="23" borderId="36" xfId="0" applyFont="1" applyFill="1" applyBorder="1" applyAlignment="1" applyProtection="1">
      <alignment horizontal="center" vertical="center" wrapText="1"/>
    </xf>
    <xf numFmtId="0" fontId="7" fillId="23" borderId="2" xfId="0" applyFont="1" applyFill="1" applyBorder="1" applyAlignment="1" applyProtection="1">
      <alignment horizontal="center" vertical="center" wrapText="1"/>
    </xf>
    <xf numFmtId="0" fontId="7" fillId="23" borderId="57" xfId="0" applyFont="1" applyFill="1" applyBorder="1" applyAlignment="1" applyProtection="1">
      <alignment horizontal="center" vertical="center" wrapText="1"/>
    </xf>
    <xf numFmtId="0" fontId="7" fillId="18" borderId="2" xfId="0" applyFont="1" applyFill="1" applyBorder="1" applyAlignment="1" applyProtection="1">
      <alignment horizontal="center" vertical="center" wrapText="1"/>
    </xf>
    <xf numFmtId="0" fontId="7" fillId="32" borderId="36" xfId="0" applyFont="1" applyFill="1" applyBorder="1" applyAlignment="1" applyProtection="1">
      <alignment horizontal="center" vertical="center" wrapText="1"/>
    </xf>
    <xf numFmtId="0" fontId="7" fillId="32" borderId="2" xfId="0" applyFont="1" applyFill="1" applyBorder="1" applyAlignment="1" applyProtection="1">
      <alignment horizontal="center" vertical="center" wrapText="1"/>
    </xf>
    <xf numFmtId="0" fontId="7" fillId="32" borderId="138" xfId="0" applyFont="1" applyFill="1" applyBorder="1" applyAlignment="1" applyProtection="1">
      <alignment horizontal="center" vertical="center" wrapText="1"/>
    </xf>
    <xf numFmtId="0" fontId="7" fillId="25" borderId="57" xfId="0" applyFont="1" applyFill="1" applyBorder="1" applyAlignment="1" applyProtection="1">
      <alignment horizontal="center" vertical="center" wrapText="1"/>
    </xf>
    <xf numFmtId="0" fontId="7" fillId="29" borderId="57" xfId="0" applyFont="1" applyFill="1" applyBorder="1" applyAlignment="1" applyProtection="1">
      <alignment horizontal="center" vertical="center" wrapText="1"/>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114" xfId="0" applyFont="1" applyBorder="1" applyAlignment="1">
      <alignment horizontal="left"/>
    </xf>
    <xf numFmtId="0" fontId="1" fillId="0" borderId="100" xfId="0" applyFont="1" applyBorder="1" applyAlignment="1">
      <alignment horizontal="left"/>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17" borderId="2" xfId="0" applyFont="1" applyFill="1" applyBorder="1" applyAlignment="1">
      <alignment horizontal="left" vertical="center"/>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73" xfId="0" applyFont="1" applyBorder="1" applyAlignment="1">
      <alignment horizontal="left"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1" fillId="0" borderId="0" xfId="0" applyFont="1" applyFill="1" applyBorder="1" applyAlignment="1" applyProtection="1">
      <alignment horizontal="left" vertical="top"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9CB188"/>
      <color rgb="FFD1D1C6"/>
      <color rgb="FFD1D69B"/>
      <color rgb="FF9FB188"/>
      <color rgb="FFA5DDE2"/>
      <color rgb="FFFFFF99"/>
      <color rgb="FFFFFFCC"/>
      <color rgb="FF008080"/>
      <color rgb="FFFFFF66"/>
      <color rgb="FFF7E8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2048" t="s">
        <v>231</v>
      </c>
      <c r="B1" s="2048"/>
      <c r="C1" s="2048"/>
      <c r="D1" s="2048"/>
      <c r="E1" s="2048"/>
      <c r="F1" s="2048"/>
      <c r="G1" s="2048"/>
      <c r="H1" s="2048"/>
      <c r="I1" s="2048"/>
      <c r="J1" s="2048"/>
      <c r="K1" s="2048"/>
      <c r="L1" s="2048"/>
      <c r="M1" s="2048"/>
    </row>
    <row r="2" spans="1:33" x14ac:dyDescent="0.2">
      <c r="A2" s="415"/>
      <c r="B2" s="2051" t="s">
        <v>236</v>
      </c>
      <c r="C2" s="2051"/>
      <c r="D2" s="2051"/>
      <c r="E2" s="2051"/>
      <c r="F2" s="418"/>
      <c r="G2" s="418"/>
      <c r="H2" s="416"/>
      <c r="I2" s="2051" t="s">
        <v>235</v>
      </c>
      <c r="J2" s="2051"/>
      <c r="K2" s="2051"/>
      <c r="L2" s="2051"/>
      <c r="M2" s="416"/>
    </row>
    <row r="3" spans="1:33" ht="18" x14ac:dyDescent="0.2">
      <c r="B3" s="57"/>
      <c r="D3" s="8"/>
      <c r="E3" s="8"/>
      <c r="F3" s="333"/>
      <c r="G3" s="415"/>
    </row>
    <row r="4" spans="1:33" s="330" customFormat="1" ht="27.75" customHeight="1" x14ac:dyDescent="0.2">
      <c r="A4" s="326"/>
      <c r="B4" s="327" t="s">
        <v>183</v>
      </c>
      <c r="C4" s="328"/>
      <c r="D4" s="2049"/>
      <c r="E4" s="2050"/>
      <c r="F4" s="525"/>
      <c r="G4" s="537"/>
      <c r="H4" s="530"/>
      <c r="I4" s="327" t="s">
        <v>184</v>
      </c>
      <c r="J4" s="328"/>
      <c r="K4" s="2049"/>
      <c r="L4" s="2050"/>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2716</v>
      </c>
      <c r="E8" s="136">
        <f t="shared" ref="E8:E18" si="0">D8*0.0929</f>
        <v>252.31639999999999</v>
      </c>
      <c r="F8" s="323"/>
      <c r="G8" s="540"/>
      <c r="H8" s="533"/>
      <c r="I8" s="314" t="s">
        <v>145</v>
      </c>
      <c r="J8" s="21"/>
      <c r="K8" s="135">
        <f>'Pre-Design Area Matrix'!L31</f>
        <v>2716</v>
      </c>
      <c r="L8" s="136">
        <f>K8*0.0929</f>
        <v>252.31639999999999</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3533</v>
      </c>
      <c r="E12" s="136">
        <f t="shared" si="0"/>
        <v>328.21569999999997</v>
      </c>
      <c r="F12" s="323"/>
      <c r="G12" s="540"/>
      <c r="H12" s="533"/>
      <c r="I12" s="512" t="s">
        <v>145</v>
      </c>
      <c r="J12" s="490"/>
      <c r="K12" s="548">
        <f>'Pre-Design Area Matrix'!L98</f>
        <v>0</v>
      </c>
      <c r="L12" s="549">
        <f>K12*0.0929</f>
        <v>0</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1200</v>
      </c>
      <c r="E13" s="156">
        <f t="shared" si="0"/>
        <v>111.47999999999999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2048" t="s">
        <v>230</v>
      </c>
      <c r="B31" s="2048"/>
      <c r="C31" s="2048"/>
      <c r="D31" s="2048"/>
      <c r="E31" s="2048"/>
      <c r="F31" s="2048"/>
      <c r="G31" s="2048"/>
      <c r="H31" s="2048"/>
      <c r="I31" s="2048"/>
      <c r="J31" s="2048"/>
      <c r="K31" s="2048"/>
      <c r="L31" s="2048"/>
      <c r="M31" s="2048"/>
    </row>
    <row r="32" spans="1:33" x14ac:dyDescent="0.2">
      <c r="A32" s="415"/>
      <c r="B32" s="2051" t="s">
        <v>228</v>
      </c>
      <c r="C32" s="2051"/>
      <c r="D32" s="2051"/>
      <c r="E32" s="2051"/>
      <c r="F32" s="418"/>
      <c r="G32" s="418"/>
      <c r="H32" s="416"/>
      <c r="I32" s="2051" t="s">
        <v>229</v>
      </c>
      <c r="J32" s="2051"/>
      <c r="K32" s="2051"/>
      <c r="L32" s="2051"/>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2049"/>
      <c r="E34" s="2050"/>
      <c r="F34" s="525"/>
      <c r="G34" s="537"/>
      <c r="H34" s="530"/>
      <c r="I34" s="327" t="s">
        <v>227</v>
      </c>
      <c r="J34" s="328"/>
      <c r="K34" s="2049"/>
      <c r="L34" s="2050"/>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2052" t="s">
        <v>159</v>
      </c>
      <c r="C4" s="2053"/>
      <c r="D4" s="2053"/>
      <c r="E4" s="2054"/>
      <c r="F4" s="227"/>
      <c r="G4" s="2055"/>
      <c r="H4" s="2056"/>
      <c r="I4" s="2056"/>
      <c r="J4" s="2057"/>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2052" t="s">
        <v>179</v>
      </c>
      <c r="C23" s="2053"/>
      <c r="D23" s="2053"/>
      <c r="E23" s="2054"/>
      <c r="F23" s="227"/>
      <c r="G23" s="2055"/>
      <c r="H23" s="2056"/>
      <c r="I23" s="2056"/>
      <c r="J23" s="2057"/>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2052" t="s">
        <v>180</v>
      </c>
      <c r="C46" s="2053"/>
      <c r="D46" s="2053"/>
      <c r="E46" s="2054"/>
      <c r="F46" s="227"/>
      <c r="G46" s="2055"/>
      <c r="H46" s="2056"/>
      <c r="I46" s="2056"/>
      <c r="J46" s="2057"/>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2058" t="s">
        <v>174</v>
      </c>
      <c r="C2" s="2059"/>
      <c r="D2" s="2059"/>
      <c r="E2" s="2060"/>
      <c r="F2" s="230"/>
      <c r="G2" s="229"/>
      <c r="H2" s="229"/>
      <c r="I2" s="229"/>
      <c r="J2" s="61"/>
    </row>
    <row r="3" spans="2:10" s="161" customFormat="1" ht="15" x14ac:dyDescent="0.25">
      <c r="B3" s="2065" t="s">
        <v>169</v>
      </c>
      <c r="C3" s="2066"/>
      <c r="D3" s="2066"/>
      <c r="E3" s="2067"/>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2362" t="s">
        <v>176</v>
      </c>
      <c r="E5" s="2363"/>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2065" t="s">
        <v>171</v>
      </c>
      <c r="C7" s="2066"/>
      <c r="D7" s="2066"/>
      <c r="E7" s="2067"/>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2362" t="s">
        <v>176</v>
      </c>
      <c r="E9" s="2363"/>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2065" t="s">
        <v>173</v>
      </c>
      <c r="C17" s="2066"/>
      <c r="D17" s="2066"/>
      <c r="E17" s="2067"/>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2070" t="s">
        <v>176</v>
      </c>
      <c r="E19" s="2069"/>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2222"/>
      <c r="M6" s="2223"/>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2365" t="s">
        <v>202</v>
      </c>
      <c r="D78" s="2366"/>
      <c r="E78" s="2366"/>
      <c r="F78" s="2366"/>
      <c r="G78" s="2366"/>
      <c r="H78" s="2366"/>
      <c r="I78" s="2366"/>
      <c r="J78" s="2366"/>
      <c r="K78" s="2367"/>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2364" t="s">
        <v>152</v>
      </c>
      <c r="P86" s="2364"/>
      <c r="Q86" s="2364"/>
      <c r="R86" s="2364"/>
      <c r="S86" s="2364"/>
      <c r="T86" s="2364"/>
      <c r="U86" s="2364"/>
      <c r="V86" s="2364"/>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2222" t="s">
        <v>256</v>
      </c>
      <c r="K6" s="2223"/>
      <c r="L6" s="48"/>
      <c r="M6" s="49" t="s">
        <v>8</v>
      </c>
      <c r="N6" s="592"/>
      <c r="O6" s="49" t="s">
        <v>106</v>
      </c>
      <c r="P6" s="603"/>
      <c r="Q6" s="49" t="s">
        <v>4</v>
      </c>
      <c r="R6" s="603"/>
      <c r="S6" s="2222" t="s">
        <v>303</v>
      </c>
      <c r="T6" s="2223"/>
      <c r="U6" s="48"/>
      <c r="V6" s="49" t="s">
        <v>8</v>
      </c>
      <c r="W6" s="592"/>
      <c r="X6" s="49" t="s">
        <v>106</v>
      </c>
      <c r="Y6" s="603"/>
      <c r="Z6" s="49" t="s">
        <v>4</v>
      </c>
      <c r="AA6" s="603"/>
      <c r="AB6" s="2222" t="s">
        <v>368</v>
      </c>
      <c r="AC6" s="2223"/>
      <c r="AD6" s="48"/>
      <c r="AE6" s="2368" t="s">
        <v>361</v>
      </c>
      <c r="AF6" s="2369"/>
      <c r="AG6" s="48"/>
      <c r="AH6" s="2370" t="s">
        <v>363</v>
      </c>
      <c r="AI6" s="2371"/>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2372" t="s">
        <v>381</v>
      </c>
      <c r="G2" s="2373"/>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2374" t="s">
        <v>366</v>
      </c>
      <c r="C1" s="2375"/>
    </row>
    <row r="2" spans="1:55" x14ac:dyDescent="0.2">
      <c r="B2" s="2376" t="s">
        <v>365</v>
      </c>
      <c r="C2" s="2377"/>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2052" t="s">
        <v>103</v>
      </c>
      <c r="C4" s="2053"/>
      <c r="D4" s="2053"/>
      <c r="E4" s="2054"/>
      <c r="F4" s="219"/>
      <c r="G4" s="2055"/>
      <c r="H4" s="2056"/>
      <c r="I4" s="2056"/>
      <c r="J4" s="2057"/>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2052" t="s">
        <v>177</v>
      </c>
      <c r="C43" s="2053"/>
      <c r="D43" s="2053"/>
      <c r="E43" s="2054"/>
      <c r="F43" s="227"/>
      <c r="G43" s="2055"/>
      <c r="H43" s="2056"/>
      <c r="I43" s="2056"/>
      <c r="J43" s="2057"/>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2052" t="s">
        <v>178</v>
      </c>
      <c r="C66" s="2053"/>
      <c r="D66" s="2053"/>
      <c r="E66" s="2054"/>
      <c r="F66" s="227"/>
      <c r="G66" s="2055"/>
      <c r="H66" s="2056"/>
      <c r="I66" s="2056"/>
      <c r="J66" s="2057"/>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2058" t="s">
        <v>175</v>
      </c>
      <c r="C2" s="2059"/>
      <c r="D2" s="2059"/>
      <c r="E2" s="2060"/>
      <c r="F2" s="230"/>
      <c r="G2" s="229"/>
      <c r="H2" s="229"/>
      <c r="I2" s="229"/>
      <c r="J2" s="61"/>
    </row>
    <row r="3" spans="2:10" s="161" customFormat="1" ht="15" x14ac:dyDescent="0.25">
      <c r="B3" s="2065" t="s">
        <v>168</v>
      </c>
      <c r="C3" s="2066"/>
      <c r="D3" s="2066"/>
      <c r="E3" s="2067"/>
      <c r="F3" s="223"/>
      <c r="G3" s="223"/>
      <c r="H3" s="223"/>
      <c r="I3" s="223"/>
      <c r="J3" s="275"/>
    </row>
    <row r="4" spans="2:10" s="86" customFormat="1" ht="14.25" x14ac:dyDescent="0.2">
      <c r="B4" s="496" t="s">
        <v>156</v>
      </c>
      <c r="C4" s="274">
        <v>3</v>
      </c>
      <c r="D4" s="2061" t="s">
        <v>107</v>
      </c>
      <c r="E4" s="2062"/>
      <c r="F4" s="230"/>
      <c r="G4" s="229"/>
      <c r="H4" s="229"/>
      <c r="I4" s="229"/>
      <c r="J4" s="61"/>
    </row>
    <row r="5" spans="2:10" s="86" customFormat="1" ht="14.25" x14ac:dyDescent="0.2">
      <c r="B5" s="496" t="s">
        <v>217</v>
      </c>
      <c r="C5" s="404">
        <f>PRODUCT('SQUAD OPS PERSONNEL'!E41)*0.6</f>
        <v>50.4</v>
      </c>
      <c r="D5" s="2063" t="s">
        <v>176</v>
      </c>
      <c r="E5" s="2064"/>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2065" t="s">
        <v>170</v>
      </c>
      <c r="C7" s="2066"/>
      <c r="D7" s="2066"/>
      <c r="E7" s="2067"/>
      <c r="F7" s="223"/>
      <c r="G7" s="223"/>
      <c r="H7" s="223"/>
      <c r="I7" s="223"/>
      <c r="J7" s="275"/>
    </row>
    <row r="8" spans="2:10" s="86" customFormat="1" ht="14.25" x14ac:dyDescent="0.2">
      <c r="B8" s="496" t="s">
        <v>156</v>
      </c>
      <c r="C8" s="274">
        <v>0</v>
      </c>
      <c r="D8" s="2061" t="s">
        <v>107</v>
      </c>
      <c r="E8" s="2062"/>
      <c r="F8" s="230"/>
      <c r="G8" s="229"/>
      <c r="H8" s="229"/>
      <c r="I8" s="229"/>
      <c r="J8" s="61"/>
    </row>
    <row r="9" spans="2:10" s="86" customFormat="1" ht="14.25" x14ac:dyDescent="0.2">
      <c r="B9" s="496" t="s">
        <v>217</v>
      </c>
      <c r="C9" s="404">
        <f>PRODUCT('SQUAD OPS PERSONNEL'!E63)*0.6</f>
        <v>39</v>
      </c>
      <c r="D9" s="2063" t="s">
        <v>176</v>
      </c>
      <c r="E9" s="2064"/>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2065" t="s">
        <v>172</v>
      </c>
      <c r="C17" s="2066"/>
      <c r="D17" s="2066"/>
      <c r="E17" s="2067"/>
      <c r="F17" s="223"/>
      <c r="G17" s="223"/>
      <c r="H17" s="223"/>
      <c r="I17" s="223"/>
      <c r="J17" s="275"/>
    </row>
    <row r="18" spans="2:10" s="212" customFormat="1" ht="14.25" x14ac:dyDescent="0.2">
      <c r="B18" s="500" t="s">
        <v>156</v>
      </c>
      <c r="C18" s="463">
        <v>0</v>
      </c>
      <c r="D18" s="2068" t="s">
        <v>107</v>
      </c>
      <c r="E18" s="2069"/>
      <c r="F18" s="390"/>
      <c r="G18" s="464"/>
      <c r="H18" s="464"/>
      <c r="I18" s="464"/>
      <c r="J18" s="465"/>
    </row>
    <row r="19" spans="2:10" s="212" customFormat="1" ht="14.25" x14ac:dyDescent="0.2">
      <c r="B19" s="500" t="s">
        <v>217</v>
      </c>
      <c r="C19" s="466">
        <f>PRODUCT('SQUAD OPS PERSONNEL'!E84)*0.6</f>
        <v>0</v>
      </c>
      <c r="D19" s="2070" t="s">
        <v>176</v>
      </c>
      <c r="E19" s="2071"/>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D19:E19"/>
    <mergeCell ref="B3:E3"/>
    <mergeCell ref="D4:E4"/>
    <mergeCell ref="D5:E5"/>
    <mergeCell ref="B7:E7"/>
    <mergeCell ref="B2:E2"/>
    <mergeCell ref="D8:E8"/>
    <mergeCell ref="D9:E9"/>
    <mergeCell ref="B17:E17"/>
    <mergeCell ref="D18:E18"/>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51" zoomScale="125" zoomScaleNormal="125" workbookViewId="0">
      <selection activeCell="I162" sqref="I162"/>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2191" t="s">
        <v>842</v>
      </c>
      <c r="B2" s="2192"/>
      <c r="C2" s="2192"/>
      <c r="D2" s="2192"/>
      <c r="E2" s="2192"/>
      <c r="F2" s="2192"/>
      <c r="G2" s="2192"/>
      <c r="H2" s="2192"/>
      <c r="I2" s="2192"/>
      <c r="J2" s="2192"/>
      <c r="K2" s="2192"/>
      <c r="L2" s="2192"/>
      <c r="M2" s="2192"/>
      <c r="N2" s="2192"/>
      <c r="O2" s="2192"/>
      <c r="P2" s="2192"/>
      <c r="Q2" s="2192"/>
      <c r="R2" s="2192"/>
      <c r="S2" s="2193"/>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2197" t="s">
        <v>407</v>
      </c>
      <c r="G5" s="2197"/>
      <c r="H5" s="2197"/>
      <c r="I5" s="2197"/>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536</v>
      </c>
      <c r="C8" s="794"/>
      <c r="D8" s="794"/>
      <c r="E8" s="794"/>
      <c r="F8" s="794"/>
      <c r="G8" s="2196" t="s">
        <v>412</v>
      </c>
      <c r="H8" s="2196"/>
      <c r="I8" s="2196"/>
      <c r="J8" s="794"/>
      <c r="K8" s="899" t="str">
        <f>"Select Class of Facility"</f>
        <v>Select Class of Facility</v>
      </c>
      <c r="O8" s="795"/>
      <c r="P8" s="2196" t="s">
        <v>415</v>
      </c>
      <c r="Q8" s="2196"/>
      <c r="R8" s="2196"/>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2102"/>
      <c r="R10" s="2102"/>
      <c r="S10" s="934"/>
      <c r="T10" s="783"/>
    </row>
    <row r="11" spans="1:20" s="784" customFormat="1" ht="13.5" customHeight="1" x14ac:dyDescent="0.2">
      <c r="A11" s="793" t="s">
        <v>735</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736</v>
      </c>
      <c r="C13" s="821"/>
      <c r="D13" s="821"/>
      <c r="E13" s="821"/>
      <c r="F13" s="821"/>
      <c r="G13" s="821"/>
      <c r="H13" s="947">
        <v>8</v>
      </c>
      <c r="I13" s="901">
        <f>IF(I5=0,0,I5+I7)</f>
        <v>0</v>
      </c>
      <c r="J13" s="887" t="s">
        <v>739</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539</v>
      </c>
      <c r="B16" s="899"/>
      <c r="C16" s="899"/>
      <c r="D16" s="899"/>
      <c r="E16" s="899"/>
      <c r="F16" s="899"/>
      <c r="G16" s="899"/>
      <c r="H16" s="899"/>
      <c r="I16" s="899"/>
      <c r="J16" s="2141" t="s">
        <v>531</v>
      </c>
      <c r="K16" s="2141" t="s">
        <v>532</v>
      </c>
      <c r="L16" s="2141" t="s">
        <v>683</v>
      </c>
      <c r="M16" s="2132" t="s">
        <v>705</v>
      </c>
      <c r="N16" s="2133"/>
      <c r="O16" s="806"/>
      <c r="P16" s="806"/>
      <c r="Q16" s="806"/>
      <c r="R16" s="806"/>
      <c r="S16" s="875"/>
      <c r="T16" s="783"/>
    </row>
    <row r="17" spans="1:20" s="784" customFormat="1" ht="13.5" customHeight="1" x14ac:dyDescent="0.2">
      <c r="A17" s="804"/>
      <c r="B17" s="880"/>
      <c r="C17" s="880"/>
      <c r="D17" s="880"/>
      <c r="E17" s="880"/>
      <c r="F17" s="880"/>
      <c r="G17" s="889"/>
      <c r="H17" s="880"/>
      <c r="I17" s="880"/>
      <c r="J17" s="2141"/>
      <c r="K17" s="2141"/>
      <c r="L17" s="2141"/>
      <c r="M17" s="2162" t="s">
        <v>528</v>
      </c>
      <c r="N17" s="2162" t="s">
        <v>401</v>
      </c>
      <c r="O17" s="862"/>
      <c r="P17" s="880"/>
      <c r="Q17" s="880"/>
      <c r="R17" s="806"/>
      <c r="S17" s="875"/>
      <c r="T17" s="783"/>
    </row>
    <row r="18" spans="1:20" s="784" customFormat="1" ht="13.5" x14ac:dyDescent="0.2">
      <c r="A18" s="804"/>
      <c r="B18" s="899" t="s">
        <v>782</v>
      </c>
      <c r="C18" s="880"/>
      <c r="D18" s="880"/>
      <c r="E18" s="880"/>
      <c r="F18" s="880"/>
      <c r="G18" s="2196" t="s">
        <v>495</v>
      </c>
      <c r="H18" s="2196"/>
      <c r="I18" s="2196"/>
      <c r="J18" s="2141"/>
      <c r="K18" s="2141"/>
      <c r="L18" s="2141"/>
      <c r="M18" s="2163"/>
      <c r="N18" s="2163"/>
      <c r="O18" s="862"/>
      <c r="P18" s="880"/>
      <c r="Q18" s="880"/>
      <c r="R18" s="806"/>
      <c r="S18" s="875"/>
      <c r="T18" s="783"/>
    </row>
    <row r="19" spans="1:20" s="784" customFormat="1" ht="13.5" customHeight="1" x14ac:dyDescent="0.2">
      <c r="A19" s="804"/>
      <c r="B19" s="2131" t="s">
        <v>538</v>
      </c>
      <c r="C19" s="2131"/>
      <c r="D19" s="2131"/>
      <c r="E19" s="2131"/>
      <c r="F19" s="2131"/>
      <c r="G19" s="2131"/>
      <c r="H19" s="2131"/>
      <c r="I19" s="2131"/>
      <c r="J19" s="2141"/>
      <c r="K19" s="2141"/>
      <c r="L19" s="2141"/>
      <c r="M19" s="2163"/>
      <c r="N19" s="2163"/>
      <c r="O19" s="800"/>
      <c r="P19" s="800"/>
      <c r="Q19" s="800"/>
      <c r="R19" s="800"/>
      <c r="S19" s="799"/>
      <c r="T19" s="783"/>
    </row>
    <row r="20" spans="1:20" s="784" customFormat="1" ht="13.5" customHeight="1" x14ac:dyDescent="0.2">
      <c r="B20" s="2140" t="str">
        <f>LOOKUP(G18,Data!F2:F53,Data!G2:G53)</f>
        <v>Air Force Vehicle Set 3</v>
      </c>
      <c r="C20" s="2140"/>
      <c r="D20" s="2140"/>
      <c r="E20" s="2140"/>
      <c r="F20" s="2140"/>
      <c r="G20" s="2140"/>
      <c r="H20" s="2140"/>
      <c r="I20" s="1077"/>
      <c r="J20" s="2141"/>
      <c r="K20" s="2141"/>
      <c r="L20" s="2141"/>
      <c r="M20" s="2164"/>
      <c r="N20" s="2164"/>
      <c r="O20" s="2195" t="s">
        <v>785</v>
      </c>
      <c r="P20" s="2195"/>
      <c r="Q20" s="2195"/>
      <c r="R20" s="2195"/>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2079" t="str">
        <f>IF(NOT(B21=0),LOOKUP(B21,Data!$I$61:$I$70,Data!$K$61:$K$70),"")</f>
        <v>Large Structural</v>
      </c>
      <c r="P21" s="2161"/>
      <c r="Q21" s="2161"/>
      <c r="R21" s="2080"/>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2079" t="str">
        <f>IF(NOT(B22=0),LOOKUP(B22,Data!$I$61:$I$70,Data!$K$61:$K$70),"")</f>
        <v>Large Structural</v>
      </c>
      <c r="P22" s="2161"/>
      <c r="Q22" s="2161"/>
      <c r="R22" s="2080"/>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2079" t="str">
        <f>IF(NOT(B23=0),LOOKUP(B23,Data!$I$61:$I$70,Data!$K$61:$K$70),"")</f>
        <v>Small</v>
      </c>
      <c r="P23" s="2161"/>
      <c r="Q23" s="2161"/>
      <c r="R23" s="2080"/>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2079" t="str">
        <f>IF(NOT(B24=0),LOOKUP(B24,Data!$I$61:$I$70,Data!$K$61:$K$70),"")</f>
        <v>Medium Structural</v>
      </c>
      <c r="P24" s="2161"/>
      <c r="Q24" s="2161"/>
      <c r="R24" s="2080"/>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2079" t="str">
        <f>IF(NOT(B25=0),LOOKUP(B25,Data!$I$61:$I$70,Data!$K$61:$K$70),"")</f>
        <v>Large ARFF</v>
      </c>
      <c r="P25" s="2161"/>
      <c r="Q25" s="2161"/>
      <c r="R25" s="2080"/>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2079" t="str">
        <f>IF(NOT(B26=0),LOOKUP(B26,Data!$I$61:$I$70,Data!$K$61:$K$70),"")</f>
        <v>Medium ARFF</v>
      </c>
      <c r="P26" s="2161"/>
      <c r="Q26" s="2161"/>
      <c r="R26" s="2080"/>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2079" t="str">
        <f>IF(NOT(B27=0),LOOKUP(B27,Data!$I$61:$I$70,Data!$K$61:$K$70),"")</f>
        <v>Small</v>
      </c>
      <c r="P27" s="2161"/>
      <c r="Q27" s="2161"/>
      <c r="R27" s="2080"/>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2079" t="str">
        <f>IF(NOT(B28=0),LOOKUP(B28,Data!$I$61:$I$70,Data!$K$61:$K$70),"")</f>
        <v>Medium Structural</v>
      </c>
      <c r="P28" s="2161"/>
      <c r="Q28" s="2161"/>
      <c r="R28" s="2080"/>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2079" t="str">
        <f>IF(NOT(B29=0),LOOKUP(B29,Data!$I$61:$I$70,Data!$K$61:$K$70),"")</f>
        <v>Small</v>
      </c>
      <c r="P29" s="2161"/>
      <c r="Q29" s="2161"/>
      <c r="R29" s="2080"/>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2079" t="str">
        <f>IF(NOT(B30=0),LOOKUP(B30,Data!$I$61:$I$70,Data!$K$61:$K$70),"")</f>
        <v>Small</v>
      </c>
      <c r="P30" s="2161"/>
      <c r="Q30" s="2161"/>
      <c r="R30" s="2080"/>
      <c r="S30" s="799"/>
      <c r="T30" s="783"/>
    </row>
    <row r="31" spans="1:20" s="784" customFormat="1" ht="14.25" customHeight="1" x14ac:dyDescent="0.2">
      <c r="A31" s="804"/>
      <c r="B31" s="904"/>
      <c r="C31" s="902"/>
      <c r="D31" s="902"/>
      <c r="E31" s="902"/>
      <c r="F31" s="902"/>
      <c r="G31" s="902"/>
      <c r="H31" s="902"/>
      <c r="I31" s="902"/>
      <c r="J31" s="881" t="s">
        <v>540</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2151" t="s">
        <v>801</v>
      </c>
      <c r="C33" s="2152"/>
      <c r="D33" s="2155" t="s">
        <v>417</v>
      </c>
      <c r="E33" s="2148" t="s">
        <v>800</v>
      </c>
      <c r="F33" s="2148" t="s">
        <v>569</v>
      </c>
      <c r="G33" s="2137" t="s">
        <v>564</v>
      </c>
      <c r="H33" s="2138"/>
      <c r="I33" s="2138"/>
      <c r="J33" s="2138"/>
      <c r="K33" s="2138"/>
      <c r="L33" s="2138"/>
      <c r="M33" s="2138"/>
      <c r="N33" s="2138"/>
      <c r="O33" s="2138"/>
      <c r="P33" s="2138"/>
      <c r="Q33" s="2138"/>
      <c r="R33" s="2139"/>
      <c r="S33" s="771"/>
      <c r="T33" s="783"/>
    </row>
    <row r="34" spans="1:20" s="784" customFormat="1" ht="12.75" customHeight="1" x14ac:dyDescent="0.2">
      <c r="A34" s="804"/>
      <c r="B34" s="2153"/>
      <c r="C34" s="2154"/>
      <c r="D34" s="2156"/>
      <c r="E34" s="2149"/>
      <c r="F34" s="2149"/>
      <c r="G34" s="2151" t="s">
        <v>558</v>
      </c>
      <c r="H34" s="2152"/>
      <c r="I34" s="2168"/>
      <c r="J34" s="2137" t="s">
        <v>563</v>
      </c>
      <c r="K34" s="2138"/>
      <c r="L34" s="2138"/>
      <c r="M34" s="2138"/>
      <c r="N34" s="2138"/>
      <c r="O34" s="2138"/>
      <c r="P34" s="2138"/>
      <c r="Q34" s="2138"/>
      <c r="R34" s="2139"/>
      <c r="S34" s="771"/>
      <c r="T34" s="783"/>
    </row>
    <row r="35" spans="1:20" s="784" customFormat="1" x14ac:dyDescent="0.2">
      <c r="A35" s="804"/>
      <c r="B35" s="2177" t="s">
        <v>785</v>
      </c>
      <c r="C35" s="2178"/>
      <c r="D35" s="2178"/>
      <c r="E35" s="2149"/>
      <c r="F35" s="2149"/>
      <c r="G35" s="2153"/>
      <c r="H35" s="2154"/>
      <c r="I35" s="2169"/>
      <c r="J35" s="2134" t="s">
        <v>560</v>
      </c>
      <c r="K35" s="2135"/>
      <c r="L35" s="2136"/>
      <c r="M35" s="2134" t="s">
        <v>561</v>
      </c>
      <c r="N35" s="2135"/>
      <c r="O35" s="2136"/>
      <c r="P35" s="2134" t="s">
        <v>562</v>
      </c>
      <c r="Q35" s="2135"/>
      <c r="R35" s="2136"/>
      <c r="S35" s="771"/>
      <c r="T35" s="783"/>
    </row>
    <row r="36" spans="1:20" s="784" customFormat="1" ht="12.75" customHeight="1" x14ac:dyDescent="0.2">
      <c r="A36" s="804"/>
      <c r="B36" s="2179"/>
      <c r="C36" s="2180"/>
      <c r="D36" s="2180"/>
      <c r="E36" s="2150"/>
      <c r="F36" s="2150"/>
      <c r="G36" s="2134" t="s">
        <v>799</v>
      </c>
      <c r="H36" s="2136"/>
      <c r="I36" s="1159" t="s">
        <v>559</v>
      </c>
      <c r="J36" s="2134" t="s">
        <v>565</v>
      </c>
      <c r="K36" s="2136"/>
      <c r="L36" s="1159" t="s">
        <v>559</v>
      </c>
      <c r="M36" s="2134" t="s">
        <v>565</v>
      </c>
      <c r="N36" s="2136"/>
      <c r="O36" s="1159" t="s">
        <v>559</v>
      </c>
      <c r="P36" s="2134" t="s">
        <v>565</v>
      </c>
      <c r="Q36" s="2136"/>
      <c r="R36" s="1159" t="s">
        <v>559</v>
      </c>
      <c r="S36" s="771"/>
      <c r="T36" s="783"/>
    </row>
    <row r="37" spans="1:20" s="784" customFormat="1" x14ac:dyDescent="0.2">
      <c r="A37" s="804"/>
      <c r="B37" s="949" t="s">
        <v>522</v>
      </c>
      <c r="C37" s="950"/>
      <c r="D37" s="950"/>
      <c r="E37" s="1162"/>
      <c r="F37" s="945">
        <f>IF(D33="Yes",Data!N18,E37)</f>
        <v>0</v>
      </c>
      <c r="G37" s="2181"/>
      <c r="H37" s="2182"/>
      <c r="I37" s="945"/>
      <c r="J37" s="2110"/>
      <c r="K37" s="2111"/>
      <c r="L37" s="945"/>
      <c r="M37" s="2110"/>
      <c r="N37" s="2111"/>
      <c r="O37" s="945"/>
      <c r="P37" s="2110"/>
      <c r="Q37" s="2111"/>
      <c r="R37" s="945"/>
      <c r="S37" s="771"/>
      <c r="T37" s="783"/>
    </row>
    <row r="38" spans="1:20" s="784" customFormat="1" x14ac:dyDescent="0.2">
      <c r="A38" s="804"/>
      <c r="B38" s="949" t="s">
        <v>778</v>
      </c>
      <c r="C38" s="950"/>
      <c r="D38" s="950"/>
      <c r="E38" s="1162">
        <v>2</v>
      </c>
      <c r="F38" s="945">
        <f>IF(D33="Yes",Data!O18,E38)</f>
        <v>2</v>
      </c>
      <c r="G38" s="2183">
        <f>IF(F38&gt;0,14630,0)</f>
        <v>14630</v>
      </c>
      <c r="H38" s="2184"/>
      <c r="I38" s="945">
        <f>IF(F38&gt;0,48,0)</f>
        <v>48</v>
      </c>
      <c r="J38" s="2157">
        <f>IF(F38&gt;0,14630,0)</f>
        <v>14630</v>
      </c>
      <c r="K38" s="2158"/>
      <c r="L38" s="945">
        <f>IF(F38&gt;0,22,0)</f>
        <v>22</v>
      </c>
      <c r="M38" s="2157">
        <f>IF(F38&gt;0,6706,0)</f>
        <v>6706</v>
      </c>
      <c r="N38" s="2158"/>
      <c r="O38" s="945">
        <f>IF(F38&gt;0,17,0)</f>
        <v>17</v>
      </c>
      <c r="P38" s="2157">
        <f>IF(F38&gt;0,5944,0)</f>
        <v>5944</v>
      </c>
      <c r="Q38" s="2158"/>
      <c r="R38" s="945">
        <f>IF(F38&gt;0,19.5,0)</f>
        <v>19.5</v>
      </c>
      <c r="S38" s="771"/>
      <c r="T38" s="783"/>
    </row>
    <row r="39" spans="1:20" s="784" customFormat="1" x14ac:dyDescent="0.2">
      <c r="A39" s="804"/>
      <c r="B39" s="949" t="s">
        <v>779</v>
      </c>
      <c r="C39" s="950"/>
      <c r="D39" s="950"/>
      <c r="E39" s="1162">
        <v>0</v>
      </c>
      <c r="F39" s="945">
        <f>IF(D33="Yes",Data!P18,E39)</f>
        <v>0</v>
      </c>
      <c r="G39" s="2183">
        <f>IF(F39&gt;0,18288,0)</f>
        <v>0</v>
      </c>
      <c r="H39" s="2184"/>
      <c r="I39" s="945">
        <f>IF(F39&gt;0,60,0)</f>
        <v>0</v>
      </c>
      <c r="J39" s="2157">
        <f>IF(F39&gt;0,18288,0)</f>
        <v>0</v>
      </c>
      <c r="K39" s="2158"/>
      <c r="L39" s="951">
        <f>IF(F39&gt;0,22,0)</f>
        <v>0</v>
      </c>
      <c r="M39" s="2157">
        <f>IF(F39&gt;0,6706,0)</f>
        <v>0</v>
      </c>
      <c r="N39" s="2158"/>
      <c r="O39" s="951">
        <f>IF(F39&gt;0,17,0)</f>
        <v>0</v>
      </c>
      <c r="P39" s="2157">
        <f>IF(F39&gt;0,5944,0)</f>
        <v>0</v>
      </c>
      <c r="Q39" s="2158"/>
      <c r="R39" s="951">
        <f>IF(F39&gt;0,19.5,0)</f>
        <v>0</v>
      </c>
      <c r="S39" s="771"/>
      <c r="T39" s="783"/>
    </row>
    <row r="40" spans="1:20" s="784" customFormat="1" x14ac:dyDescent="0.2">
      <c r="A40" s="804"/>
      <c r="B40" s="949" t="s">
        <v>780</v>
      </c>
      <c r="C40" s="950"/>
      <c r="D40" s="950"/>
      <c r="E40" s="1162">
        <v>0</v>
      </c>
      <c r="F40" s="945">
        <f>IF(D33="Yes",Data!Q18,E40)</f>
        <v>0</v>
      </c>
      <c r="G40" s="2183">
        <f>IF(F40&gt;0,14630,0)</f>
        <v>0</v>
      </c>
      <c r="H40" s="2184"/>
      <c r="I40" s="945">
        <f>IF(F40&gt;0,48,0)</f>
        <v>0</v>
      </c>
      <c r="J40" s="2157">
        <f>IF(F40&gt;0,14630,0)</f>
        <v>0</v>
      </c>
      <c r="K40" s="2158"/>
      <c r="L40" s="951">
        <f>IF(F40&gt;0,24,0)</f>
        <v>0</v>
      </c>
      <c r="M40" s="2157">
        <f>IF(F40&gt;0,7315,0)</f>
        <v>0</v>
      </c>
      <c r="N40" s="2158"/>
      <c r="O40" s="951">
        <f>IF(F40&gt;0,19.5,0)</f>
        <v>0</v>
      </c>
      <c r="P40" s="2157">
        <f>IF(F40&gt;0,6706,0)</f>
        <v>0</v>
      </c>
      <c r="Q40" s="2158"/>
      <c r="R40" s="951">
        <f>IF(F40&gt;0,22,0)</f>
        <v>0</v>
      </c>
      <c r="S40" s="771"/>
      <c r="T40" s="783"/>
    </row>
    <row r="41" spans="1:20" s="784" customFormat="1" ht="13.5" thickBot="1" x14ac:dyDescent="0.25">
      <c r="A41" s="804"/>
      <c r="B41" s="952" t="s">
        <v>781</v>
      </c>
      <c r="C41" s="953"/>
      <c r="D41" s="953"/>
      <c r="E41" s="1163">
        <v>0</v>
      </c>
      <c r="F41" s="954">
        <f>IF(D33="Yes",Data!R18,E41)</f>
        <v>0</v>
      </c>
      <c r="G41" s="2185">
        <f>IF(F41&gt;0,18288,0)</f>
        <v>0</v>
      </c>
      <c r="H41" s="2186"/>
      <c r="I41" s="954">
        <f>IF(F41&gt;0,60,0)</f>
        <v>0</v>
      </c>
      <c r="J41" s="2159">
        <f>IF(F41&gt;0,18288,0)</f>
        <v>0</v>
      </c>
      <c r="K41" s="2160"/>
      <c r="L41" s="955">
        <f>IF(F41&gt;0,24,0)</f>
        <v>0</v>
      </c>
      <c r="M41" s="2159">
        <f>IF(F41&gt;0,7315,0)</f>
        <v>0</v>
      </c>
      <c r="N41" s="2160"/>
      <c r="O41" s="955">
        <f>IF(F41&gt;0,19.5,0)</f>
        <v>0</v>
      </c>
      <c r="P41" s="2159">
        <f>IF(F41&gt;0,6706,0)</f>
        <v>0</v>
      </c>
      <c r="Q41" s="2160"/>
      <c r="R41" s="955">
        <f>IF(F41&gt;0,22,0)</f>
        <v>0</v>
      </c>
      <c r="S41" s="771"/>
      <c r="T41" s="783"/>
    </row>
    <row r="42" spans="1:20" s="784" customFormat="1" ht="13.5" thickTop="1" x14ac:dyDescent="0.2">
      <c r="A42" s="804"/>
      <c r="B42" s="956" t="s">
        <v>568</v>
      </c>
      <c r="C42" s="957"/>
      <c r="D42" s="957"/>
      <c r="E42" s="957"/>
      <c r="F42" s="958"/>
      <c r="G42" s="2187">
        <f>LARGE(G38:G41,1)</f>
        <v>14630</v>
      </c>
      <c r="H42" s="2188"/>
      <c r="I42" s="959">
        <f>LARGE(I38:I41,1)</f>
        <v>48</v>
      </c>
      <c r="J42" s="2189">
        <f>LARGE(J38:J41,1)</f>
        <v>14630</v>
      </c>
      <c r="K42" s="2190"/>
      <c r="L42" s="959">
        <f>LARGE(L38:L41,1)</f>
        <v>22</v>
      </c>
      <c r="M42" s="2189">
        <f>LARGE(M38:M41,1)</f>
        <v>6706</v>
      </c>
      <c r="N42" s="2190"/>
      <c r="O42" s="959">
        <f>LARGE(O38:O41,1)</f>
        <v>17</v>
      </c>
      <c r="P42" s="2189">
        <f>LARGE(P38:P41,1)</f>
        <v>5944</v>
      </c>
      <c r="Q42" s="2190"/>
      <c r="R42" s="959">
        <f>LARGE(R38:R41,1)</f>
        <v>19.5</v>
      </c>
      <c r="S42" s="771"/>
      <c r="T42" s="783"/>
    </row>
    <row r="43" spans="1:20" s="784" customFormat="1" ht="14.25" x14ac:dyDescent="0.2">
      <c r="A43" s="804"/>
      <c r="B43" s="2142" t="s">
        <v>787</v>
      </c>
      <c r="C43" s="2143"/>
      <c r="D43" s="2143"/>
      <c r="E43" s="2143"/>
      <c r="F43" s="2143"/>
      <c r="G43" s="2143"/>
      <c r="H43" s="2144"/>
      <c r="I43" s="1048" t="s">
        <v>566</v>
      </c>
      <c r="J43" s="2165">
        <f>(G42*J42)/(1000*1000)</f>
        <v>214.0369</v>
      </c>
      <c r="K43" s="2166"/>
      <c r="L43" s="2167"/>
      <c r="M43" s="2165">
        <f>(G42*M42)/(1000*1000)</f>
        <v>98.108779999999996</v>
      </c>
      <c r="N43" s="2166"/>
      <c r="O43" s="2167"/>
      <c r="P43" s="2165">
        <f>(G42*P42)/(1000*1000)</f>
        <v>86.960719999999995</v>
      </c>
      <c r="Q43" s="2166"/>
      <c r="R43" s="2167"/>
      <c r="S43" s="771"/>
      <c r="T43" s="783"/>
    </row>
    <row r="44" spans="1:20" s="784" customFormat="1" ht="14.25" x14ac:dyDescent="0.2">
      <c r="A44" s="804"/>
      <c r="B44" s="2145"/>
      <c r="C44" s="2146"/>
      <c r="D44" s="2146"/>
      <c r="E44" s="2146"/>
      <c r="F44" s="2146"/>
      <c r="G44" s="2146"/>
      <c r="H44" s="2147"/>
      <c r="I44" s="1048" t="s">
        <v>567</v>
      </c>
      <c r="J44" s="2119">
        <f>I42*L42</f>
        <v>1056</v>
      </c>
      <c r="K44" s="2120"/>
      <c r="L44" s="2121"/>
      <c r="M44" s="2119">
        <f>I42*O42</f>
        <v>816</v>
      </c>
      <c r="N44" s="2120"/>
      <c r="O44" s="2121"/>
      <c r="P44" s="2119">
        <f>I42*R42</f>
        <v>936</v>
      </c>
      <c r="Q44" s="2120"/>
      <c r="R44" s="2121"/>
      <c r="S44" s="771"/>
      <c r="T44" s="783"/>
    </row>
    <row r="45" spans="1:20" s="784" customFormat="1" ht="12.75" customHeight="1" x14ac:dyDescent="0.2">
      <c r="A45" s="804"/>
      <c r="B45" s="2170"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2170"/>
      <c r="D45" s="2170"/>
      <c r="E45" s="2170"/>
      <c r="F45" s="2170"/>
      <c r="G45" s="2170"/>
      <c r="H45" s="2170"/>
      <c r="I45" s="2170"/>
      <c r="J45" s="2170"/>
      <c r="K45" s="2170"/>
      <c r="L45" s="2170"/>
      <c r="M45" s="2170"/>
      <c r="N45" s="2170"/>
      <c r="O45" s="2170"/>
      <c r="P45" s="2170"/>
      <c r="Q45" s="2170"/>
      <c r="R45" s="2170"/>
      <c r="S45" s="771"/>
      <c r="T45" s="783"/>
    </row>
    <row r="46" spans="1:20" s="784" customFormat="1" x14ac:dyDescent="0.2">
      <c r="A46" s="804"/>
      <c r="B46" s="2072"/>
      <c r="C46" s="2072"/>
      <c r="D46" s="2072"/>
      <c r="E46" s="2072"/>
      <c r="F46" s="2072"/>
      <c r="G46" s="2072"/>
      <c r="H46" s="2072"/>
      <c r="I46" s="2072"/>
      <c r="J46" s="2072"/>
      <c r="K46" s="2072"/>
      <c r="L46" s="2072"/>
      <c r="M46" s="2072"/>
      <c r="N46" s="2072"/>
      <c r="O46" s="2072"/>
      <c r="P46" s="2072"/>
      <c r="Q46" s="2072"/>
      <c r="R46" s="2072"/>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777</v>
      </c>
      <c r="C48" s="794"/>
      <c r="D48" s="794"/>
      <c r="E48" s="794"/>
      <c r="F48" s="794"/>
      <c r="G48" s="794"/>
      <c r="H48" s="794"/>
      <c r="I48" s="794"/>
      <c r="J48" s="794"/>
      <c r="K48" s="948" t="s">
        <v>417</v>
      </c>
      <c r="L48" s="942"/>
      <c r="M48" s="939"/>
      <c r="N48" s="940"/>
      <c r="O48" s="940"/>
      <c r="P48" s="939"/>
      <c r="Q48" s="1049" t="str">
        <f>"Number ("&amp;ROUNDUP(F37/2,0)&amp;" suggested): "</f>
        <v xml:space="preserve">Number (0 suggested): </v>
      </c>
      <c r="R48" s="947">
        <v>0</v>
      </c>
      <c r="S48" s="771"/>
      <c r="T48" s="783"/>
    </row>
    <row r="49" spans="1:20" s="784" customFormat="1" ht="13.5" x14ac:dyDescent="0.2">
      <c r="A49" s="804"/>
      <c r="B49" s="2112"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2112"/>
      <c r="D49" s="2112"/>
      <c r="E49" s="2112"/>
      <c r="F49" s="2112"/>
      <c r="G49" s="2112"/>
      <c r="H49" s="2112"/>
      <c r="I49" s="2112"/>
      <c r="J49" s="2112"/>
      <c r="K49" s="2112"/>
      <c r="L49" s="2112"/>
      <c r="M49" s="939"/>
      <c r="N49" s="940"/>
      <c r="O49" s="907"/>
      <c r="P49" s="943"/>
      <c r="Q49" s="906"/>
      <c r="R49" s="946"/>
      <c r="S49" s="771"/>
      <c r="T49" s="783"/>
    </row>
    <row r="50" spans="1:20" s="784" customFormat="1" ht="13.5" x14ac:dyDescent="0.2">
      <c r="A50" s="804"/>
      <c r="B50" s="1050" t="str">
        <f>SUM(F38:F41,IF(K48="Yes",R48,0))&amp;" Bays Currently Programmed"</f>
        <v>2 Bays Currently Programmed</v>
      </c>
      <c r="C50" s="1051"/>
      <c r="D50" s="1051"/>
      <c r="E50" s="1051"/>
      <c r="F50" s="1051"/>
      <c r="G50" s="1051"/>
      <c r="H50" s="1051"/>
      <c r="I50" s="1051"/>
      <c r="J50" s="939"/>
      <c r="K50" s="939"/>
      <c r="L50" s="965"/>
      <c r="M50" s="939"/>
      <c r="N50" s="1052" t="s">
        <v>676</v>
      </c>
      <c r="O50" s="948" t="s">
        <v>417</v>
      </c>
      <c r="P50" s="939"/>
      <c r="Q50" s="1049" t="s">
        <v>675</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2102"/>
      <c r="R52" s="2102"/>
      <c r="S52" s="934"/>
      <c r="T52" s="783"/>
    </row>
    <row r="53" spans="1:20" s="784" customFormat="1" ht="13.5" customHeight="1" x14ac:dyDescent="0.2">
      <c r="A53" s="793" t="s">
        <v>734</v>
      </c>
      <c r="B53" s="777"/>
      <c r="C53" s="777"/>
      <c r="D53" s="777"/>
      <c r="E53" s="777"/>
      <c r="F53" s="777"/>
      <c r="G53" s="777"/>
      <c r="H53" s="777"/>
      <c r="I53" s="777"/>
      <c r="J53" s="777"/>
      <c r="K53" s="2194" t="s">
        <v>804</v>
      </c>
      <c r="L53" s="2194"/>
      <c r="M53" s="2194"/>
      <c r="N53" s="939"/>
      <c r="O53" s="939"/>
      <c r="P53" s="939"/>
      <c r="Q53" s="939"/>
      <c r="R53" s="939"/>
      <c r="S53" s="787"/>
      <c r="T53" s="783"/>
    </row>
    <row r="54" spans="1:20" s="784" customFormat="1" ht="13.5" customHeight="1" x14ac:dyDescent="0.2">
      <c r="B54" s="794"/>
      <c r="C54" s="794"/>
      <c r="D54" s="794"/>
      <c r="E54" s="794"/>
      <c r="F54" s="939"/>
      <c r="G54" s="2194" t="s">
        <v>535</v>
      </c>
      <c r="H54" s="2194"/>
      <c r="I54" s="2194" t="s">
        <v>542</v>
      </c>
      <c r="J54" s="2194"/>
      <c r="K54" s="2194"/>
      <c r="L54" s="2194"/>
      <c r="M54" s="2194"/>
      <c r="N54" s="795"/>
      <c r="O54" s="795"/>
      <c r="P54" s="795"/>
      <c r="Q54" s="795"/>
      <c r="R54" s="795"/>
      <c r="S54" s="799"/>
      <c r="T54" s="783"/>
    </row>
    <row r="55" spans="1:20" s="784" customFormat="1" ht="13.5" x14ac:dyDescent="0.2">
      <c r="A55" s="793"/>
      <c r="B55" s="794"/>
      <c r="C55" s="794"/>
      <c r="D55" s="794"/>
      <c r="E55" s="794"/>
      <c r="F55" s="939"/>
      <c r="G55" s="2194"/>
      <c r="H55" s="2194"/>
      <c r="I55" s="2194"/>
      <c r="J55" s="2194"/>
      <c r="K55" s="2194"/>
      <c r="L55" s="2194"/>
      <c r="M55" s="2194"/>
      <c r="N55" s="795"/>
      <c r="O55" s="795"/>
      <c r="P55" s="795"/>
      <c r="Q55" s="795"/>
      <c r="R55" s="795"/>
      <c r="S55" s="799"/>
      <c r="T55" s="783"/>
    </row>
    <row r="56" spans="1:20" s="784" customFormat="1" ht="13.5" x14ac:dyDescent="0.2">
      <c r="A56" s="793"/>
      <c r="B56" s="895"/>
      <c r="C56" s="895"/>
      <c r="D56" s="895"/>
      <c r="E56" s="895"/>
      <c r="F56" s="939"/>
      <c r="G56" s="2194"/>
      <c r="H56" s="2194"/>
      <c r="I56" s="2194"/>
      <c r="J56" s="2194"/>
      <c r="K56" s="2194"/>
      <c r="L56" s="2194"/>
      <c r="M56" s="2194"/>
      <c r="N56" s="895"/>
      <c r="O56" s="895"/>
      <c r="P56" s="895"/>
      <c r="Q56" s="895"/>
      <c r="R56" s="895"/>
      <c r="S56" s="799"/>
      <c r="T56" s="783"/>
    </row>
    <row r="57" spans="1:20" s="784" customFormat="1" ht="13.5" x14ac:dyDescent="0.2">
      <c r="A57" s="793"/>
      <c r="B57" s="801" t="s">
        <v>533</v>
      </c>
      <c r="C57" s="801"/>
      <c r="D57" s="801"/>
      <c r="E57" s="801"/>
      <c r="F57" s="939"/>
      <c r="G57" s="2198">
        <v>2</v>
      </c>
      <c r="H57" s="2198"/>
      <c r="I57" s="2173">
        <v>4</v>
      </c>
      <c r="J57" s="2173"/>
      <c r="K57" s="2173">
        <f>G57*I57</f>
        <v>8</v>
      </c>
      <c r="L57" s="2173"/>
      <c r="M57" s="2173"/>
      <c r="N57" s="2174">
        <f>IF(AND(G57&gt;0,G8=Data!B11),"ERROR: Facility type does not support Structural companies.",IF(AND(G58&gt;0,G8=Data!B10),"ERROR: Facility type does not support ARFF companies.",))</f>
        <v>0</v>
      </c>
      <c r="O57" s="2174"/>
      <c r="P57" s="2174"/>
      <c r="Q57" s="2174"/>
      <c r="R57" s="2174"/>
      <c r="S57" s="799"/>
      <c r="T57" s="783"/>
    </row>
    <row r="58" spans="1:20" s="784" customFormat="1" ht="13.5" x14ac:dyDescent="0.2">
      <c r="A58" s="793"/>
      <c r="B58" s="801" t="s">
        <v>534</v>
      </c>
      <c r="C58" s="801"/>
      <c r="D58" s="801"/>
      <c r="E58" s="801"/>
      <c r="F58" s="939"/>
      <c r="G58" s="2172"/>
      <c r="H58" s="2172"/>
      <c r="I58" s="2173">
        <v>3</v>
      </c>
      <c r="J58" s="2173"/>
      <c r="K58" s="2173">
        <f>G58*I58</f>
        <v>0</v>
      </c>
      <c r="L58" s="2173"/>
      <c r="M58" s="2173"/>
      <c r="N58" s="2174"/>
      <c r="O58" s="2174"/>
      <c r="P58" s="2174"/>
      <c r="Q58" s="2174"/>
      <c r="R58" s="2174"/>
      <c r="S58" s="799"/>
      <c r="T58" s="783"/>
    </row>
    <row r="59" spans="1:20" s="784" customFormat="1" ht="12.75" customHeight="1" x14ac:dyDescent="0.2">
      <c r="A59" s="793"/>
      <c r="B59" s="801" t="s">
        <v>796</v>
      </c>
      <c r="C59" s="801"/>
      <c r="D59" s="801"/>
      <c r="E59" s="801"/>
      <c r="F59" s="939"/>
      <c r="G59" s="2172">
        <v>0</v>
      </c>
      <c r="H59" s="2172"/>
      <c r="I59" s="2173">
        <v>2</v>
      </c>
      <c r="J59" s="2173"/>
      <c r="K59" s="2173">
        <f t="shared" ref="K59:K60" si="2">G59*I59</f>
        <v>0</v>
      </c>
      <c r="L59" s="2173"/>
      <c r="M59" s="2173"/>
      <c r="N59" s="795"/>
      <c r="O59" s="795"/>
      <c r="P59" s="795"/>
      <c r="Q59" s="795"/>
      <c r="R59" s="795"/>
      <c r="S59" s="799"/>
      <c r="T59" s="783"/>
    </row>
    <row r="60" spans="1:20" s="784" customFormat="1" ht="12.75" customHeight="1" x14ac:dyDescent="0.2">
      <c r="A60" s="793"/>
      <c r="B60" s="801" t="s">
        <v>797</v>
      </c>
      <c r="C60" s="801"/>
      <c r="D60" s="801"/>
      <c r="E60" s="801"/>
      <c r="F60" s="939"/>
      <c r="G60" s="2172">
        <v>0</v>
      </c>
      <c r="H60" s="2172"/>
      <c r="I60" s="2173">
        <v>3</v>
      </c>
      <c r="J60" s="2173"/>
      <c r="K60" s="2173">
        <f t="shared" si="2"/>
        <v>0</v>
      </c>
      <c r="L60" s="2173"/>
      <c r="M60" s="2173"/>
      <c r="N60" s="795"/>
      <c r="O60" s="795"/>
      <c r="P60" s="795"/>
      <c r="Q60" s="795"/>
      <c r="R60" s="795"/>
      <c r="S60" s="799"/>
      <c r="T60" s="783"/>
    </row>
    <row r="61" spans="1:20" s="784" customFormat="1" ht="13.5" customHeight="1" x14ac:dyDescent="0.2">
      <c r="A61" s="793"/>
      <c r="B61" s="801" t="s">
        <v>887</v>
      </c>
      <c r="C61" s="801"/>
      <c r="D61" s="801"/>
      <c r="E61" s="801"/>
      <c r="F61" s="939"/>
      <c r="G61" s="2199">
        <f>SUM(G57:H58)</f>
        <v>2</v>
      </c>
      <c r="H61" s="2199"/>
      <c r="I61" s="2176" t="s">
        <v>537</v>
      </c>
      <c r="J61" s="2176"/>
      <c r="K61" s="2171">
        <f>SUM(K56:L59)</f>
        <v>8</v>
      </c>
      <c r="L61" s="2171"/>
      <c r="M61" s="2171"/>
      <c r="N61" s="876"/>
      <c r="O61" s="876"/>
      <c r="P61" s="876"/>
      <c r="Q61" s="876"/>
      <c r="R61" s="876"/>
      <c r="S61" s="771"/>
      <c r="T61" s="783"/>
    </row>
    <row r="62" spans="1:20" s="784" customFormat="1" ht="13.5" customHeight="1" x14ac:dyDescent="0.2">
      <c r="A62" s="793"/>
      <c r="B62" s="801" t="s">
        <v>554</v>
      </c>
      <c r="C62" s="801"/>
      <c r="D62" s="801"/>
      <c r="E62" s="801"/>
      <c r="F62" s="939"/>
      <c r="G62" s="2199">
        <f>SUM(G57:H60)</f>
        <v>2</v>
      </c>
      <c r="H62" s="2199"/>
      <c r="I62" s="2176" t="s">
        <v>537</v>
      </c>
      <c r="J62" s="2176"/>
      <c r="K62" s="2171">
        <f>SUM(K57:L60)</f>
        <v>8</v>
      </c>
      <c r="L62" s="2171"/>
      <c r="M62" s="2171"/>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2102"/>
      <c r="R64" s="2102"/>
      <c r="S64" s="934"/>
      <c r="T64" s="783"/>
    </row>
    <row r="65" spans="1:20" s="784" customFormat="1" ht="13.5" customHeight="1" x14ac:dyDescent="0.2">
      <c r="A65" s="793" t="s">
        <v>733</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805</v>
      </c>
      <c r="C67" s="895"/>
      <c r="D67" s="895"/>
      <c r="E67" s="895"/>
      <c r="F67" s="895"/>
      <c r="G67" s="895"/>
      <c r="H67" s="939"/>
      <c r="I67" s="886">
        <f>K62</f>
        <v>8</v>
      </c>
      <c r="J67" s="876"/>
      <c r="K67" s="876"/>
      <c r="L67" s="802" t="s">
        <v>808</v>
      </c>
      <c r="M67" s="876"/>
      <c r="N67" s="876"/>
      <c r="O67" s="967"/>
      <c r="P67" s="777"/>
      <c r="Q67" s="876"/>
      <c r="R67" s="876"/>
      <c r="S67" s="771"/>
      <c r="T67" s="783"/>
    </row>
    <row r="68" spans="1:20" s="784" customFormat="1" ht="13.5" customHeight="1" x14ac:dyDescent="0.2">
      <c r="A68" s="793"/>
      <c r="B68" s="802" t="s">
        <v>806</v>
      </c>
      <c r="C68" s="795"/>
      <c r="D68" s="795"/>
      <c r="E68" s="795"/>
      <c r="F68" s="795"/>
      <c r="G68" s="795"/>
      <c r="H68" s="939"/>
      <c r="I68" s="801">
        <f>IF(D33="Yes",N31,0)</f>
        <v>0</v>
      </c>
      <c r="J68" s="876"/>
      <c r="K68" s="876"/>
      <c r="L68" s="809" t="s">
        <v>728</v>
      </c>
      <c r="M68" s="795"/>
      <c r="N68" s="795"/>
      <c r="O68" s="795"/>
      <c r="P68" s="777"/>
      <c r="Q68" s="1155">
        <v>0.7</v>
      </c>
      <c r="R68" s="876"/>
      <c r="S68" s="771"/>
      <c r="T68" s="783"/>
    </row>
    <row r="69" spans="1:20" s="784" customFormat="1" ht="13.5" customHeight="1" x14ac:dyDescent="0.2">
      <c r="A69" s="793"/>
      <c r="B69" s="802" t="s">
        <v>807</v>
      </c>
      <c r="C69" s="795"/>
      <c r="D69" s="795"/>
      <c r="E69" s="795"/>
      <c r="F69" s="795"/>
      <c r="G69" s="795"/>
      <c r="H69" s="939"/>
      <c r="I69" s="960">
        <v>8</v>
      </c>
      <c r="J69" s="876"/>
      <c r="K69" s="876"/>
      <c r="L69" s="809" t="s">
        <v>751</v>
      </c>
      <c r="M69" s="795"/>
      <c r="N69" s="795"/>
      <c r="O69" s="795"/>
      <c r="P69" s="777"/>
      <c r="Q69" s="1553">
        <f>ROUNDUP(I75*Q68,0)</f>
        <v>6</v>
      </c>
      <c r="R69" s="876"/>
      <c r="S69" s="771"/>
      <c r="T69" s="783"/>
    </row>
    <row r="70" spans="1:20" s="784" customFormat="1" ht="13.5" customHeight="1" x14ac:dyDescent="0.2">
      <c r="A70" s="793"/>
      <c r="B70" s="939"/>
      <c r="C70" s="939"/>
      <c r="D70" s="939"/>
      <c r="E70" s="939"/>
      <c r="F70" s="939"/>
      <c r="G70" s="939"/>
      <c r="H70" s="939"/>
      <c r="I70" s="894"/>
      <c r="J70" s="894"/>
      <c r="K70" s="876"/>
      <c r="L70" s="809" t="s">
        <v>729</v>
      </c>
      <c r="M70" s="894"/>
      <c r="N70" s="1157"/>
      <c r="O70" s="1157"/>
      <c r="P70" s="777"/>
      <c r="Q70" s="1156">
        <f>1-Q68</f>
        <v>0.30000000000000004</v>
      </c>
      <c r="R70" s="876"/>
      <c r="S70" s="771"/>
      <c r="T70" s="783"/>
    </row>
    <row r="71" spans="1:20" s="784" customFormat="1" ht="13.5" customHeight="1" x14ac:dyDescent="0.2">
      <c r="A71" s="793"/>
      <c r="B71" s="801" t="s">
        <v>541</v>
      </c>
      <c r="C71" s="777"/>
      <c r="D71" s="777"/>
      <c r="E71" s="777"/>
      <c r="F71" s="777"/>
      <c r="G71" s="777"/>
      <c r="H71" s="777"/>
      <c r="I71" s="961">
        <v>0</v>
      </c>
      <c r="J71" s="905"/>
      <c r="K71" s="876"/>
      <c r="L71" s="809" t="s">
        <v>752</v>
      </c>
      <c r="M71" s="905"/>
      <c r="N71" s="1157"/>
      <c r="O71" s="1157"/>
      <c r="P71" s="777"/>
      <c r="Q71" s="1127">
        <f>I75-Q69</f>
        <v>2</v>
      </c>
      <c r="R71" s="876"/>
      <c r="S71" s="771"/>
      <c r="T71" s="783"/>
    </row>
    <row r="72" spans="1:20" s="784" customFormat="1" ht="13.5" customHeight="1" x14ac:dyDescent="0.2">
      <c r="A72" s="793"/>
      <c r="B72" s="2072" t="s">
        <v>798</v>
      </c>
      <c r="C72" s="2072"/>
      <c r="D72" s="2072"/>
      <c r="E72" s="2072"/>
      <c r="F72" s="2072"/>
      <c r="G72" s="2072"/>
      <c r="H72" s="2072"/>
      <c r="I72" s="2072"/>
      <c r="J72" s="905"/>
      <c r="K72" s="876"/>
      <c r="L72" s="905"/>
      <c r="M72" s="876"/>
      <c r="N72" s="876"/>
      <c r="O72" s="876"/>
      <c r="P72" s="876"/>
      <c r="Q72" s="876"/>
      <c r="R72" s="876"/>
      <c r="S72" s="771"/>
      <c r="T72" s="783"/>
    </row>
    <row r="73" spans="1:20" s="784" customFormat="1" ht="13.5" customHeight="1" x14ac:dyDescent="0.2">
      <c r="A73" s="793"/>
      <c r="B73" s="2072"/>
      <c r="C73" s="2072"/>
      <c r="D73" s="2072"/>
      <c r="E73" s="2072"/>
      <c r="F73" s="2072"/>
      <c r="G73" s="2072"/>
      <c r="H73" s="2072"/>
      <c r="I73" s="2072"/>
      <c r="J73" s="905"/>
      <c r="K73" s="905"/>
      <c r="L73" s="905"/>
      <c r="M73" s="876"/>
      <c r="N73" s="876"/>
      <c r="O73" s="876"/>
      <c r="P73" s="876"/>
      <c r="Q73" s="876"/>
      <c r="R73" s="876"/>
      <c r="S73" s="771"/>
      <c r="T73" s="783"/>
    </row>
    <row r="74" spans="1:20" s="784" customFormat="1" ht="13.5" customHeight="1" x14ac:dyDescent="0.2">
      <c r="A74" s="793"/>
      <c r="B74" s="2072"/>
      <c r="C74" s="2072"/>
      <c r="D74" s="2072"/>
      <c r="E74" s="2072"/>
      <c r="F74" s="2072"/>
      <c r="G74" s="2072"/>
      <c r="H74" s="2072"/>
      <c r="I74" s="2072"/>
      <c r="J74" s="905"/>
      <c r="K74" s="905"/>
      <c r="L74" s="905"/>
      <c r="M74" s="876"/>
      <c r="N74" s="876"/>
      <c r="O74" s="876"/>
      <c r="P74" s="876"/>
      <c r="Q74" s="876"/>
      <c r="R74" s="876"/>
      <c r="S74" s="771"/>
      <c r="T74" s="783"/>
    </row>
    <row r="75" spans="1:20" s="784" customFormat="1" ht="13.5" customHeight="1" x14ac:dyDescent="0.2">
      <c r="A75" s="793"/>
      <c r="B75" s="887" t="s">
        <v>737</v>
      </c>
      <c r="C75" s="821"/>
      <c r="D75" s="821"/>
      <c r="E75" s="821"/>
      <c r="F75" s="821"/>
      <c r="G75" s="821"/>
      <c r="H75" s="939"/>
      <c r="I75" s="901">
        <f>IF(I69=0,0,I69+I71)</f>
        <v>8</v>
      </c>
      <c r="J75" s="905"/>
      <c r="K75" s="809" t="s">
        <v>794</v>
      </c>
      <c r="L75" s="905"/>
      <c r="M75" s="1161">
        <f>Q69</f>
        <v>6</v>
      </c>
      <c r="N75" s="809" t="s">
        <v>795</v>
      </c>
      <c r="O75" s="1157"/>
      <c r="P75" s="1161">
        <f>Q71</f>
        <v>2</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2083" t="s">
        <v>420</v>
      </c>
      <c r="P77" s="2083"/>
      <c r="Q77" s="2130" t="s">
        <v>421</v>
      </c>
      <c r="R77" s="2130"/>
      <c r="S77" s="934"/>
      <c r="T77" s="783"/>
    </row>
    <row r="78" spans="1:20" s="784" customFormat="1" ht="13.5" x14ac:dyDescent="0.2">
      <c r="A78" s="793" t="s">
        <v>674</v>
      </c>
      <c r="B78" s="794"/>
      <c r="C78" s="794"/>
      <c r="D78" s="794"/>
      <c r="E78" s="794"/>
      <c r="F78" s="794"/>
      <c r="G78" s="794"/>
      <c r="H78" s="794"/>
      <c r="I78" s="794"/>
      <c r="J78" s="794"/>
      <c r="K78" s="794"/>
      <c r="L78" s="800"/>
      <c r="M78" s="800"/>
      <c r="N78" s="935" t="s">
        <v>543</v>
      </c>
      <c r="O78" s="2081">
        <f>Q78*0.0929</f>
        <v>252.31639999999999</v>
      </c>
      <c r="P78" s="2082"/>
      <c r="Q78" s="2091">
        <f>SUM(Q80:R123)</f>
        <v>2716</v>
      </c>
      <c r="R78" s="2092"/>
      <c r="S78" s="941"/>
      <c r="T78" s="783"/>
    </row>
    <row r="79" spans="1:20" s="784" customFormat="1" ht="13.5" x14ac:dyDescent="0.2">
      <c r="A79" s="808"/>
      <c r="B79" s="794"/>
      <c r="C79" s="794"/>
      <c r="D79" s="794"/>
      <c r="E79" s="794"/>
      <c r="F79" s="794"/>
      <c r="G79" s="794"/>
      <c r="H79" s="794"/>
      <c r="I79" s="794"/>
      <c r="J79" s="794"/>
      <c r="K79" s="794"/>
      <c r="L79" s="800"/>
      <c r="M79" s="800"/>
      <c r="N79" s="800"/>
      <c r="O79" s="2083"/>
      <c r="P79" s="2083"/>
      <c r="Q79" s="2083"/>
      <c r="R79" s="2083"/>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2081">
        <f>Q80*0.0929</f>
        <v>173.90879999999999</v>
      </c>
      <c r="P80" s="2082"/>
      <c r="Q80" s="2091">
        <f>P44*(SUM('Interactive Worksheet'!E38:E41)+IF('Interactive Worksheet'!K48="Yes",'Interactive Worksheet'!R48,0)+IF('Interactive Worksheet'!O50="Yes",'Interactive Worksheet'!R50,0))</f>
        <v>1872</v>
      </c>
      <c r="R80" s="2092"/>
      <c r="S80" s="787"/>
      <c r="T80" s="783"/>
    </row>
    <row r="81" spans="1:20" s="784" customFormat="1" ht="13.5" customHeight="1" x14ac:dyDescent="0.2">
      <c r="A81" s="792"/>
      <c r="B81" s="2175" t="s">
        <v>793</v>
      </c>
      <c r="C81" s="2175"/>
      <c r="D81" s="2175"/>
      <c r="E81" s="2175"/>
      <c r="F81" s="2175"/>
      <c r="G81" s="2175"/>
      <c r="H81" s="2175"/>
      <c r="I81" s="2175"/>
      <c r="J81" s="2175"/>
      <c r="K81" s="2175"/>
      <c r="L81" s="2175"/>
      <c r="M81" s="2175"/>
      <c r="N81" s="2175"/>
      <c r="O81" s="2175"/>
      <c r="P81" s="2175"/>
      <c r="Q81" s="2175"/>
      <c r="R81" s="2175"/>
      <c r="S81" s="787"/>
      <c r="T81" s="783"/>
    </row>
    <row r="82" spans="1:20" s="784" customFormat="1" ht="13.5" customHeight="1" x14ac:dyDescent="0.2">
      <c r="A82" s="792"/>
      <c r="B82" s="2175"/>
      <c r="C82" s="2175"/>
      <c r="D82" s="2175"/>
      <c r="E82" s="2175"/>
      <c r="F82" s="2175"/>
      <c r="G82" s="2175"/>
      <c r="H82" s="2175"/>
      <c r="I82" s="2175"/>
      <c r="J82" s="2175"/>
      <c r="K82" s="2175"/>
      <c r="L82" s="2175"/>
      <c r="M82" s="2175"/>
      <c r="N82" s="2175"/>
      <c r="O82" s="2175"/>
      <c r="P82" s="2175"/>
      <c r="Q82" s="2175"/>
      <c r="R82" s="2175"/>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788</v>
      </c>
      <c r="C84" s="809"/>
      <c r="D84" s="809"/>
      <c r="E84" s="809"/>
      <c r="F84" s="809"/>
      <c r="G84" s="809"/>
      <c r="H84" s="809"/>
      <c r="I84" s="809"/>
      <c r="J84" s="809"/>
      <c r="K84" s="809"/>
      <c r="L84" s="810"/>
      <c r="M84" s="810"/>
      <c r="N84" s="810"/>
      <c r="O84" s="2081">
        <f>Q84*0.0929</f>
        <v>7.4319999999999995</v>
      </c>
      <c r="P84" s="2082"/>
      <c r="Q84" s="2091">
        <f>I75*10</f>
        <v>80</v>
      </c>
      <c r="R84" s="2092"/>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677</v>
      </c>
      <c r="C86" s="908"/>
      <c r="D86" s="908"/>
      <c r="E86" s="908"/>
      <c r="F86" s="908"/>
      <c r="G86" s="908"/>
      <c r="H86" s="908"/>
      <c r="I86" s="908"/>
      <c r="J86" s="939"/>
      <c r="K86" s="939"/>
      <c r="L86" s="819">
        <v>1</v>
      </c>
      <c r="M86" s="908"/>
      <c r="N86" s="908"/>
      <c r="O86" s="2081">
        <f>Q86*0.0929</f>
        <v>5.0165999999999995</v>
      </c>
      <c r="P86" s="2082"/>
      <c r="Q86" s="2098">
        <f>'Space Program Data'!H5*L86</f>
        <v>54</v>
      </c>
      <c r="R86" s="2099"/>
      <c r="S86" s="787"/>
      <c r="T86" s="783"/>
    </row>
    <row r="87" spans="1:20" s="784" customFormat="1" ht="12.6" customHeight="1" x14ac:dyDescent="0.2">
      <c r="A87" s="792"/>
      <c r="B87" s="1107" t="str">
        <f>IF($P$8=Data!$B$15,"     *Department level function.  Typically only provided in an HQ/Main facility.",)</f>
        <v xml:space="preserve">     *Department level function.  Typically only provided in an HQ/Main facility.</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732</v>
      </c>
      <c r="C88" s="908"/>
      <c r="D88" s="908"/>
      <c r="E88" s="908"/>
      <c r="F88" s="908"/>
      <c r="G88" s="908"/>
      <c r="H88" s="908"/>
      <c r="I88" s="939"/>
      <c r="J88" s="939"/>
      <c r="K88" s="908"/>
      <c r="L88" s="840" t="s">
        <v>417</v>
      </c>
      <c r="M88" s="908"/>
      <c r="N88" s="908"/>
      <c r="O88" s="2081">
        <f>Q88*0.0929</f>
        <v>0</v>
      </c>
      <c r="P88" s="2082"/>
      <c r="Q88" s="2091">
        <f>IF(L88="Yes",'Space Program Data'!H6*H13,0)</f>
        <v>0</v>
      </c>
      <c r="R88" s="2092"/>
      <c r="S88" s="787"/>
      <c r="T88" s="783"/>
    </row>
    <row r="89" spans="1:20" s="784" customFormat="1" ht="12.6" customHeight="1" x14ac:dyDescent="0.2">
      <c r="A89" s="792"/>
      <c r="B89" s="1107" t="str">
        <f>IF($P$8=Data!$B$15,"     *Department level function.  Typically only provided in an HQ/Main facility.",)</f>
        <v xml:space="preserve">     *Department level function.  Typically only provided in an HQ/Main facility.</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731</v>
      </c>
      <c r="C90" s="809"/>
      <c r="D90" s="809"/>
      <c r="E90" s="809"/>
      <c r="F90" s="809"/>
      <c r="G90" s="809"/>
      <c r="H90" s="809"/>
      <c r="I90" s="809"/>
      <c r="J90" s="809"/>
      <c r="K90" s="809"/>
      <c r="L90" s="840" t="s">
        <v>417</v>
      </c>
      <c r="M90" s="810"/>
      <c r="N90" s="810"/>
      <c r="O90" s="2081">
        <f>Q90*0.0929</f>
        <v>0</v>
      </c>
      <c r="P90" s="2082"/>
      <c r="Q90" s="2091">
        <f>IF(L90="Yes",'Space Program Data'!H7,0)</f>
        <v>0</v>
      </c>
      <c r="R90" s="2092"/>
      <c r="S90" s="787"/>
      <c r="T90" s="783"/>
    </row>
    <row r="91" spans="1:20" s="784" customFormat="1" ht="12.6" customHeight="1" x14ac:dyDescent="0.2">
      <c r="A91" s="792"/>
      <c r="B91" s="1107" t="str">
        <f>IF($P$8=Data!$B$15,"     *Department level function.  Typically only provided in an HQ/Main facility.",)</f>
        <v xml:space="preserve">     *Department level function.  Typically only provided in an HQ/Main facility.</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2081">
        <f>Q92*0.0929</f>
        <v>11.148</v>
      </c>
      <c r="P92" s="2082"/>
      <c r="Q92" s="2091">
        <v>120</v>
      </c>
      <c r="R92" s="2092"/>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738</v>
      </c>
      <c r="C94" s="809"/>
      <c r="D94" s="809"/>
      <c r="E94" s="809"/>
      <c r="F94" s="809"/>
      <c r="G94" s="809"/>
      <c r="H94" s="809"/>
      <c r="I94" s="809"/>
      <c r="J94" s="809"/>
      <c r="K94" s="809"/>
      <c r="L94" s="810"/>
      <c r="M94" s="810"/>
      <c r="N94" s="810"/>
      <c r="O94" s="2081">
        <f>Q94*0.0929</f>
        <v>13.934999999999999</v>
      </c>
      <c r="P94" s="2082"/>
      <c r="Q94" s="2091">
        <f>'Space Program Data'!H9</f>
        <v>150</v>
      </c>
      <c r="R94" s="2092"/>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906</v>
      </c>
      <c r="C96" s="809"/>
      <c r="D96" s="809"/>
      <c r="E96" s="809"/>
      <c r="F96" s="809"/>
      <c r="G96" s="809"/>
      <c r="H96" s="809"/>
      <c r="I96" s="809"/>
      <c r="J96" s="809"/>
      <c r="K96" s="809"/>
      <c r="L96" s="810"/>
      <c r="M96" s="810"/>
      <c r="N96" s="810"/>
      <c r="O96" s="2081">
        <f>Q96*0.0929</f>
        <v>11.148</v>
      </c>
      <c r="P96" s="2082"/>
      <c r="Q96" s="2098">
        <f>I75*'Space Program Data'!H8</f>
        <v>120</v>
      </c>
      <c r="R96" s="2099"/>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895</v>
      </c>
      <c r="C98" s="809"/>
      <c r="D98" s="809"/>
      <c r="E98" s="809"/>
      <c r="F98" s="809"/>
      <c r="G98" s="809"/>
      <c r="H98" s="809"/>
      <c r="I98" s="2085" t="s">
        <v>893</v>
      </c>
      <c r="J98" s="2085"/>
      <c r="K98" s="809"/>
      <c r="L98" s="809" t="s">
        <v>696</v>
      </c>
      <c r="M98" s="810"/>
      <c r="N98" s="810"/>
      <c r="O98" s="2081">
        <f>Q98*0.0929</f>
        <v>3.7159999999999997</v>
      </c>
      <c r="P98" s="2082"/>
      <c r="Q98" s="2091">
        <f>IF(I98=Data!B26,'Space Program Data'!H12,IF(I98=Data!B27,'Space Program Data'!H13,0))</f>
        <v>40</v>
      </c>
      <c r="R98" s="2092"/>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1001</v>
      </c>
      <c r="C100" s="809"/>
      <c r="D100" s="809"/>
      <c r="E100" s="809"/>
      <c r="F100" s="809"/>
      <c r="G100" s="809"/>
      <c r="H100" s="809"/>
      <c r="I100" s="809"/>
      <c r="J100" s="809"/>
      <c r="K100" s="809"/>
      <c r="L100" s="840" t="s">
        <v>417</v>
      </c>
      <c r="M100" s="810"/>
      <c r="N100" s="810"/>
      <c r="O100" s="2081">
        <f>Q100*0.0929</f>
        <v>0</v>
      </c>
      <c r="P100" s="2082"/>
      <c r="Q100" s="2091">
        <f>IF(L100="Yes",'Space Program Data'!H14,0)</f>
        <v>0</v>
      </c>
      <c r="R100" s="2092"/>
      <c r="S100" s="787"/>
      <c r="T100" s="783"/>
    </row>
    <row r="101" spans="1:20" s="784" customFormat="1" ht="12.6" customHeight="1" x14ac:dyDescent="0.2">
      <c r="A101" s="792"/>
      <c r="B101" s="1107" t="str">
        <f>IF($P$8=Data!$B$15,"     *Department level function.  Typically only provided in an HQ/Main facility.",)</f>
        <v xml:space="preserve">     *Department level function.  Typically only provided in an HQ/Main facility.</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825</v>
      </c>
      <c r="C102" s="809"/>
      <c r="D102" s="809"/>
      <c r="E102" s="809"/>
      <c r="F102" s="809"/>
      <c r="G102" s="809"/>
      <c r="H102" s="809"/>
      <c r="I102" s="809"/>
      <c r="J102" s="809"/>
      <c r="K102" s="809"/>
      <c r="L102" s="840" t="s">
        <v>416</v>
      </c>
      <c r="M102" s="810"/>
      <c r="N102" s="810"/>
      <c r="O102" s="2081">
        <f>Q102*0.0929</f>
        <v>14.863999999999999</v>
      </c>
      <c r="P102" s="2082"/>
      <c r="Q102" s="2091">
        <v>160</v>
      </c>
      <c r="R102" s="2092"/>
      <c r="S102" s="787"/>
      <c r="T102" s="783"/>
    </row>
    <row r="103" spans="1:20" s="784" customFormat="1" ht="12.6" customHeight="1" x14ac:dyDescent="0.2">
      <c r="A103" s="792"/>
      <c r="B103" s="1107" t="str">
        <f>IF($P$8=Data!$B$15,"     *Department level function.  Typically only provided in an HQ/Main facility.",)</f>
        <v xml:space="preserve">     *Department level function.  Typically only provided in an HQ/Main facility.</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730</v>
      </c>
      <c r="C104" s="809"/>
      <c r="D104" s="809"/>
      <c r="E104" s="809"/>
      <c r="F104" s="809"/>
      <c r="G104" s="809"/>
      <c r="H104" s="809"/>
      <c r="I104" s="809"/>
      <c r="J104" s="809"/>
      <c r="K104" s="809"/>
      <c r="L104" s="840" t="s">
        <v>417</v>
      </c>
      <c r="M104" s="810"/>
      <c r="N104" s="810"/>
      <c r="O104" s="2081">
        <f>Q104*0.0929</f>
        <v>0</v>
      </c>
      <c r="P104" s="2082"/>
      <c r="Q104" s="2091">
        <f>IF(L104="Yes",'Space Program Data'!H18,0)</f>
        <v>0</v>
      </c>
      <c r="R104" s="2092"/>
      <c r="S104" s="787"/>
      <c r="T104" s="783"/>
    </row>
    <row r="105" spans="1:20" s="784" customFormat="1" ht="12.6" customHeight="1" x14ac:dyDescent="0.2">
      <c r="A105" s="792"/>
      <c r="B105" s="1107" t="str">
        <f>IF($P$8=Data!$B$15,"     *Department level function.  Typically only provided in an HQ/Main facility.",)</f>
        <v xml:space="preserve">     *Department level function.  Typically only provided in an HQ/Main facility.</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741</v>
      </c>
      <c r="C106" s="801"/>
      <c r="D106" s="801"/>
      <c r="E106" s="801"/>
      <c r="F106" s="801"/>
      <c r="G106" s="801"/>
      <c r="H106" s="801"/>
      <c r="I106" s="801"/>
      <c r="J106" s="801"/>
      <c r="K106" s="801"/>
      <c r="L106" s="840" t="s">
        <v>417</v>
      </c>
      <c r="M106" s="939"/>
      <c r="N106" s="939"/>
      <c r="O106" s="2081">
        <f>Q106*0.0929</f>
        <v>0</v>
      </c>
      <c r="P106" s="2082"/>
      <c r="Q106" s="2089">
        <f>IF(L106="Yes",'Space Program Data'!H24,0)</f>
        <v>0</v>
      </c>
      <c r="R106" s="2090"/>
      <c r="S106" s="787"/>
      <c r="T106" s="783"/>
    </row>
    <row r="107" spans="1:20" s="784" customFormat="1" ht="12.4" customHeight="1" x14ac:dyDescent="0.2">
      <c r="A107" s="792"/>
      <c r="B107" s="1107" t="str">
        <f>IF(NOT($F$5=Data!$B$7),"     *Air Force Only",IF($P$8=Data!$B$15,"     *Department level function.  Typically only provided in an HQ/Main facility.",))</f>
        <v xml:space="preserve">     *Department level function.  Typically only provided in an HQ/Main facility.</v>
      </c>
      <c r="C107" s="1126"/>
      <c r="D107" s="1126"/>
      <c r="E107" s="1126"/>
      <c r="F107" s="1126"/>
      <c r="G107" s="1126"/>
      <c r="H107" s="1126"/>
      <c r="I107" s="1126"/>
      <c r="J107" s="1126"/>
      <c r="K107" s="1126"/>
      <c r="L107" s="1126"/>
      <c r="M107" s="966"/>
      <c r="N107" s="798"/>
      <c r="O107" s="777"/>
      <c r="P107" s="798"/>
      <c r="Q107" s="798"/>
      <c r="R107" s="777"/>
      <c r="S107" s="787"/>
      <c r="T107" s="783"/>
    </row>
    <row r="108" spans="1:20" s="784" customFormat="1" ht="13.5" x14ac:dyDescent="0.2">
      <c r="A108" s="792"/>
      <c r="B108" s="801" t="s">
        <v>742</v>
      </c>
      <c r="C108" s="817"/>
      <c r="D108" s="817"/>
      <c r="E108" s="817"/>
      <c r="F108" s="817"/>
      <c r="G108" s="817"/>
      <c r="H108" s="817"/>
      <c r="I108" s="817"/>
      <c r="J108" s="817"/>
      <c r="K108" s="817"/>
      <c r="L108" s="840" t="s">
        <v>417</v>
      </c>
      <c r="M108" s="795"/>
      <c r="N108" s="795"/>
      <c r="O108" s="2081">
        <f>Q108*0.0929</f>
        <v>0</v>
      </c>
      <c r="P108" s="2082"/>
      <c r="Q108" s="2089">
        <f>IF(L108="Yes",'Space Program Data'!H25,0)</f>
        <v>0</v>
      </c>
      <c r="R108" s="2090"/>
      <c r="S108" s="787"/>
      <c r="T108" s="783"/>
    </row>
    <row r="109" spans="1:20" s="784" customFormat="1" ht="13.5" x14ac:dyDescent="0.2">
      <c r="A109" s="792"/>
      <c r="B109" s="1107" t="str">
        <f>IF(NOT($F$5=Data!$B$7),"     *Air Force Only",IF($P$8=Data!$B$15,"     *Department level function.  Typically only provided in an HQ/Main facility.",))</f>
        <v xml:space="preserve">     *Department level function.  Typically only provided in an HQ/Main facility.</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740</v>
      </c>
      <c r="C110" s="817"/>
      <c r="D110" s="817"/>
      <c r="E110" s="817"/>
      <c r="F110" s="817"/>
      <c r="G110" s="817"/>
      <c r="H110" s="817"/>
      <c r="I110" s="817"/>
      <c r="J110" s="817"/>
      <c r="K110" s="817"/>
      <c r="L110" s="840" t="s">
        <v>417</v>
      </c>
      <c r="M110" s="795"/>
      <c r="N110" s="795"/>
      <c r="O110" s="2081">
        <f>Q110*0.0929</f>
        <v>0</v>
      </c>
      <c r="P110" s="2082"/>
      <c r="Q110" s="2089">
        <f>IF(L110="Yes",'Space Program Data'!H11,0)</f>
        <v>0</v>
      </c>
      <c r="R110" s="2090"/>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c r="M112" s="795"/>
      <c r="N112" s="795"/>
      <c r="O112" s="2081">
        <f>Q112*0.0929</f>
        <v>0</v>
      </c>
      <c r="P112" s="2082"/>
      <c r="Q112" s="2089">
        <f>L112*'Space Program Data'!H19</f>
        <v>0</v>
      </c>
      <c r="R112" s="2090"/>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556</v>
      </c>
      <c r="C114" s="801"/>
      <c r="D114" s="801"/>
      <c r="E114" s="801"/>
      <c r="F114" s="801"/>
      <c r="G114" s="801"/>
      <c r="H114" s="801"/>
      <c r="I114" s="801"/>
      <c r="J114" s="801"/>
      <c r="K114" s="801"/>
      <c r="L114" s="840" t="s">
        <v>417</v>
      </c>
      <c r="M114" s="795"/>
      <c r="N114" s="795"/>
      <c r="O114" s="2081">
        <f>Q114*0.0929</f>
        <v>0</v>
      </c>
      <c r="P114" s="2082"/>
      <c r="Q114" s="2089">
        <f>IF(L114="Yes",'Space Program Data'!H21,0)</f>
        <v>0</v>
      </c>
      <c r="R114" s="2090"/>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678</v>
      </c>
      <c r="C116" s="967"/>
      <c r="D116" s="967"/>
      <c r="E116" s="967"/>
      <c r="F116" s="967"/>
      <c r="G116" s="967"/>
      <c r="H116" s="967"/>
      <c r="I116" s="967"/>
      <c r="J116" s="967"/>
      <c r="K116" s="841"/>
      <c r="L116" s="947">
        <v>0</v>
      </c>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557</v>
      </c>
      <c r="C118" s="801"/>
      <c r="D118" s="801"/>
      <c r="E118" s="801"/>
      <c r="F118" s="801"/>
      <c r="G118" s="801"/>
      <c r="H118" s="801"/>
      <c r="I118" s="801"/>
      <c r="J118" s="801"/>
      <c r="K118" s="801"/>
      <c r="L118" s="840" t="s">
        <v>417</v>
      </c>
      <c r="M118" s="795"/>
      <c r="N118" s="795"/>
      <c r="O118" s="2081">
        <f>Q118*0.0929</f>
        <v>0</v>
      </c>
      <c r="P118" s="2082"/>
      <c r="Q118" s="2089">
        <f>IF(L118="Yes",'Space Program Data'!H22,0)</f>
        <v>0</v>
      </c>
      <c r="R118" s="2090"/>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2088" t="s">
        <v>743</v>
      </c>
      <c r="C120" s="2088"/>
      <c r="D120" s="2088"/>
      <c r="E120" s="2088"/>
      <c r="F120" s="2088"/>
      <c r="G120" s="2088"/>
      <c r="H120" s="2088"/>
      <c r="I120" s="2088"/>
      <c r="J120" s="2088"/>
      <c r="K120" s="841"/>
      <c r="L120" s="840" t="s">
        <v>417</v>
      </c>
      <c r="M120" s="795"/>
      <c r="N120" s="795"/>
      <c r="O120" s="2081">
        <f>Q120*0.0929</f>
        <v>0</v>
      </c>
      <c r="P120" s="2082"/>
      <c r="Q120" s="2089">
        <f>IF(L120="Yes",'Space Program Data'!H23*L116,0)</f>
        <v>0</v>
      </c>
      <c r="R120" s="2090"/>
      <c r="S120" s="787"/>
      <c r="T120" s="783"/>
    </row>
    <row r="121" spans="1:20" s="784" customFormat="1" ht="13.5" customHeight="1" x14ac:dyDescent="0.2">
      <c r="A121" s="792"/>
      <c r="B121" s="2088"/>
      <c r="C121" s="2088"/>
      <c r="D121" s="2088"/>
      <c r="E121" s="2088"/>
      <c r="F121" s="2088"/>
      <c r="G121" s="2088"/>
      <c r="H121" s="2088"/>
      <c r="I121" s="2088"/>
      <c r="J121" s="2088"/>
      <c r="K121" s="1062"/>
      <c r="L121" s="939"/>
      <c r="M121" s="795"/>
      <c r="N121" s="795"/>
      <c r="O121" s="939"/>
      <c r="P121" s="966"/>
      <c r="Q121" s="966"/>
      <c r="R121" s="1063"/>
      <c r="S121" s="787"/>
      <c r="T121" s="783"/>
    </row>
    <row r="122" spans="1:20" s="784" customFormat="1" ht="12.4" customHeight="1" x14ac:dyDescent="0.2">
      <c r="A122" s="792"/>
      <c r="B122" s="2122"/>
      <c r="C122" s="2122"/>
      <c r="D122" s="2122"/>
      <c r="E122" s="2122"/>
      <c r="F122" s="2122"/>
      <c r="G122" s="2122"/>
      <c r="H122" s="2122"/>
      <c r="I122" s="2122"/>
      <c r="J122" s="2122"/>
      <c r="K122" s="2122"/>
      <c r="L122" s="2122"/>
      <c r="M122" s="798"/>
      <c r="N122" s="798"/>
      <c r="O122" s="777"/>
      <c r="P122" s="798"/>
      <c r="Q122" s="798"/>
      <c r="R122" s="777"/>
      <c r="S122" s="787"/>
      <c r="T122" s="783"/>
    </row>
    <row r="123" spans="1:20" s="784" customFormat="1" ht="12.4" customHeight="1" x14ac:dyDescent="0.2">
      <c r="A123" s="792"/>
      <c r="B123" s="801" t="s">
        <v>786</v>
      </c>
      <c r="C123" s="801"/>
      <c r="D123" s="801"/>
      <c r="E123" s="801"/>
      <c r="F123" s="801"/>
      <c r="G123" s="801"/>
      <c r="H123" s="801"/>
      <c r="I123" s="801"/>
      <c r="J123" s="801"/>
      <c r="K123" s="801"/>
      <c r="L123" s="840" t="s">
        <v>416</v>
      </c>
      <c r="M123" s="795"/>
      <c r="N123" s="795"/>
      <c r="O123" s="2081">
        <f>Q123*0.0929</f>
        <v>11.148</v>
      </c>
      <c r="P123" s="2082"/>
      <c r="Q123" s="2089">
        <f>IF(L123="Yes",'Space Program Data'!H20,0)</f>
        <v>120</v>
      </c>
      <c r="R123" s="2090"/>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2083" t="s">
        <v>420</v>
      </c>
      <c r="P125" s="2083"/>
      <c r="Q125" s="2130" t="s">
        <v>421</v>
      </c>
      <c r="R125" s="2130"/>
      <c r="S125" s="787"/>
      <c r="T125" s="783"/>
    </row>
    <row r="126" spans="1:20" s="784" customFormat="1" ht="12.4" customHeight="1" x14ac:dyDescent="0.2">
      <c r="A126" s="793" t="s">
        <v>544</v>
      </c>
      <c r="C126" s="794"/>
      <c r="D126" s="794"/>
      <c r="E126" s="794"/>
      <c r="F126" s="794"/>
      <c r="G126" s="794"/>
      <c r="H126" s="794"/>
      <c r="I126" s="794"/>
      <c r="J126" s="794"/>
      <c r="K126" s="794"/>
      <c r="L126" s="800"/>
      <c r="M126" s="800"/>
      <c r="N126" s="935" t="s">
        <v>543</v>
      </c>
      <c r="O126" s="2081">
        <f>Q126*0.0929</f>
        <v>317.99669999999998</v>
      </c>
      <c r="P126" s="2082"/>
      <c r="Q126" s="2091">
        <f>Q128+Q138+Q151+Q153+Q155+Q157+Q159+Q140+Q146+Q161+Q163</f>
        <v>3423</v>
      </c>
      <c r="R126" s="2092"/>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545</v>
      </c>
      <c r="C128" s="801"/>
      <c r="D128" s="801"/>
      <c r="E128" s="801"/>
      <c r="F128" s="801"/>
      <c r="G128" s="801"/>
      <c r="H128" s="801"/>
      <c r="I128" s="801"/>
      <c r="J128" s="801"/>
      <c r="K128" s="801"/>
      <c r="L128" s="800"/>
      <c r="M128" s="800"/>
      <c r="N128" s="800"/>
      <c r="O128" s="2081">
        <f>Q128*0.0929</f>
        <v>89.183999999999997</v>
      </c>
      <c r="P128" s="2082"/>
      <c r="Q128" s="2089">
        <f>'Space Program Data'!H57*I75</f>
        <v>960</v>
      </c>
      <c r="R128" s="2090"/>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2088" t="s">
        <v>553</v>
      </c>
      <c r="C130" s="2088"/>
      <c r="D130" s="2088"/>
      <c r="E130" s="2088"/>
      <c r="F130" s="2088"/>
      <c r="G130" s="939"/>
      <c r="H130" s="2093" t="s">
        <v>551</v>
      </c>
      <c r="I130" s="2094"/>
      <c r="J130" s="2094"/>
      <c r="K130" s="2095"/>
      <c r="L130" s="2129" t="s">
        <v>549</v>
      </c>
      <c r="M130" s="2129"/>
      <c r="N130" s="2129"/>
      <c r="O130" s="2129" t="s">
        <v>550</v>
      </c>
      <c r="P130" s="2129"/>
      <c r="Q130" s="2129"/>
      <c r="R130" s="2129"/>
      <c r="S130" s="787"/>
      <c r="T130" s="783"/>
    </row>
    <row r="131" spans="1:20" s="784" customFormat="1" ht="13.5" customHeight="1" x14ac:dyDescent="0.2">
      <c r="A131" s="792"/>
      <c r="B131" s="2088"/>
      <c r="C131" s="2088"/>
      <c r="D131" s="2088"/>
      <c r="E131" s="2088"/>
      <c r="F131" s="2088"/>
      <c r="G131" s="939"/>
      <c r="H131" s="2123" t="s">
        <v>682</v>
      </c>
      <c r="I131" s="2124"/>
      <c r="J131" s="2086" t="s">
        <v>552</v>
      </c>
      <c r="K131" s="2086" t="s">
        <v>681</v>
      </c>
      <c r="L131" s="2096" t="s">
        <v>546</v>
      </c>
      <c r="M131" s="2096"/>
      <c r="N131" s="2096" t="s">
        <v>547</v>
      </c>
      <c r="O131" s="2096" t="s">
        <v>574</v>
      </c>
      <c r="P131" s="2096"/>
      <c r="Q131" s="2096" t="s">
        <v>421</v>
      </c>
      <c r="R131" s="2096"/>
      <c r="S131" s="787"/>
      <c r="T131" s="783"/>
    </row>
    <row r="132" spans="1:20" s="784" customFormat="1" ht="13.5" x14ac:dyDescent="0.2">
      <c r="A132" s="792"/>
      <c r="B132" s="801"/>
      <c r="C132" s="801"/>
      <c r="D132" s="801"/>
      <c r="E132" s="801"/>
      <c r="F132" s="801"/>
      <c r="G132" s="939"/>
      <c r="H132" s="2125"/>
      <c r="I132" s="2126"/>
      <c r="J132" s="2087"/>
      <c r="K132" s="2087"/>
      <c r="L132" s="2096"/>
      <c r="M132" s="2096"/>
      <c r="N132" s="2096"/>
      <c r="O132" s="2096"/>
      <c r="P132" s="2096"/>
      <c r="Q132" s="2096"/>
      <c r="R132" s="2096"/>
      <c r="S132" s="787"/>
      <c r="T132" s="783"/>
    </row>
    <row r="133" spans="1:20" s="784" customFormat="1" ht="12.4" customHeight="1" x14ac:dyDescent="0.2">
      <c r="A133" s="792"/>
      <c r="B133" s="939"/>
      <c r="C133" s="801" t="s">
        <v>571</v>
      </c>
      <c r="D133" s="939"/>
      <c r="E133" s="801"/>
      <c r="F133" s="801"/>
      <c r="G133" s="939"/>
      <c r="H133" s="2127">
        <v>8</v>
      </c>
      <c r="I133" s="2128"/>
      <c r="J133" s="1048">
        <v>1</v>
      </c>
      <c r="K133" s="1048">
        <f>H133/J133</f>
        <v>8</v>
      </c>
      <c r="L133" s="2084">
        <f>N133*0.0929</f>
        <v>10.033199999999999</v>
      </c>
      <c r="M133" s="2084"/>
      <c r="N133" s="1074">
        <v>108</v>
      </c>
      <c r="O133" s="2084">
        <f>H133*L133</f>
        <v>80.265599999999992</v>
      </c>
      <c r="P133" s="2084"/>
      <c r="Q133" s="2097">
        <f>K133*N133</f>
        <v>864</v>
      </c>
      <c r="R133" s="2097"/>
      <c r="S133" s="787"/>
      <c r="T133" s="783"/>
    </row>
    <row r="134" spans="1:20" s="784" customFormat="1" ht="12.4" customHeight="1" x14ac:dyDescent="0.2">
      <c r="A134" s="792"/>
      <c r="B134" s="939"/>
      <c r="C134" s="801" t="s">
        <v>573</v>
      </c>
      <c r="D134" s="939"/>
      <c r="E134" s="801"/>
      <c r="F134" s="801"/>
      <c r="G134" s="939"/>
      <c r="H134" s="2127"/>
      <c r="I134" s="2128"/>
      <c r="J134" s="1048">
        <v>2</v>
      </c>
      <c r="K134" s="1048">
        <f>H134/J134</f>
        <v>0</v>
      </c>
      <c r="L134" s="2084">
        <f>N134*0.0929</f>
        <v>13.006</v>
      </c>
      <c r="M134" s="2084"/>
      <c r="N134" s="1074">
        <v>140</v>
      </c>
      <c r="O134" s="2084">
        <f>H134*L134</f>
        <v>0</v>
      </c>
      <c r="P134" s="2084"/>
      <c r="Q134" s="2097">
        <f>K134*N134</f>
        <v>0</v>
      </c>
      <c r="R134" s="2097"/>
      <c r="S134" s="787"/>
      <c r="T134" s="783"/>
    </row>
    <row r="135" spans="1:20" s="784" customFormat="1" ht="12.4" customHeight="1" x14ac:dyDescent="0.2">
      <c r="A135" s="792"/>
      <c r="B135" s="939"/>
      <c r="C135" s="801" t="s">
        <v>572</v>
      </c>
      <c r="D135" s="939"/>
      <c r="E135" s="801"/>
      <c r="F135" s="801"/>
      <c r="G135" s="939"/>
      <c r="H135" s="2127">
        <v>0</v>
      </c>
      <c r="I135" s="2128"/>
      <c r="J135" s="1048">
        <v>2</v>
      </c>
      <c r="K135" s="1048">
        <f>H135/J135</f>
        <v>0</v>
      </c>
      <c r="L135" s="2084">
        <f>N135*0.0929</f>
        <v>9.2899999999999991</v>
      </c>
      <c r="M135" s="2084"/>
      <c r="N135" s="1074">
        <v>100</v>
      </c>
      <c r="O135" s="2084">
        <f>H135*L135</f>
        <v>0</v>
      </c>
      <c r="P135" s="2084"/>
      <c r="Q135" s="2097">
        <f>K135*N135</f>
        <v>0</v>
      </c>
      <c r="R135" s="2097"/>
      <c r="S135" s="787"/>
      <c r="T135" s="783"/>
    </row>
    <row r="136" spans="1:20" s="784" customFormat="1" ht="12.4" customHeight="1" x14ac:dyDescent="0.2">
      <c r="A136" s="792"/>
      <c r="B136" s="801"/>
      <c r="C136" s="801" t="s">
        <v>783</v>
      </c>
      <c r="D136" s="939"/>
      <c r="E136" s="801"/>
      <c r="F136" s="801"/>
      <c r="G136" s="939"/>
      <c r="H136" s="2079">
        <f>SUM(H133:H135)</f>
        <v>8</v>
      </c>
      <c r="I136" s="2080"/>
      <c r="J136" s="1069" t="str">
        <f>I75&amp;" Responders to be Housed "</f>
        <v xml:space="preserve">8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575</v>
      </c>
      <c r="C138" s="801"/>
      <c r="D138" s="801"/>
      <c r="E138" s="801"/>
      <c r="F138" s="801"/>
      <c r="G138" s="801"/>
      <c r="H138" s="801"/>
      <c r="I138" s="801"/>
      <c r="J138" s="777"/>
      <c r="K138" s="939"/>
      <c r="L138" s="939"/>
      <c r="M138" s="939"/>
      <c r="N138" s="939"/>
      <c r="O138" s="2081">
        <f>Q138*0.0929</f>
        <v>80.265599999999992</v>
      </c>
      <c r="P138" s="2082"/>
      <c r="Q138" s="2089">
        <f>SUM(Q133:R135)</f>
        <v>864</v>
      </c>
      <c r="R138" s="2090"/>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758</v>
      </c>
      <c r="C140" s="843"/>
      <c r="D140" s="843"/>
      <c r="E140" s="843"/>
      <c r="F140" s="843"/>
      <c r="G140" s="843"/>
      <c r="H140" s="843"/>
      <c r="I140" s="843"/>
      <c r="J140" s="843"/>
      <c r="K140" s="2118" t="s">
        <v>826</v>
      </c>
      <c r="L140" s="2118"/>
      <c r="M140" s="2118"/>
      <c r="N140" s="2118"/>
      <c r="O140" s="2081">
        <f>Q140*0.0929</f>
        <v>16.3504</v>
      </c>
      <c r="P140" s="2082"/>
      <c r="Q140" s="2100">
        <f>Data!AJ14</f>
        <v>176</v>
      </c>
      <c r="R140" s="2101"/>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2118"/>
      <c r="L141" s="2118"/>
      <c r="M141" s="2118"/>
      <c r="N141" s="2118"/>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2118"/>
      <c r="L142" s="2118"/>
      <c r="M142" s="2118"/>
      <c r="N142" s="2118"/>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1</v>
      </c>
      <c r="K143" s="2118"/>
      <c r="L143" s="2118"/>
      <c r="M143" s="2118"/>
      <c r="N143" s="2118"/>
      <c r="O143" s="821"/>
      <c r="P143" s="821"/>
      <c r="Q143" s="821"/>
      <c r="R143" s="821"/>
      <c r="S143" s="787"/>
    </row>
    <row r="144" spans="1:20" ht="12.4" customHeight="1" x14ac:dyDescent="0.2">
      <c r="A144" s="792"/>
      <c r="B144" s="843"/>
      <c r="C144" s="798" t="str">
        <f>"Number of Lockers ("&amp;ROUNDUP(Q71*1.1,0)&amp;" suggested):"</f>
        <v>Number of Lockers (3 suggested):</v>
      </c>
      <c r="D144" s="798"/>
      <c r="E144" s="798"/>
      <c r="F144" s="798"/>
      <c r="G144" s="798"/>
      <c r="H144" s="798"/>
      <c r="I144" s="798"/>
      <c r="J144" s="1225">
        <v>3</v>
      </c>
      <c r="K144" s="2118"/>
      <c r="L144" s="2118"/>
      <c r="M144" s="2118"/>
      <c r="N144" s="2118"/>
      <c r="O144" s="821"/>
      <c r="P144" s="821"/>
      <c r="Q144" s="821"/>
      <c r="R144" s="821"/>
      <c r="S144" s="787"/>
    </row>
    <row r="145" spans="1:19" ht="12.4" customHeight="1" x14ac:dyDescent="0.2">
      <c r="A145" s="792"/>
      <c r="B145" s="801" t="s">
        <v>755</v>
      </c>
      <c r="C145" s="843"/>
      <c r="D145" s="843"/>
      <c r="E145" s="843"/>
      <c r="F145" s="843"/>
      <c r="G145" s="843"/>
      <c r="H145" s="843"/>
      <c r="I145" s="843"/>
      <c r="J145" s="843"/>
      <c r="K145" s="2118"/>
      <c r="L145" s="2118"/>
      <c r="M145" s="2118"/>
      <c r="N145" s="2118"/>
      <c r="O145" s="821"/>
      <c r="P145" s="821"/>
      <c r="Q145" s="821"/>
      <c r="R145" s="821"/>
      <c r="S145" s="787"/>
    </row>
    <row r="146" spans="1:19" ht="12.4" customHeight="1" x14ac:dyDescent="0.2">
      <c r="A146" s="792"/>
      <c r="B146" s="843"/>
      <c r="C146" s="798" t="str">
        <f>"Number of Lavatories ("&amp;Data!AE8&amp;" minimum):"</f>
        <v>Number of Lavatories (1 minimum):</v>
      </c>
      <c r="D146" s="798"/>
      <c r="E146" s="798"/>
      <c r="F146" s="798"/>
      <c r="G146" s="798"/>
      <c r="H146" s="798"/>
      <c r="I146" s="798"/>
      <c r="J146" s="819">
        <v>3</v>
      </c>
      <c r="K146" s="2118"/>
      <c r="L146" s="2118"/>
      <c r="M146" s="2118"/>
      <c r="N146" s="2118"/>
      <c r="O146" s="2081">
        <f>Q146*0.0929</f>
        <v>30.378299999999999</v>
      </c>
      <c r="P146" s="2082"/>
      <c r="Q146" s="2100">
        <f>Data!AG14</f>
        <v>327</v>
      </c>
      <c r="R146" s="2101"/>
      <c r="S146" s="787"/>
    </row>
    <row r="147" spans="1:19" ht="12.4" customHeight="1" x14ac:dyDescent="0.2">
      <c r="A147" s="792"/>
      <c r="B147" s="843"/>
      <c r="C147" s="798" t="str">
        <f>"Number of Urinals / WCs ("&amp;Data!AE6&amp;" minimum):"</f>
        <v>Number of Urinals / WCs (1 minimum):</v>
      </c>
      <c r="D147" s="798"/>
      <c r="E147" s="798"/>
      <c r="F147" s="798"/>
      <c r="G147" s="798"/>
      <c r="H147" s="798"/>
      <c r="I147" s="798"/>
      <c r="J147" s="819">
        <v>4</v>
      </c>
      <c r="K147" s="2118"/>
      <c r="L147" s="2118"/>
      <c r="M147" s="2118"/>
      <c r="N147" s="2118"/>
      <c r="O147" s="821"/>
      <c r="P147" s="821"/>
      <c r="Q147" s="821"/>
      <c r="R147" s="821"/>
      <c r="S147" s="787"/>
    </row>
    <row r="148" spans="1:19" ht="12.4" customHeight="1" x14ac:dyDescent="0.2">
      <c r="A148" s="792"/>
      <c r="B148" s="843"/>
      <c r="C148" s="798" t="str">
        <f>"Number of Showers ("&amp;Data!AE9&amp;" minimum):"</f>
        <v>Number of Showers (1 minimum):</v>
      </c>
      <c r="D148" s="798"/>
      <c r="E148" s="798"/>
      <c r="F148" s="798"/>
      <c r="G148" s="798"/>
      <c r="H148" s="798"/>
      <c r="I148" s="798"/>
      <c r="J148" s="819">
        <v>2</v>
      </c>
      <c r="K148" s="2118"/>
      <c r="L148" s="2118"/>
      <c r="M148" s="2118"/>
      <c r="N148" s="2118"/>
      <c r="O148" s="821"/>
      <c r="P148" s="821"/>
      <c r="Q148" s="821"/>
      <c r="R148" s="821"/>
      <c r="S148" s="787"/>
    </row>
    <row r="149" spans="1:19" ht="12.4" customHeight="1" x14ac:dyDescent="0.2">
      <c r="A149" s="792"/>
      <c r="B149" s="843"/>
      <c r="C149" s="798" t="str">
        <f>"Number of Lockers ("&amp;ROUNDUP(Q69*1.1,0)&amp;" suggested):"</f>
        <v>Number of Lockers (7 suggested):</v>
      </c>
      <c r="D149" s="798"/>
      <c r="E149" s="798"/>
      <c r="F149" s="798"/>
      <c r="G149" s="798"/>
      <c r="H149" s="798"/>
      <c r="I149" s="798"/>
      <c r="J149" s="1225">
        <v>7</v>
      </c>
      <c r="K149" s="2118"/>
      <c r="L149" s="2118"/>
      <c r="M149" s="2118"/>
      <c r="N149" s="2118"/>
      <c r="O149" s="1183"/>
      <c r="P149" s="1183"/>
      <c r="Q149" s="1183"/>
      <c r="R149" s="1183"/>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822</v>
      </c>
      <c r="C151" s="801"/>
      <c r="D151" s="801"/>
      <c r="E151" s="801"/>
      <c r="F151" s="801"/>
      <c r="G151" s="801"/>
      <c r="H151" s="801"/>
      <c r="I151" s="801"/>
      <c r="J151" s="801"/>
      <c r="K151" s="801"/>
      <c r="L151" s="821"/>
      <c r="M151" s="821"/>
      <c r="N151" s="821"/>
      <c r="O151" s="2081">
        <f>Q151*0.0929</f>
        <v>8.9184000000000001</v>
      </c>
      <c r="P151" s="2082"/>
      <c r="Q151" s="2089">
        <f>I75*'Space Program Data'!H65</f>
        <v>96</v>
      </c>
      <c r="R151" s="2090"/>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684</v>
      </c>
      <c r="C153" s="801"/>
      <c r="D153" s="801"/>
      <c r="E153" s="801"/>
      <c r="F153" s="801"/>
      <c r="G153" s="801"/>
      <c r="H153" s="801"/>
      <c r="I153" s="801"/>
      <c r="J153" s="801"/>
      <c r="K153" s="801"/>
      <c r="L153" s="821"/>
      <c r="M153" s="821"/>
      <c r="N153" s="821"/>
      <c r="O153" s="2081">
        <f>Q153*0.0929</f>
        <v>44.591999999999999</v>
      </c>
      <c r="P153" s="2082"/>
      <c r="Q153" s="2100">
        <f>'Space Program Data'!H64*I75</f>
        <v>480</v>
      </c>
      <c r="R153" s="2101"/>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686</v>
      </c>
      <c r="C155" s="801"/>
      <c r="D155" s="801"/>
      <c r="E155" s="801"/>
      <c r="F155" s="801"/>
      <c r="G155" s="801"/>
      <c r="H155" s="1195">
        <f>IF(G61&gt;4,4,IF(G61&gt;2,3,2))</f>
        <v>2</v>
      </c>
      <c r="I155" s="801"/>
      <c r="J155" s="801" t="s">
        <v>685</v>
      </c>
      <c r="K155" s="801"/>
      <c r="L155" s="821"/>
      <c r="M155" s="821"/>
      <c r="N155" s="821"/>
      <c r="O155" s="2081">
        <f>Q155*0.0929</f>
        <v>3.7159999999999997</v>
      </c>
      <c r="P155" s="2082"/>
      <c r="Q155" s="2089">
        <f>'Space Program Data'!H70*H155</f>
        <v>40</v>
      </c>
      <c r="R155" s="2090"/>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789</v>
      </c>
      <c r="C157" s="801"/>
      <c r="D157" s="801"/>
      <c r="E157" s="801"/>
      <c r="F157" s="801"/>
      <c r="G157" s="801"/>
      <c r="H157" s="801"/>
      <c r="I157" s="801"/>
      <c r="J157" s="801"/>
      <c r="K157" s="801"/>
      <c r="L157" s="840" t="s">
        <v>417</v>
      </c>
      <c r="M157" s="795"/>
      <c r="N157" s="795"/>
      <c r="O157" s="2073">
        <f>Q157*0.0929</f>
        <v>0</v>
      </c>
      <c r="P157" s="2074"/>
      <c r="Q157" s="2075">
        <f>IF(L157="Yes",'Space Program Data'!H66,0)</f>
        <v>0</v>
      </c>
      <c r="R157" s="2076"/>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687</v>
      </c>
      <c r="C159" s="801"/>
      <c r="D159" s="801"/>
      <c r="E159" s="801"/>
      <c r="F159" s="801"/>
      <c r="G159" s="801"/>
      <c r="H159" s="801"/>
      <c r="I159" s="801"/>
      <c r="J159" s="801"/>
      <c r="K159" s="801"/>
      <c r="L159" s="840" t="s">
        <v>416</v>
      </c>
      <c r="M159" s="795"/>
      <c r="N159" s="795"/>
      <c r="O159" s="2073">
        <f>Q159*0.0929</f>
        <v>33.443999999999996</v>
      </c>
      <c r="P159" s="2074"/>
      <c r="Q159" s="2075">
        <f>IF(L159="Yes",'Space Program Data'!H67,0)</f>
        <v>360</v>
      </c>
      <c r="R159" s="2076"/>
      <c r="S159" s="974"/>
    </row>
    <row r="160" spans="1:19" ht="12.4" customHeight="1" x14ac:dyDescent="0.2">
      <c r="A160" s="792"/>
      <c r="B160" s="801"/>
      <c r="C160" s="801"/>
      <c r="D160" s="801"/>
      <c r="E160" s="801"/>
      <c r="F160" s="801"/>
      <c r="G160" s="801"/>
      <c r="H160" s="801"/>
      <c r="I160" s="801"/>
      <c r="J160" s="801"/>
      <c r="K160" s="801"/>
      <c r="L160" s="801"/>
      <c r="M160" s="801"/>
      <c r="N160" s="795"/>
      <c r="O160" s="1177"/>
      <c r="P160" s="1177"/>
      <c r="Q160" s="1178"/>
      <c r="R160" s="1178"/>
      <c r="S160" s="974"/>
    </row>
    <row r="161" spans="1:20" ht="12.4" customHeight="1" x14ac:dyDescent="0.2">
      <c r="A161" s="792"/>
      <c r="B161" s="801" t="s">
        <v>840</v>
      </c>
      <c r="C161" s="801"/>
      <c r="D161" s="801"/>
      <c r="E161" s="801"/>
      <c r="F161" s="801"/>
      <c r="G161" s="801"/>
      <c r="H161" s="840" t="s">
        <v>417</v>
      </c>
      <c r="I161" s="801"/>
      <c r="K161" s="801"/>
      <c r="L161" s="833" t="s">
        <v>841</v>
      </c>
      <c r="M161" s="819">
        <v>2</v>
      </c>
      <c r="N161" s="795"/>
      <c r="O161" s="2073">
        <f>Q161*0.0929</f>
        <v>0</v>
      </c>
      <c r="P161" s="2074"/>
      <c r="Q161" s="2075">
        <f>IF(H161="Yes",M161*'Space Program Data'!H69,0)</f>
        <v>0</v>
      </c>
      <c r="R161" s="2076"/>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(3 recommended):</v>
      </c>
      <c r="C163" s="801"/>
      <c r="D163" s="801"/>
      <c r="E163" s="801"/>
      <c r="F163" s="801"/>
      <c r="G163" s="801"/>
      <c r="H163" s="801"/>
      <c r="I163" s="801"/>
      <c r="J163" s="801"/>
      <c r="K163" s="801"/>
      <c r="L163" s="819">
        <v>3</v>
      </c>
      <c r="N163" s="795"/>
      <c r="O163" s="2073">
        <f>Q163*0.0929</f>
        <v>11.148</v>
      </c>
      <c r="P163" s="2074"/>
      <c r="Q163" s="2075">
        <f>L163*'Space Program Data'!H68</f>
        <v>120</v>
      </c>
      <c r="R163" s="2076"/>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2104" t="s">
        <v>420</v>
      </c>
      <c r="P165" s="2104"/>
      <c r="Q165" s="2105" t="s">
        <v>421</v>
      </c>
      <c r="R165" s="2105"/>
      <c r="S165" s="981"/>
    </row>
    <row r="166" spans="1:20" ht="12.4" customHeight="1" x14ac:dyDescent="0.2">
      <c r="A166" s="793" t="s">
        <v>714</v>
      </c>
      <c r="B166" s="820"/>
      <c r="C166" s="843"/>
      <c r="D166" s="843"/>
      <c r="E166" s="843"/>
      <c r="F166" s="843"/>
      <c r="G166" s="843"/>
      <c r="H166" s="843"/>
      <c r="I166" s="843"/>
      <c r="J166" s="843"/>
      <c r="K166" s="843"/>
      <c r="L166" s="821"/>
      <c r="M166" s="821"/>
      <c r="N166" s="935" t="s">
        <v>543</v>
      </c>
      <c r="O166" s="2073">
        <f>Q166*0.0929</f>
        <v>128.202</v>
      </c>
      <c r="P166" s="2074"/>
      <c r="Q166" s="2075">
        <f>Q170+Q178+Q185+Q174+Q176+Q187+Q181+Q189+Q192+Q194+Q196+Q198+Q200+Q205+Q209+Q211+Q213+Q215+Q203+Q221+Q172+Q179+Q183+Q201+Q190+Q219+Q223+Q225</f>
        <v>1380</v>
      </c>
      <c r="R166" s="2076"/>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716</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1003</v>
      </c>
      <c r="C170" s="801"/>
      <c r="D170" s="801"/>
      <c r="E170" s="801"/>
      <c r="F170" s="801"/>
      <c r="G170" s="801"/>
      <c r="H170" s="801"/>
      <c r="I170" s="801"/>
      <c r="J170" s="801"/>
      <c r="K170" s="801"/>
      <c r="L170" s="821"/>
      <c r="M170" s="821"/>
      <c r="N170" s="821"/>
      <c r="O170" s="2073">
        <f>Q170*0.0929</f>
        <v>11.148</v>
      </c>
      <c r="P170" s="2074"/>
      <c r="Q170" s="2075">
        <f>'Space Program Data'!H26</f>
        <v>120</v>
      </c>
      <c r="R170" s="2076"/>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885</v>
      </c>
      <c r="C172" s="809"/>
      <c r="D172" s="809"/>
      <c r="E172" s="809"/>
      <c r="F172" s="809"/>
      <c r="G172" s="809"/>
      <c r="H172" s="809"/>
      <c r="I172" s="801"/>
      <c r="J172" s="1176" t="s">
        <v>416</v>
      </c>
      <c r="K172" s="801"/>
      <c r="L172" s="809" t="s">
        <v>696</v>
      </c>
      <c r="M172" s="810"/>
      <c r="N172" s="810"/>
      <c r="O172" s="2073">
        <f>Q172*0.0929</f>
        <v>5.9455999999999998</v>
      </c>
      <c r="P172" s="2074"/>
      <c r="Q172" s="2077">
        <f>IF(J172="Yes",'Space Program Data'!H30,0)</f>
        <v>64</v>
      </c>
      <c r="R172" s="2078"/>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689</v>
      </c>
      <c r="C174" s="809"/>
      <c r="D174" s="809"/>
      <c r="E174" s="809"/>
      <c r="F174" s="809"/>
      <c r="G174" s="809"/>
      <c r="H174" s="809"/>
      <c r="I174" s="801"/>
      <c r="J174" s="840" t="s">
        <v>416</v>
      </c>
      <c r="K174" s="801"/>
      <c r="L174" s="809" t="s">
        <v>690</v>
      </c>
      <c r="M174" s="810"/>
      <c r="N174" s="810"/>
      <c r="O174" s="2073">
        <f>Q174*0.0929</f>
        <v>9.2899999999999991</v>
      </c>
      <c r="P174" s="2074"/>
      <c r="Q174" s="2077">
        <f>IF(J174="Yes",'Space Program Data'!H31,0)</f>
        <v>100</v>
      </c>
      <c r="R174" s="2078"/>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886</v>
      </c>
      <c r="C176" s="801"/>
      <c r="D176" s="801"/>
      <c r="E176" s="801"/>
      <c r="F176" s="801"/>
      <c r="G176" s="801"/>
      <c r="H176" s="801"/>
      <c r="I176" s="801"/>
      <c r="J176" s="840" t="s">
        <v>416</v>
      </c>
      <c r="K176" s="801"/>
      <c r="L176" s="809" t="s">
        <v>706</v>
      </c>
      <c r="M176" s="829"/>
      <c r="N176" s="829"/>
      <c r="O176" s="2073">
        <f>Q176*0.0929</f>
        <v>5.5739999999999998</v>
      </c>
      <c r="P176" s="2074"/>
      <c r="Q176" s="2075">
        <f>IF(J176="Yes",'Space Program Data'!H76,0)</f>
        <v>60</v>
      </c>
      <c r="R176" s="2076"/>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720</v>
      </c>
      <c r="C178" s="809"/>
      <c r="D178" s="809"/>
      <c r="E178" s="809"/>
      <c r="F178" s="809"/>
      <c r="G178" s="809"/>
      <c r="H178" s="809"/>
      <c r="I178" s="801"/>
      <c r="J178" s="840" t="s">
        <v>417</v>
      </c>
      <c r="K178" s="801"/>
      <c r="L178" s="809" t="s">
        <v>688</v>
      </c>
      <c r="M178" s="810"/>
      <c r="N178" s="810"/>
      <c r="O178" s="2073">
        <f>Q178*0.0929</f>
        <v>0</v>
      </c>
      <c r="P178" s="2074"/>
      <c r="Q178" s="2077">
        <f>IF(J178="Yes",'Space Program Data'!H27,0)</f>
        <v>0</v>
      </c>
      <c r="R178" s="2078"/>
      <c r="S178" s="983"/>
    </row>
    <row r="179" spans="1:20" ht="13.5" x14ac:dyDescent="0.2">
      <c r="A179" s="827"/>
      <c r="B179" s="801" t="s">
        <v>888</v>
      </c>
      <c r="C179" s="1164"/>
      <c r="D179" s="829"/>
      <c r="E179" s="829"/>
      <c r="F179" s="829"/>
      <c r="G179" s="829"/>
      <c r="H179" s="829"/>
      <c r="I179" s="801"/>
      <c r="J179" s="1176" t="s">
        <v>417</v>
      </c>
      <c r="K179" s="801"/>
      <c r="L179" s="809" t="s">
        <v>721</v>
      </c>
      <c r="M179" s="775"/>
      <c r="N179" s="775"/>
      <c r="O179" s="2073">
        <f>Q179*0.0929</f>
        <v>0</v>
      </c>
      <c r="P179" s="2074"/>
      <c r="Q179" s="2077">
        <f>IF(AND(J178="Yes",J179="Yes"),'Space Program Data'!H61,0)</f>
        <v>0</v>
      </c>
      <c r="R179" s="2078"/>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692</v>
      </c>
      <c r="C181" s="809"/>
      <c r="D181" s="809"/>
      <c r="E181" s="809"/>
      <c r="F181" s="809"/>
      <c r="G181" s="809"/>
      <c r="H181" s="809"/>
      <c r="I181" s="809"/>
      <c r="J181" s="840" t="s">
        <v>417</v>
      </c>
      <c r="K181" s="809"/>
      <c r="L181" s="809" t="s">
        <v>693</v>
      </c>
      <c r="M181" s="810"/>
      <c r="N181" s="810"/>
      <c r="O181" s="2073">
        <f>Q181*0.0929</f>
        <v>0</v>
      </c>
      <c r="P181" s="2074"/>
      <c r="Q181" s="2077">
        <f>IF(AND(J181="Yes",J178="Yes"),'Space Program Data'!H28,0)</f>
        <v>0</v>
      </c>
      <c r="R181" s="2078"/>
      <c r="S181" s="983"/>
      <c r="T181" s="783"/>
    </row>
    <row r="182" spans="1:20" x14ac:dyDescent="0.2">
      <c r="A182" s="827"/>
      <c r="B182" s="1107" t="str">
        <f>IF($P$8=Data!$B$15,"     *Typically only provided in an HQ/Main facility.",)</f>
        <v xml:space="preserve">     *Typically only provided in an HQ/Main facility.</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903</v>
      </c>
      <c r="C183" s="809"/>
      <c r="D183" s="809"/>
      <c r="E183" s="809"/>
      <c r="F183" s="809"/>
      <c r="G183" s="809"/>
      <c r="H183" s="809"/>
      <c r="I183" s="809"/>
      <c r="J183" s="1184" t="s">
        <v>417</v>
      </c>
      <c r="K183" s="809"/>
      <c r="L183" s="809" t="s">
        <v>904</v>
      </c>
      <c r="M183" s="810"/>
      <c r="N183" s="810"/>
      <c r="O183" s="2073">
        <f>Q183*0.0929</f>
        <v>0</v>
      </c>
      <c r="P183" s="2074"/>
      <c r="Q183" s="2077">
        <f>IF(J183="Yes",'Space Program Data'!H62,0)</f>
        <v>0</v>
      </c>
      <c r="R183" s="2078"/>
      <c r="S183" s="983"/>
      <c r="T183" s="783"/>
    </row>
    <row r="184" spans="1:20" x14ac:dyDescent="0.2">
      <c r="A184" s="827"/>
      <c r="B184" s="1107" t="str">
        <f>IF($P$8=Data!$B$15,"     *Typically only provided in an HQ/Main facility.",)</f>
        <v xml:space="preserve">     *Typically only provided in an HQ/Main facility.</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548</v>
      </c>
      <c r="C185" s="801"/>
      <c r="D185" s="801"/>
      <c r="E185" s="801"/>
      <c r="F185" s="801"/>
      <c r="G185" s="801"/>
      <c r="H185" s="801"/>
      <c r="I185" s="801"/>
      <c r="J185" s="840" t="s">
        <v>417</v>
      </c>
      <c r="K185" s="801"/>
      <c r="L185" s="809" t="s">
        <v>688</v>
      </c>
      <c r="M185" s="795"/>
      <c r="N185" s="795"/>
      <c r="O185" s="2073">
        <f>Q185*0.0929</f>
        <v>0</v>
      </c>
      <c r="P185" s="2074"/>
      <c r="Q185" s="2075">
        <f>IF(J185="Yes",'Space Program Data'!H29,0)</f>
        <v>0</v>
      </c>
      <c r="R185" s="2076"/>
      <c r="S185" s="983"/>
      <c r="T185" s="783"/>
    </row>
    <row r="186" spans="1:20" ht="13.5" x14ac:dyDescent="0.2">
      <c r="A186" s="827"/>
      <c r="B186" s="1107"/>
      <c r="C186" s="1164"/>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691</v>
      </c>
      <c r="C187" s="809"/>
      <c r="D187" s="809"/>
      <c r="E187" s="809"/>
      <c r="F187" s="809"/>
      <c r="G187" s="809"/>
      <c r="H187" s="809"/>
      <c r="I187" s="809"/>
      <c r="J187" s="840" t="s">
        <v>417</v>
      </c>
      <c r="K187" s="809"/>
      <c r="L187" s="809" t="s">
        <v>688</v>
      </c>
      <c r="M187" s="810"/>
      <c r="N187" s="810"/>
      <c r="O187" s="2073">
        <f>Q187*0.0929</f>
        <v>0</v>
      </c>
      <c r="P187" s="2074"/>
      <c r="Q187" s="2077">
        <f>IF(J187="Yes",'Space Program Data'!H32,0)</f>
        <v>0</v>
      </c>
      <c r="R187" s="2078"/>
      <c r="S187" s="983"/>
    </row>
    <row r="188" spans="1:20" x14ac:dyDescent="0.2">
      <c r="A188" s="827"/>
      <c r="B188" s="1107" t="str">
        <f>IF($P$8=Data!$B$15,"     *Typically only provided in an HQ/Main facility.",)</f>
        <v xml:space="preserve">     *Typically only provided in an HQ/Main facility.</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889</v>
      </c>
      <c r="C189" s="1196"/>
      <c r="D189" s="1196"/>
      <c r="E189" s="1196"/>
      <c r="F189" s="1196"/>
      <c r="G189" s="1196"/>
      <c r="H189" s="1196"/>
      <c r="I189" s="801"/>
      <c r="J189" s="840" t="s">
        <v>416</v>
      </c>
      <c r="K189" s="801"/>
      <c r="L189" s="809" t="s">
        <v>688</v>
      </c>
      <c r="M189" s="795"/>
      <c r="N189" s="795"/>
      <c r="O189" s="2073">
        <f>Q189*0.0929</f>
        <v>11.148</v>
      </c>
      <c r="P189" s="2074"/>
      <c r="Q189" s="2075">
        <f>IF(J189="Yes",'Space Program Data'!H33,0)</f>
        <v>120</v>
      </c>
      <c r="R189" s="2076"/>
      <c r="S189" s="983"/>
    </row>
    <row r="190" spans="1:20" ht="12.75" customHeight="1" x14ac:dyDescent="0.2">
      <c r="A190" s="827"/>
      <c r="B190" s="801" t="s">
        <v>888</v>
      </c>
      <c r="C190" s="1164"/>
      <c r="D190" s="829"/>
      <c r="E190" s="829"/>
      <c r="F190" s="829"/>
      <c r="G190" s="829"/>
      <c r="H190" s="829"/>
      <c r="I190" s="801"/>
      <c r="J190" s="1176" t="s">
        <v>417</v>
      </c>
      <c r="K190" s="876"/>
      <c r="L190" s="809" t="s">
        <v>721</v>
      </c>
      <c r="M190" s="775"/>
      <c r="N190" s="775"/>
      <c r="O190" s="2073">
        <f>Q190*0.0929</f>
        <v>0</v>
      </c>
      <c r="P190" s="2074"/>
      <c r="Q190" s="2077">
        <f>IF(AND(J189="Yes",J190="Yes"),'Space Program Data'!H61,0)</f>
        <v>0</v>
      </c>
      <c r="R190" s="2078"/>
      <c r="S190" s="983"/>
      <c r="T190" s="783"/>
    </row>
    <row r="191" spans="1:20" ht="12.75" customHeight="1" x14ac:dyDescent="0.2">
      <c r="A191" s="827"/>
      <c r="B191" s="1107" t="str">
        <f>IF($P$8=Data!$B$15,"     *Typically only provided in an HQ/Main facility.",)</f>
        <v xml:space="preserve">     *Typically only provided in an HQ/Main facility.</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694</v>
      </c>
      <c r="C192" s="801"/>
      <c r="D192" s="801"/>
      <c r="E192" s="801"/>
      <c r="F192" s="801"/>
      <c r="G192" s="801"/>
      <c r="H192" s="801"/>
      <c r="I192" s="801"/>
      <c r="J192" s="840" t="s">
        <v>417</v>
      </c>
      <c r="K192" s="801"/>
      <c r="L192" s="809" t="s">
        <v>688</v>
      </c>
      <c r="M192" s="795"/>
      <c r="N192" s="795"/>
      <c r="O192" s="2073">
        <f>Q192*0.0929</f>
        <v>0</v>
      </c>
      <c r="P192" s="2074"/>
      <c r="Q192" s="2075">
        <f>IF(J192="Yes",'Space Program Data'!H34,0)</f>
        <v>0</v>
      </c>
      <c r="R192" s="2076"/>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773</v>
      </c>
      <c r="C194" s="801"/>
      <c r="D194" s="801"/>
      <c r="E194" s="801"/>
      <c r="F194" s="801"/>
      <c r="G194" s="801"/>
      <c r="H194" s="801"/>
      <c r="I194" s="801"/>
      <c r="J194" s="819">
        <v>0</v>
      </c>
      <c r="K194" s="801"/>
      <c r="L194" s="809" t="s">
        <v>696</v>
      </c>
      <c r="M194" s="795"/>
      <c r="N194" s="795"/>
      <c r="O194" s="2073">
        <f>Q194*0.0929</f>
        <v>0</v>
      </c>
      <c r="P194" s="2074"/>
      <c r="Q194" s="2075">
        <f>'Space Program Data'!H35*J194</f>
        <v>0</v>
      </c>
      <c r="R194" s="2076"/>
      <c r="S194" s="983"/>
    </row>
    <row r="195" spans="1:20" ht="13.5" x14ac:dyDescent="0.2">
      <c r="A195" s="827"/>
      <c r="B195" s="1107" t="str">
        <f>IF($P$8=Data!$B$15,"     *Typically only provided in an HQ/Main facility.",)</f>
        <v xml:space="preserve">     *Typically only provided in an HQ/Main facility.</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695</v>
      </c>
      <c r="C196" s="801"/>
      <c r="D196" s="801"/>
      <c r="E196" s="801"/>
      <c r="F196" s="801"/>
      <c r="G196" s="801"/>
      <c r="H196" s="801"/>
      <c r="I196" s="801"/>
      <c r="J196" s="1552" t="s">
        <v>417</v>
      </c>
      <c r="K196" s="801"/>
      <c r="L196" s="809" t="s">
        <v>688</v>
      </c>
      <c r="M196" s="795"/>
      <c r="N196" s="795"/>
      <c r="O196" s="2073">
        <f>Q196*0.0929</f>
        <v>0</v>
      </c>
      <c r="P196" s="2074"/>
      <c r="Q196" s="2075">
        <f>IF(J196="Yes",'Space Program Data'!H36,0)</f>
        <v>0</v>
      </c>
      <c r="R196" s="2076"/>
      <c r="S196" s="983"/>
    </row>
    <row r="197" spans="1:20" x14ac:dyDescent="0.2">
      <c r="A197" s="827"/>
      <c r="B197" s="1107" t="str">
        <f>IF($P$8=Data!$B$15,"     *Typically only provided in an HQ/Main facility.",)</f>
        <v xml:space="preserve">     *Typically only provided in an HQ/Main facility.</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697</v>
      </c>
      <c r="C198" s="801"/>
      <c r="D198" s="801"/>
      <c r="E198" s="801"/>
      <c r="F198" s="801"/>
      <c r="G198" s="801"/>
      <c r="H198" s="801"/>
      <c r="I198" s="801"/>
      <c r="J198" s="840" t="s">
        <v>417</v>
      </c>
      <c r="K198" s="801"/>
      <c r="L198" s="809" t="s">
        <v>688</v>
      </c>
      <c r="M198" s="795"/>
      <c r="N198" s="795"/>
      <c r="O198" s="2073">
        <f>Q198*0.0929</f>
        <v>0</v>
      </c>
      <c r="P198" s="2074"/>
      <c r="Q198" s="2075">
        <f>IF(J198="Yes",'Space Program Data'!H37,0)</f>
        <v>0</v>
      </c>
      <c r="R198" s="2076"/>
      <c r="S198" s="983"/>
    </row>
    <row r="199" spans="1:20" x14ac:dyDescent="0.2">
      <c r="A199" s="827"/>
      <c r="B199" s="1107" t="str">
        <f>IF($P$8=Data!$B$15,"     *Typically only provided in an HQ/Main facility.",)</f>
        <v xml:space="preserve">     *Typically only provided in an HQ/Main facility.</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726</v>
      </c>
      <c r="C200" s="801"/>
      <c r="D200" s="801"/>
      <c r="E200" s="801"/>
      <c r="F200" s="801"/>
      <c r="G200" s="801"/>
      <c r="H200" s="801"/>
      <c r="I200" s="801"/>
      <c r="J200" s="840" t="s">
        <v>417</v>
      </c>
      <c r="K200" s="801"/>
      <c r="L200" s="809" t="s">
        <v>688</v>
      </c>
      <c r="M200" s="795"/>
      <c r="N200" s="795"/>
      <c r="O200" s="2073">
        <f>Q200*0.0929</f>
        <v>0</v>
      </c>
      <c r="P200" s="2074"/>
      <c r="Q200" s="2075">
        <f>IF(J200="Yes",'Space Program Data'!H38,0)</f>
        <v>0</v>
      </c>
      <c r="R200" s="2076"/>
      <c r="S200" s="983"/>
    </row>
    <row r="201" spans="1:20" ht="13.5" x14ac:dyDescent="0.2">
      <c r="A201" s="827"/>
      <c r="B201" s="801">
        <f>IF(J200="Yes","Number of Responders in Department:",)</f>
        <v>0</v>
      </c>
      <c r="C201" s="876"/>
      <c r="D201" s="876"/>
      <c r="E201" s="876"/>
      <c r="F201" s="876"/>
      <c r="G201" s="876"/>
      <c r="H201" s="876"/>
      <c r="I201" s="876"/>
      <c r="J201" s="1154">
        <f>IF(J200="Yes",H13,0)</f>
        <v>0</v>
      </c>
      <c r="K201" s="876"/>
      <c r="L201" s="809" t="s">
        <v>727</v>
      </c>
      <c r="M201" s="829"/>
      <c r="N201" s="829"/>
      <c r="O201" s="2073">
        <f>Q201*0.0929</f>
        <v>0</v>
      </c>
      <c r="P201" s="2074"/>
      <c r="Q201" s="2075">
        <f>IF(J200="Yes",J201*'Space Program Data'!H39,0)</f>
        <v>0</v>
      </c>
      <c r="R201" s="2076"/>
      <c r="S201" s="983"/>
    </row>
    <row r="202" spans="1:20" ht="13.5" x14ac:dyDescent="0.2">
      <c r="A202" s="827"/>
      <c r="B202" s="1107" t="str">
        <f>IF($P$8=Data!$B$15,"     *Typically only provided in an HQ/Main facility.",)</f>
        <v xml:space="preserve">     *Typically only provided in an HQ/Main facility.</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700</v>
      </c>
      <c r="C203" s="801"/>
      <c r="D203" s="801"/>
      <c r="E203" s="801"/>
      <c r="F203" s="801"/>
      <c r="G203" s="801"/>
      <c r="H203" s="801"/>
      <c r="I203" s="801"/>
      <c r="J203" s="840" t="s">
        <v>416</v>
      </c>
      <c r="K203" s="801"/>
      <c r="L203" s="809" t="s">
        <v>696</v>
      </c>
      <c r="M203" s="821"/>
      <c r="N203" s="821"/>
      <c r="O203" s="2073">
        <f>Q203*0.0929</f>
        <v>7.4319999999999995</v>
      </c>
      <c r="P203" s="2074"/>
      <c r="Q203" s="2075">
        <f>IF(J203="Yes",'Space Program Data'!H49,0)</f>
        <v>80</v>
      </c>
      <c r="R203" s="2076"/>
      <c r="S203" s="983"/>
      <c r="T203" s="783"/>
    </row>
    <row r="204" spans="1:20" ht="13.5" x14ac:dyDescent="0.2">
      <c r="A204" s="827"/>
      <c r="B204" s="1107" t="str">
        <f>IF($P$8=Data!$B$15,"     *Typically only provided in an HQ/Main facility.",)</f>
        <v xml:space="preserve">     *Typically only provided in an HQ/Main facility.</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834</v>
      </c>
      <c r="C205" s="801"/>
      <c r="D205" s="801"/>
      <c r="E205" s="801"/>
      <c r="F205" s="2117" t="s">
        <v>837</v>
      </c>
      <c r="G205" s="2117"/>
      <c r="H205" s="2117"/>
      <c r="I205" s="801"/>
      <c r="K205" s="801"/>
      <c r="L205" s="809" t="s">
        <v>696</v>
      </c>
      <c r="M205" s="821"/>
      <c r="N205" s="821"/>
      <c r="O205" s="2073">
        <f>Q205*0.0929</f>
        <v>0</v>
      </c>
      <c r="P205" s="2074"/>
      <c r="Q205" s="2075">
        <f>IF(F205='Space Program Data'!K40,'Space Program Data'!H40,IF(F205='Space Program Data'!K41,'Space Program Data'!H41,'Space Program Data'!H42))</f>
        <v>0</v>
      </c>
      <c r="R205" s="2076"/>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715</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698</v>
      </c>
      <c r="C209" s="801"/>
      <c r="D209" s="801"/>
      <c r="E209" s="801"/>
      <c r="F209" s="801"/>
      <c r="G209" s="801"/>
      <c r="H209" s="801"/>
      <c r="I209" s="801"/>
      <c r="J209" s="840" t="s">
        <v>417</v>
      </c>
      <c r="K209" s="801"/>
      <c r="L209" s="809" t="s">
        <v>688</v>
      </c>
      <c r="M209" s="795"/>
      <c r="N209" s="795"/>
      <c r="O209" s="2073">
        <f>Q209*0.0929</f>
        <v>0</v>
      </c>
      <c r="P209" s="2074"/>
      <c r="Q209" s="2075">
        <f>IF(J209="Yes",'Space Program Data'!H46,0)</f>
        <v>0</v>
      </c>
      <c r="R209" s="2076"/>
      <c r="S209" s="983"/>
    </row>
    <row r="210" spans="1:20" x14ac:dyDescent="0.2">
      <c r="A210" s="827"/>
      <c r="B210" s="1107" t="str">
        <f>IF($P$8=Data!$B$15,"     *Typically only provided in an HQ/Main facility.",)</f>
        <v xml:space="preserve">     *Typically only provided in an HQ/Main facility.</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12 Responders, minimum):</v>
      </c>
      <c r="C211" s="801"/>
      <c r="D211" s="801"/>
      <c r="E211" s="801"/>
      <c r="F211" s="801"/>
      <c r="G211" s="1108"/>
      <c r="I211" s="801"/>
      <c r="K211" s="801"/>
      <c r="L211" s="801"/>
      <c r="M211" s="819">
        <v>12</v>
      </c>
      <c r="N211" s="795"/>
      <c r="O211" s="2073">
        <f>Q211*0.0929</f>
        <v>31.214399999999998</v>
      </c>
      <c r="P211" s="2074"/>
      <c r="Q211" s="2075">
        <f>M211*'Space Program Data'!H44</f>
        <v>336</v>
      </c>
      <c r="R211" s="2076"/>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707</v>
      </c>
      <c r="C213" s="817"/>
      <c r="D213" s="817"/>
      <c r="E213" s="817"/>
      <c r="F213" s="817"/>
      <c r="G213" s="817"/>
      <c r="H213" s="817"/>
      <c r="I213" s="817"/>
      <c r="J213" s="817"/>
      <c r="K213" s="817"/>
      <c r="L213" s="818"/>
      <c r="M213" s="818"/>
      <c r="N213" s="818"/>
      <c r="O213" s="2073">
        <f>Q213*0.0929</f>
        <v>7.4319999999999995</v>
      </c>
      <c r="P213" s="2074"/>
      <c r="Q213" s="2110">
        <f>'Space Program Data'!H45</f>
        <v>80</v>
      </c>
      <c r="R213" s="2111"/>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708</v>
      </c>
      <c r="C215" s="801"/>
      <c r="D215" s="801"/>
      <c r="E215" s="801"/>
      <c r="F215" s="801"/>
      <c r="G215" s="801"/>
      <c r="H215" s="801"/>
      <c r="I215" s="801"/>
      <c r="J215" s="801"/>
      <c r="K215" s="801"/>
      <c r="L215" s="821"/>
      <c r="M215" s="819">
        <v>4</v>
      </c>
      <c r="N215" s="821"/>
      <c r="O215" s="2073">
        <f>Q215*0.0929</f>
        <v>13.006</v>
      </c>
      <c r="P215" s="2074"/>
      <c r="Q215" s="2075">
        <f>M215*'Space Program Data'!H47</f>
        <v>140</v>
      </c>
      <c r="R215" s="2076"/>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717</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920</v>
      </c>
      <c r="C219" s="801"/>
      <c r="D219" s="801"/>
      <c r="E219" s="801"/>
      <c r="F219" s="801"/>
      <c r="G219" s="801"/>
      <c r="H219" s="801"/>
      <c r="I219" s="801"/>
      <c r="J219" s="801"/>
      <c r="K219" s="801"/>
      <c r="L219" s="821"/>
      <c r="M219" s="819">
        <v>2</v>
      </c>
      <c r="N219" s="821"/>
      <c r="O219" s="2073">
        <f>Q219*0.0929</f>
        <v>11.148</v>
      </c>
      <c r="P219" s="2074"/>
      <c r="Q219" s="2075">
        <f>M219*'Space Program Data'!H50</f>
        <v>120</v>
      </c>
      <c r="R219" s="2076"/>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921</v>
      </c>
      <c r="C221" s="801"/>
      <c r="D221" s="801"/>
      <c r="E221" s="801"/>
      <c r="F221" s="801"/>
      <c r="G221" s="801"/>
      <c r="H221" s="801"/>
      <c r="I221" s="801"/>
      <c r="J221" s="801"/>
      <c r="K221" s="801"/>
      <c r="L221" s="821"/>
      <c r="M221" s="819">
        <v>1</v>
      </c>
      <c r="N221" s="821"/>
      <c r="O221" s="2073">
        <f>Q221*0.0929</f>
        <v>5.5739999999999998</v>
      </c>
      <c r="P221" s="2074"/>
      <c r="Q221" s="2075">
        <f>M221*'Space Program Data'!H51</f>
        <v>60</v>
      </c>
      <c r="R221" s="2076"/>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919</v>
      </c>
      <c r="C223" s="801"/>
      <c r="D223" s="801"/>
      <c r="E223" s="801"/>
      <c r="F223" s="801"/>
      <c r="G223" s="801"/>
      <c r="H223" s="801"/>
      <c r="I223" s="801"/>
      <c r="L223" s="809"/>
      <c r="M223" s="1231" t="s">
        <v>416</v>
      </c>
      <c r="N223" s="829"/>
      <c r="O223" s="2073">
        <f>Q223*0.0929</f>
        <v>9.2899999999999991</v>
      </c>
      <c r="P223" s="2074"/>
      <c r="Q223" s="2075">
        <f>IF(M223="Yes",'Space Program Data'!H43,0)</f>
        <v>100</v>
      </c>
      <c r="R223" s="2076"/>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771</v>
      </c>
      <c r="C225" s="801"/>
      <c r="D225" s="801"/>
      <c r="E225" s="801"/>
      <c r="F225" s="801"/>
      <c r="G225" s="801"/>
      <c r="H225" s="801"/>
      <c r="I225" s="801"/>
      <c r="L225" s="809"/>
      <c r="M225" s="840" t="s">
        <v>417</v>
      </c>
      <c r="N225" s="829"/>
      <c r="O225" s="2073">
        <f>Q225*0.0929</f>
        <v>0</v>
      </c>
      <c r="P225" s="2074"/>
      <c r="Q225" s="2075">
        <f>IF(M225="Yes",Data!AA11+Data!AC11,0)</f>
        <v>0</v>
      </c>
      <c r="R225" s="2076"/>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767</v>
      </c>
      <c r="C227" s="843"/>
      <c r="D227" s="843"/>
      <c r="E227" s="843"/>
      <c r="F227" s="843"/>
      <c r="G227" s="843"/>
      <c r="H227" s="843"/>
      <c r="I227" s="843"/>
      <c r="J227" s="843"/>
      <c r="K227" s="843"/>
      <c r="L227" s="2072" t="s">
        <v>827</v>
      </c>
      <c r="M227" s="2072"/>
      <c r="N227" s="2072"/>
      <c r="O227" s="2072"/>
      <c r="P227" s="2072"/>
      <c r="Q227" s="2072"/>
      <c r="R227" s="2072"/>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2072"/>
      <c r="M228" s="2072"/>
      <c r="N228" s="2072"/>
      <c r="O228" s="2072"/>
      <c r="P228" s="2072"/>
      <c r="Q228" s="2072"/>
      <c r="R228" s="2072"/>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1</v>
      </c>
      <c r="K229" s="843"/>
      <c r="L229" s="2072"/>
      <c r="M229" s="2072"/>
      <c r="N229" s="2072"/>
      <c r="O229" s="2072"/>
      <c r="P229" s="2072"/>
      <c r="Q229" s="2072"/>
      <c r="R229" s="2072"/>
      <c r="S229" s="787"/>
    </row>
    <row r="230" spans="1:20" ht="12.4" customHeight="1" x14ac:dyDescent="0.2">
      <c r="A230" s="792"/>
      <c r="B230" s="801" t="s">
        <v>768</v>
      </c>
      <c r="C230" s="843"/>
      <c r="D230" s="843"/>
      <c r="E230" s="843"/>
      <c r="F230" s="843"/>
      <c r="G230" s="843"/>
      <c r="H230" s="843"/>
      <c r="I230" s="843"/>
      <c r="J230" s="843"/>
      <c r="K230" s="843"/>
      <c r="L230" s="2072"/>
      <c r="M230" s="2072"/>
      <c r="N230" s="2072"/>
      <c r="O230" s="2072"/>
      <c r="P230" s="2072"/>
      <c r="Q230" s="2072"/>
      <c r="R230" s="2072"/>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2072"/>
      <c r="M231" s="2072"/>
      <c r="N231" s="2072"/>
      <c r="O231" s="2072"/>
      <c r="P231" s="2072"/>
      <c r="Q231" s="2072"/>
      <c r="R231" s="2072"/>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2</v>
      </c>
      <c r="K232" s="843"/>
      <c r="L232" s="2072"/>
      <c r="M232" s="2072"/>
      <c r="N232" s="2072"/>
      <c r="O232" s="2072"/>
      <c r="P232" s="2072"/>
      <c r="Q232" s="2072"/>
      <c r="R232" s="2072"/>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2104" t="s">
        <v>420</v>
      </c>
      <c r="P234" s="2104"/>
      <c r="Q234" s="2103" t="s">
        <v>421</v>
      </c>
      <c r="R234" s="2103"/>
      <c r="S234" s="981"/>
    </row>
    <row r="235" spans="1:20" ht="13.5" x14ac:dyDescent="0.2">
      <c r="A235" s="793" t="s">
        <v>790</v>
      </c>
      <c r="B235" s="811"/>
      <c r="C235" s="877"/>
      <c r="D235" s="877"/>
      <c r="E235" s="877"/>
      <c r="F235" s="877"/>
      <c r="G235" s="888"/>
      <c r="H235" s="877"/>
      <c r="I235" s="877"/>
      <c r="J235" s="877"/>
      <c r="K235" s="842"/>
      <c r="L235" s="811"/>
      <c r="M235" s="842"/>
      <c r="N235" s="935" t="s">
        <v>543</v>
      </c>
      <c r="O235" s="2073">
        <f>Q235*0.0929</f>
        <v>0</v>
      </c>
      <c r="P235" s="2074"/>
      <c r="Q235" s="2075">
        <f>Q239+Q241+Q243+Q245+Q237</f>
        <v>0</v>
      </c>
      <c r="R235" s="2076"/>
      <c r="S235" s="981"/>
    </row>
    <row r="236" spans="1:20" ht="13.5" x14ac:dyDescent="0.2">
      <c r="A236" s="827"/>
      <c r="B236" s="811"/>
      <c r="C236" s="877"/>
      <c r="D236" s="877"/>
      <c r="E236" s="877"/>
      <c r="F236" s="877"/>
      <c r="G236" s="888"/>
      <c r="H236" s="877"/>
      <c r="I236" s="877"/>
      <c r="J236" s="877"/>
      <c r="K236" s="842"/>
      <c r="L236" s="811"/>
      <c r="M236" s="842"/>
      <c r="N236" s="860"/>
      <c r="O236" s="2104"/>
      <c r="P236" s="2104"/>
      <c r="Q236" s="2103"/>
      <c r="R236" s="2103"/>
      <c r="S236" s="983"/>
    </row>
    <row r="237" spans="1:20" ht="13.5" x14ac:dyDescent="0.2">
      <c r="A237" s="827"/>
      <c r="B237" s="801" t="s">
        <v>830</v>
      </c>
      <c r="C237" s="801"/>
      <c r="D237" s="801"/>
      <c r="E237" s="801"/>
      <c r="F237" s="801"/>
      <c r="G237" s="801"/>
      <c r="H237" s="801"/>
      <c r="I237" s="801"/>
      <c r="J237" s="840" t="s">
        <v>417</v>
      </c>
      <c r="K237" s="801"/>
      <c r="L237" s="809" t="s">
        <v>688</v>
      </c>
      <c r="M237" s="795"/>
      <c r="N237" s="795"/>
      <c r="O237" s="2073">
        <f>Q237*0.0929</f>
        <v>0</v>
      </c>
      <c r="P237" s="2074"/>
      <c r="Q237" s="2075">
        <f>IF(J237="Yes",'Space Program Data'!H53,0)</f>
        <v>0</v>
      </c>
      <c r="R237" s="2076"/>
      <c r="S237" s="983"/>
    </row>
    <row r="238" spans="1:20" ht="13.5" x14ac:dyDescent="0.2">
      <c r="A238" s="827"/>
      <c r="B238" s="801"/>
      <c r="C238" s="801"/>
      <c r="D238" s="801"/>
      <c r="E238" s="801"/>
      <c r="F238" s="801"/>
      <c r="G238" s="801"/>
      <c r="H238" s="801"/>
      <c r="I238" s="801"/>
      <c r="J238" s="801"/>
      <c r="K238" s="801"/>
      <c r="L238" s="1169"/>
      <c r="M238" s="801"/>
      <c r="N238" s="1168"/>
      <c r="O238" s="801"/>
      <c r="P238" s="801"/>
      <c r="Q238" s="801"/>
      <c r="R238" s="801"/>
      <c r="S238" s="983"/>
    </row>
    <row r="239" spans="1:20" ht="13.5" x14ac:dyDescent="0.2">
      <c r="A239" s="827"/>
      <c r="B239" s="801" t="s">
        <v>829</v>
      </c>
      <c r="C239" s="801"/>
      <c r="D239" s="801"/>
      <c r="E239" s="801"/>
      <c r="F239" s="801"/>
      <c r="G239" s="801"/>
      <c r="H239" s="801"/>
      <c r="I239" s="801"/>
      <c r="J239" s="819">
        <v>0</v>
      </c>
      <c r="K239" s="801"/>
      <c r="L239" s="809" t="s">
        <v>696</v>
      </c>
      <c r="M239" s="795"/>
      <c r="N239" s="795"/>
      <c r="O239" s="2073">
        <f>Q239*0.0929</f>
        <v>0</v>
      </c>
      <c r="P239" s="2074"/>
      <c r="Q239" s="2075">
        <f>J239*'Space Program Data'!H52</f>
        <v>0</v>
      </c>
      <c r="R239" s="2076"/>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831</v>
      </c>
      <c r="C241" s="817"/>
      <c r="D241" s="817"/>
      <c r="E241" s="817"/>
      <c r="F241" s="817"/>
      <c r="G241" s="817"/>
      <c r="H241" s="817"/>
      <c r="I241" s="817"/>
      <c r="J241" s="817"/>
      <c r="K241" s="817"/>
      <c r="L241" s="818"/>
      <c r="M241" s="818"/>
      <c r="N241" s="818"/>
      <c r="O241" s="2073">
        <f>Q241*0.0929</f>
        <v>0</v>
      </c>
      <c r="P241" s="2074"/>
      <c r="Q241" s="2110">
        <f>IF(Q239=0,0,'Space Program Data'!H54)</f>
        <v>0</v>
      </c>
      <c r="R241" s="2111"/>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832</v>
      </c>
      <c r="C243" s="817"/>
      <c r="D243" s="817"/>
      <c r="E243" s="817"/>
      <c r="F243" s="817"/>
      <c r="G243" s="817"/>
      <c r="H243" s="817"/>
      <c r="I243" s="817"/>
      <c r="J243" s="817"/>
      <c r="K243" s="817"/>
      <c r="L243" s="818"/>
      <c r="M243" s="818"/>
      <c r="N243" s="818"/>
      <c r="O243" s="2073">
        <f>Q243*0.0929</f>
        <v>0</v>
      </c>
      <c r="P243" s="2074"/>
      <c r="Q243" s="2110">
        <f>IF(Q239=0,0,'Space Program Data'!H55)</f>
        <v>0</v>
      </c>
      <c r="R243" s="2111"/>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833</v>
      </c>
      <c r="C245" s="817"/>
      <c r="D245" s="817"/>
      <c r="E245" s="817"/>
      <c r="F245" s="817"/>
      <c r="G245" s="817"/>
      <c r="H245" s="817"/>
      <c r="I245" s="817"/>
      <c r="J245" s="817"/>
      <c r="K245" s="817"/>
      <c r="L245" s="818"/>
      <c r="M245" s="818"/>
      <c r="N245" s="818"/>
      <c r="O245" s="2073">
        <f>Q245*0.0929</f>
        <v>0</v>
      </c>
      <c r="P245" s="2074"/>
      <c r="Q245" s="2110">
        <f>IF(Q239=0,0,'Space Program Data'!H56)</f>
        <v>0</v>
      </c>
      <c r="R245" s="2111"/>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2104" t="s">
        <v>420</v>
      </c>
      <c r="P247" s="2104"/>
      <c r="Q247" s="2103" t="s">
        <v>421</v>
      </c>
      <c r="R247" s="2103"/>
      <c r="S247" s="981"/>
    </row>
    <row r="248" spans="1:20" ht="13.5" x14ac:dyDescent="0.2">
      <c r="A248" s="793" t="s">
        <v>809</v>
      </c>
      <c r="B248" s="972"/>
      <c r="C248" s="1164"/>
      <c r="D248" s="1164"/>
      <c r="E248" s="801" t="s">
        <v>810</v>
      </c>
      <c r="G248" s="801"/>
      <c r="H248" s="801"/>
      <c r="I248" s="801"/>
      <c r="J248" s="840" t="s">
        <v>417</v>
      </c>
      <c r="L248" s="1071"/>
      <c r="M248" s="1071"/>
      <c r="N248" s="935" t="s">
        <v>543</v>
      </c>
      <c r="O248" s="2073">
        <f>Q248*0.0929</f>
        <v>0</v>
      </c>
      <c r="P248" s="2074"/>
      <c r="Q248" s="2075">
        <f>Q254+Q252+Q256+Q250</f>
        <v>0</v>
      </c>
      <c r="R248" s="2076"/>
      <c r="S248" s="981"/>
    </row>
    <row r="249" spans="1:20" ht="13.5" x14ac:dyDescent="0.2">
      <c r="A249" s="827"/>
      <c r="B249" s="1071"/>
      <c r="C249" s="1071"/>
      <c r="D249" s="1071"/>
      <c r="E249" s="1071"/>
      <c r="F249" s="1071"/>
      <c r="G249" s="1071"/>
      <c r="H249" s="1071"/>
      <c r="I249" s="1071"/>
      <c r="J249" s="1071"/>
      <c r="K249" s="1071"/>
      <c r="L249" s="1071"/>
      <c r="M249" s="1071"/>
      <c r="N249" s="1071"/>
      <c r="O249" s="2104"/>
      <c r="P249" s="2104"/>
      <c r="Q249" s="2105"/>
      <c r="R249" s="2105"/>
      <c r="S249" s="983"/>
    </row>
    <row r="250" spans="1:20" ht="13.5" x14ac:dyDescent="0.2">
      <c r="A250" s="827"/>
      <c r="B250" s="801" t="s">
        <v>791</v>
      </c>
      <c r="C250" s="801"/>
      <c r="D250" s="801"/>
      <c r="E250" s="801"/>
      <c r="F250" s="801"/>
      <c r="G250" s="801"/>
      <c r="H250" s="801"/>
      <c r="I250" s="1073">
        <f>IF(J248="Yes",1,0)</f>
        <v>0</v>
      </c>
      <c r="K250" s="801"/>
      <c r="L250" s="809" t="s">
        <v>688</v>
      </c>
      <c r="M250" s="795"/>
      <c r="N250" s="795"/>
      <c r="O250" s="2073">
        <f>Q250*0.0929</f>
        <v>0</v>
      </c>
      <c r="P250" s="2074"/>
      <c r="Q250" s="2075">
        <f>I250*'Space Program Data'!H71</f>
        <v>0</v>
      </c>
      <c r="R250" s="2076"/>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792</v>
      </c>
      <c r="C252" s="801"/>
      <c r="D252" s="801"/>
      <c r="E252" s="801"/>
      <c r="F252" s="801"/>
      <c r="G252" s="801"/>
      <c r="H252" s="801"/>
      <c r="I252" s="1073">
        <f>IF(J248="Yes",3,0)</f>
        <v>0</v>
      </c>
      <c r="K252" s="801"/>
      <c r="L252" s="809" t="s">
        <v>696</v>
      </c>
      <c r="M252" s="795"/>
      <c r="N252" s="795"/>
      <c r="O252" s="2073">
        <f>Q252*0.0929</f>
        <v>0</v>
      </c>
      <c r="P252" s="2074"/>
      <c r="Q252" s="2075">
        <f>I252*'Space Program Data'!H72</f>
        <v>0</v>
      </c>
      <c r="R252" s="2076"/>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811</v>
      </c>
      <c r="C254" s="801"/>
      <c r="D254" s="801"/>
      <c r="E254" s="801"/>
      <c r="F254" s="801"/>
      <c r="G254" s="801"/>
      <c r="H254" s="801"/>
      <c r="I254" s="801"/>
      <c r="J254" s="801"/>
      <c r="K254" s="801"/>
      <c r="L254" s="801"/>
      <c r="M254" s="1072">
        <v>0</v>
      </c>
      <c r="N254" s="795"/>
      <c r="O254" s="2073">
        <f>Q254*0.0929</f>
        <v>0</v>
      </c>
      <c r="P254" s="2074"/>
      <c r="Q254" s="2075">
        <f>M254*'Space Program Data'!H74</f>
        <v>0</v>
      </c>
      <c r="R254" s="2076"/>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774</v>
      </c>
      <c r="C256" s="801"/>
      <c r="D256" s="801"/>
      <c r="E256" s="801"/>
      <c r="F256" s="801"/>
      <c r="G256" s="801"/>
      <c r="H256" s="801"/>
      <c r="I256" s="801"/>
      <c r="J256" s="801"/>
      <c r="K256" s="801"/>
      <c r="L256" s="1065"/>
      <c r="M256" s="840" t="s">
        <v>417</v>
      </c>
      <c r="N256" s="795"/>
      <c r="O256" s="2073">
        <f>Q256*0.0929</f>
        <v>0</v>
      </c>
      <c r="P256" s="2074"/>
      <c r="Q256" s="2075">
        <f>IF(M256="Yes",'Space Program Data'!H73,0)</f>
        <v>0</v>
      </c>
      <c r="R256" s="2076"/>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2103" t="s">
        <v>420</v>
      </c>
      <c r="P260" s="2103"/>
      <c r="Q260" s="2103" t="s">
        <v>421</v>
      </c>
      <c r="R260" s="2103"/>
      <c r="S260" s="981"/>
    </row>
    <row r="261" spans="1:19" ht="13.5" x14ac:dyDescent="0.2">
      <c r="A261" s="793"/>
      <c r="B261" s="775"/>
      <c r="C261" s="775"/>
      <c r="D261" s="775"/>
      <c r="E261" s="775"/>
      <c r="F261" s="775"/>
      <c r="G261" s="775"/>
      <c r="H261" s="775"/>
      <c r="I261" s="775"/>
      <c r="J261" s="775"/>
      <c r="K261" s="775"/>
      <c r="L261" s="811"/>
      <c r="M261" s="842"/>
      <c r="N261" s="833" t="s">
        <v>429</v>
      </c>
      <c r="O261" s="2108">
        <f>Q261*0.0929</f>
        <v>698.51509999999996</v>
      </c>
      <c r="P261" s="2109"/>
      <c r="Q261" s="2106">
        <f>Q235+Q166+Q126+Q78+Q248</f>
        <v>7519</v>
      </c>
      <c r="R261" s="2107"/>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2073">
        <f>Q263*0.0929</f>
        <v>153.67332200000001</v>
      </c>
      <c r="P263" s="2074"/>
      <c r="Q263" s="2113">
        <f>IF(J263=0,Q261*Data!B187,Q261*J263)</f>
        <v>1654.18</v>
      </c>
      <c r="R263" s="2114"/>
      <c r="S263" s="983"/>
    </row>
    <row r="264" spans="1:19" ht="12.75" customHeight="1" x14ac:dyDescent="0.2">
      <c r="A264" s="827"/>
      <c r="B264" s="2112" t="s">
        <v>430</v>
      </c>
      <c r="C264" s="2112"/>
      <c r="D264" s="2112"/>
      <c r="E264" s="2112"/>
      <c r="F264" s="2112"/>
      <c r="G264" s="2112"/>
      <c r="H264" s="2112"/>
      <c r="I264" s="2112"/>
      <c r="J264" s="2112"/>
      <c r="K264" s="2112"/>
      <c r="L264" s="2112"/>
      <c r="M264" s="2112"/>
      <c r="N264" s="2112"/>
      <c r="O264" s="972"/>
      <c r="P264" s="971"/>
      <c r="Q264" s="970"/>
      <c r="R264" s="971"/>
      <c r="S264" s="983"/>
    </row>
    <row r="265" spans="1:19" x14ac:dyDescent="0.2">
      <c r="A265" s="827"/>
      <c r="B265" s="2112"/>
      <c r="C265" s="2112"/>
      <c r="D265" s="2112"/>
      <c r="E265" s="2112"/>
      <c r="F265" s="2112"/>
      <c r="G265" s="2112"/>
      <c r="H265" s="2112"/>
      <c r="I265" s="2112"/>
      <c r="J265" s="2112"/>
      <c r="K265" s="2112"/>
      <c r="L265" s="2112"/>
      <c r="M265" s="2112"/>
      <c r="N265" s="2112"/>
      <c r="O265" s="972"/>
      <c r="P265" s="971"/>
      <c r="Q265" s="970"/>
      <c r="R265" s="971"/>
      <c r="S265" s="983"/>
    </row>
    <row r="266" spans="1:19" x14ac:dyDescent="0.2">
      <c r="A266" s="827"/>
      <c r="B266" s="2112"/>
      <c r="C266" s="2112"/>
      <c r="D266" s="2112"/>
      <c r="E266" s="2112"/>
      <c r="F266" s="2112"/>
      <c r="G266" s="2112"/>
      <c r="H266" s="2112"/>
      <c r="I266" s="2112"/>
      <c r="J266" s="2112"/>
      <c r="K266" s="2112"/>
      <c r="L266" s="2112"/>
      <c r="M266" s="2112"/>
      <c r="N266" s="2112"/>
      <c r="O266" s="972"/>
      <c r="P266" s="972"/>
      <c r="Q266" s="970"/>
      <c r="R266" s="972"/>
      <c r="S266" s="983"/>
    </row>
    <row r="267" spans="1:19" x14ac:dyDescent="0.2">
      <c r="A267" s="827"/>
      <c r="B267" s="2112"/>
      <c r="C267" s="2112"/>
      <c r="D267" s="2112"/>
      <c r="E267" s="2112"/>
      <c r="F267" s="2112"/>
      <c r="G267" s="2112"/>
      <c r="H267" s="2112"/>
      <c r="I267" s="2112"/>
      <c r="J267" s="2112"/>
      <c r="K267" s="2112"/>
      <c r="L267" s="2112"/>
      <c r="M267" s="2112"/>
      <c r="N267" s="2112"/>
      <c r="O267" s="972"/>
      <c r="P267" s="972"/>
      <c r="Q267" s="970"/>
      <c r="R267" s="972"/>
      <c r="S267" s="983"/>
    </row>
    <row r="268" spans="1:19" x14ac:dyDescent="0.2">
      <c r="A268" s="827"/>
      <c r="B268" s="2112"/>
      <c r="C268" s="2112"/>
      <c r="D268" s="2112"/>
      <c r="E268" s="2112"/>
      <c r="F268" s="2112"/>
      <c r="G268" s="2112"/>
      <c r="H268" s="2112"/>
      <c r="I268" s="2112"/>
      <c r="J268" s="2112"/>
      <c r="K268" s="2112"/>
      <c r="L268" s="2112"/>
      <c r="M268" s="2112"/>
      <c r="N268" s="2112"/>
      <c r="O268" s="972"/>
      <c r="P268" s="972"/>
      <c r="Q268" s="970"/>
      <c r="R268" s="972"/>
      <c r="S268" s="983"/>
    </row>
    <row r="269" spans="1:19" x14ac:dyDescent="0.2">
      <c r="A269" s="827"/>
      <c r="B269" s="2112"/>
      <c r="C269" s="2112"/>
      <c r="D269" s="2112"/>
      <c r="E269" s="2112"/>
      <c r="F269" s="2112"/>
      <c r="G269" s="2112"/>
      <c r="H269" s="2112"/>
      <c r="I269" s="2112"/>
      <c r="J269" s="2112"/>
      <c r="K269" s="2112"/>
      <c r="L269" s="2112"/>
      <c r="M269" s="2112"/>
      <c r="N269" s="2112"/>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2108">
        <f>O263+O261</f>
        <v>852.18842199999995</v>
      </c>
      <c r="P270" s="2109"/>
      <c r="Q270" s="2106">
        <f>Q263+Q261</f>
        <v>9173.18</v>
      </c>
      <c r="R270" s="2107"/>
      <c r="S270" s="983"/>
    </row>
    <row r="271" spans="1:19" ht="13.5" x14ac:dyDescent="0.2">
      <c r="A271" s="827"/>
      <c r="B271" s="2203" t="str">
        <f>IF(K31=0,,"Type of Facility = "&amp;G8)</f>
        <v>Type of Facility = Structural</v>
      </c>
      <c r="C271" s="2204"/>
      <c r="D271" s="2204"/>
      <c r="E271" s="2204"/>
      <c r="F271" s="2204"/>
      <c r="G271" s="2205"/>
      <c r="H271" s="872"/>
      <c r="I271" s="872"/>
      <c r="J271" s="872"/>
      <c r="K271" s="872"/>
      <c r="L271" s="811"/>
      <c r="M271" s="842"/>
      <c r="N271" s="860"/>
      <c r="O271" s="972"/>
      <c r="P271" s="972"/>
      <c r="Q271" s="972"/>
      <c r="R271" s="972"/>
      <c r="S271" s="993"/>
    </row>
    <row r="272" spans="1:19" ht="13.5" x14ac:dyDescent="0.2">
      <c r="A272" s="827"/>
      <c r="B272" s="2203" t="str">
        <f>"Class of Facility = "&amp;P8</f>
        <v>Class of Facility = Satellite</v>
      </c>
      <c r="C272" s="2204"/>
      <c r="D272" s="2204"/>
      <c r="E272" s="2204"/>
      <c r="F272" s="2204"/>
      <c r="G272" s="2205"/>
      <c r="H272" s="872"/>
      <c r="I272" s="872"/>
      <c r="J272" s="872"/>
      <c r="K272" s="872"/>
      <c r="L272" s="811"/>
      <c r="M272" s="842"/>
      <c r="N272" s="860"/>
      <c r="O272" s="972"/>
      <c r="P272" s="972"/>
      <c r="Q272" s="972"/>
      <c r="R272" s="972"/>
      <c r="S272" s="993"/>
    </row>
    <row r="273" spans="1:19" ht="13.5" x14ac:dyDescent="0.2">
      <c r="A273" s="827"/>
      <c r="B273" s="2203" t="str">
        <f>"Total Dorm Room Count = "&amp;K133+K134+K135</f>
        <v>Total Dorm Room Count = 8</v>
      </c>
      <c r="C273" s="2204"/>
      <c r="D273" s="2204"/>
      <c r="E273" s="2204"/>
      <c r="F273" s="2204"/>
      <c r="G273" s="2205"/>
      <c r="H273" s="872"/>
      <c r="I273" s="872"/>
      <c r="J273" s="872"/>
      <c r="K273" s="872"/>
      <c r="L273" s="829"/>
      <c r="M273" s="829"/>
      <c r="N273" s="829"/>
      <c r="O273" s="973"/>
      <c r="P273" s="973"/>
      <c r="Q273" s="973"/>
      <c r="R273" s="973"/>
      <c r="S273" s="981"/>
    </row>
    <row r="274" spans="1:19" ht="13.5" x14ac:dyDescent="0.2">
      <c r="A274" s="827"/>
      <c r="B274" s="2200" t="str">
        <f>"Total No. of Apparatus Bays = "&amp;SUM(F38:F41,R48,R50)</f>
        <v>Total No. of Apparatus Bays = 2</v>
      </c>
      <c r="C274" s="2201"/>
      <c r="D274" s="2201"/>
      <c r="E274" s="2201"/>
      <c r="F274" s="2201"/>
      <c r="G274" s="2202"/>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2103" t="s">
        <v>420</v>
      </c>
      <c r="P276" s="2103"/>
      <c r="Q276" s="2104" t="s">
        <v>421</v>
      </c>
      <c r="R276" s="2104"/>
      <c r="S276" s="996"/>
    </row>
    <row r="277" spans="1:19" ht="13.5" x14ac:dyDescent="0.2">
      <c r="A277" s="793" t="s">
        <v>432</v>
      </c>
      <c r="B277" s="828"/>
      <c r="C277" s="828"/>
      <c r="D277" s="828"/>
      <c r="E277" s="828"/>
      <c r="F277" s="828"/>
      <c r="G277" s="828"/>
      <c r="H277" s="828"/>
      <c r="I277" s="828"/>
      <c r="J277" s="828"/>
      <c r="K277" s="828"/>
      <c r="L277" s="828"/>
      <c r="M277" s="828"/>
      <c r="N277" s="935" t="s">
        <v>543</v>
      </c>
      <c r="O277" s="2073">
        <f>SUM(O279:P291)</f>
        <v>814.54719999999986</v>
      </c>
      <c r="P277" s="2074"/>
      <c r="Q277" s="2113">
        <f>Q279+Q281+Q283+Q285+Q287+Q289+Q291</f>
        <v>8768</v>
      </c>
      <c r="R277" s="2114"/>
      <c r="S277" s="996"/>
    </row>
    <row r="278" spans="1:19" ht="13.5" x14ac:dyDescent="0.2">
      <c r="A278" s="827"/>
      <c r="B278" s="794"/>
      <c r="C278" s="794"/>
      <c r="D278" s="794"/>
      <c r="E278" s="794"/>
      <c r="F278" s="794"/>
      <c r="G278" s="794"/>
      <c r="H278" s="794"/>
      <c r="I278" s="794"/>
      <c r="J278" s="794"/>
      <c r="K278" s="794"/>
      <c r="L278" s="828"/>
      <c r="M278" s="828"/>
      <c r="N278" s="828"/>
      <c r="O278" s="2103"/>
      <c r="P278" s="2103"/>
      <c r="Q278" s="2104"/>
      <c r="R278" s="2104"/>
      <c r="S278" s="983"/>
    </row>
    <row r="279" spans="1:19" ht="13.5" x14ac:dyDescent="0.2">
      <c r="A279" s="808"/>
      <c r="B279" s="801" t="str">
        <f>"Number of Staff Parking spaces ("&amp;'Space Program Data'!L84&amp;" suggested):"</f>
        <v>Number of Staff Parking spaces (12 suggested):</v>
      </c>
      <c r="C279" s="801"/>
      <c r="D279" s="801"/>
      <c r="E279" s="801"/>
      <c r="F279" s="801"/>
      <c r="G279" s="801"/>
      <c r="H279" s="801"/>
      <c r="J279" s="801"/>
      <c r="K279" s="819">
        <v>12</v>
      </c>
      <c r="L279" s="1160"/>
      <c r="M279" s="800"/>
      <c r="N279" s="833" t="s">
        <v>817</v>
      </c>
      <c r="O279" s="2073">
        <f>Q279*0.0929</f>
        <v>351.16199999999998</v>
      </c>
      <c r="P279" s="2074"/>
      <c r="Q279" s="2075">
        <f>K279*'Space Program Data'!H77</f>
        <v>3780</v>
      </c>
      <c r="R279" s="2076"/>
      <c r="S279" s="983"/>
    </row>
    <row r="280" spans="1:19" ht="13.5" x14ac:dyDescent="0.2">
      <c r="A280" s="808"/>
      <c r="B280" s="801"/>
      <c r="C280" s="801"/>
      <c r="D280" s="801"/>
      <c r="E280" s="801"/>
      <c r="F280" s="801"/>
      <c r="G280" s="801"/>
      <c r="H280" s="801"/>
      <c r="I280" s="801"/>
      <c r="J280" s="801"/>
      <c r="K280" s="801"/>
      <c r="L280" s="1160"/>
      <c r="M280" s="800"/>
      <c r="N280" s="1167"/>
      <c r="O280" s="940"/>
      <c r="P280" s="984"/>
      <c r="Q280" s="970"/>
      <c r="R280" s="986"/>
      <c r="S280" s="983"/>
    </row>
    <row r="281" spans="1:19" ht="13.5" x14ac:dyDescent="0.2">
      <c r="A281" s="808"/>
      <c r="B281" s="801" t="str">
        <f>"Number of Visitor Parking spaces ("&amp;IF(P8=Data!B14,5,0)&amp;" suggested):"</f>
        <v>Number of Visitor Parking spaces (0 suggested):</v>
      </c>
      <c r="C281" s="801"/>
      <c r="D281" s="801"/>
      <c r="E281" s="801"/>
      <c r="F281" s="801"/>
      <c r="G281" s="801"/>
      <c r="H281" s="801"/>
      <c r="J281" s="801"/>
      <c r="K281" s="819">
        <v>2</v>
      </c>
      <c r="L281" s="1160"/>
      <c r="M281" s="800"/>
      <c r="N281" s="833" t="s">
        <v>817</v>
      </c>
      <c r="O281" s="2073">
        <f>Q281*0.0929</f>
        <v>58.527000000000001</v>
      </c>
      <c r="P281" s="2074"/>
      <c r="Q281" s="2075">
        <f>K281*'Space Program Data'!H78</f>
        <v>630</v>
      </c>
      <c r="R281" s="2076"/>
      <c r="S281" s="983"/>
    </row>
    <row r="282" spans="1:19" ht="13.5" x14ac:dyDescent="0.2">
      <c r="A282" s="808"/>
      <c r="B282" s="801"/>
      <c r="C282" s="801"/>
      <c r="D282" s="801"/>
      <c r="E282" s="801"/>
      <c r="F282" s="801"/>
      <c r="G282" s="801"/>
      <c r="H282" s="801"/>
      <c r="I282" s="801"/>
      <c r="J282" s="801"/>
      <c r="K282" s="801"/>
      <c r="L282" s="1160"/>
      <c r="M282" s="800"/>
      <c r="N282" s="1167"/>
      <c r="O282" s="940"/>
      <c r="P282" s="984"/>
      <c r="Q282" s="970"/>
      <c r="R282" s="986"/>
      <c r="S282" s="983"/>
    </row>
    <row r="283" spans="1:19" ht="13.5" x14ac:dyDescent="0.2">
      <c r="A283" s="808"/>
      <c r="B283" s="801" t="s">
        <v>701</v>
      </c>
      <c r="C283" s="801"/>
      <c r="D283" s="801"/>
      <c r="E283" s="801"/>
      <c r="F283" s="801"/>
      <c r="G283" s="801"/>
      <c r="H283" s="801"/>
      <c r="J283" s="801"/>
      <c r="K283" s="819">
        <v>1</v>
      </c>
      <c r="L283" s="1160"/>
      <c r="M283" s="800"/>
      <c r="N283" s="833" t="s">
        <v>817</v>
      </c>
      <c r="O283" s="2073">
        <f>Q283*0.0929</f>
        <v>14.863999999999999</v>
      </c>
      <c r="P283" s="2074"/>
      <c r="Q283" s="2075">
        <f>K283*'Space Program Data'!H79</f>
        <v>160</v>
      </c>
      <c r="R283" s="2076"/>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816</v>
      </c>
      <c r="C285" s="801"/>
      <c r="D285" s="801"/>
      <c r="E285" s="801"/>
      <c r="F285" s="801"/>
      <c r="G285" s="801"/>
      <c r="H285" s="801"/>
      <c r="I285" s="801"/>
      <c r="J285" s="801"/>
      <c r="K285" s="801"/>
      <c r="L285" s="800"/>
      <c r="M285" s="800"/>
      <c r="N285" s="800"/>
      <c r="O285" s="2073">
        <f>Q285*0.0929</f>
        <v>371.59999999999997</v>
      </c>
      <c r="P285" s="2074"/>
      <c r="Q285" s="2075">
        <f>'Space Program Data'!H80*(SUM(F38:F41)+IF(K48="Yes",R48,0)+IF(O50="Yes",R50,0))</f>
        <v>4000</v>
      </c>
      <c r="R285" s="2076"/>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818</v>
      </c>
      <c r="C287" s="801"/>
      <c r="D287" s="801"/>
      <c r="E287" s="801"/>
      <c r="F287" s="801"/>
      <c r="G287" s="801"/>
      <c r="H287" s="801"/>
      <c r="I287" s="801"/>
      <c r="J287" s="801"/>
      <c r="K287" s="801"/>
      <c r="L287" s="800"/>
      <c r="M287" s="800"/>
      <c r="N287" s="800"/>
      <c r="O287" s="2073">
        <f>Q287*0.0929</f>
        <v>0</v>
      </c>
      <c r="P287" s="2074"/>
      <c r="Q287" s="2075">
        <f>(F40+F41)*'Space Program Data'!H81</f>
        <v>0</v>
      </c>
      <c r="R287" s="2076"/>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819</v>
      </c>
      <c r="C289" s="801"/>
      <c r="D289" s="801"/>
      <c r="E289" s="801"/>
      <c r="F289" s="801"/>
      <c r="G289" s="801"/>
      <c r="H289" s="801"/>
      <c r="I289" s="801"/>
      <c r="J289" s="801"/>
      <c r="K289" s="801"/>
      <c r="L289" s="800"/>
      <c r="M289" s="800"/>
      <c r="N289" s="800"/>
      <c r="O289" s="2073">
        <f>Q289*0.0929</f>
        <v>4.4592000000000001</v>
      </c>
      <c r="P289" s="2074"/>
      <c r="Q289" s="2075">
        <f>IF(F38+F39&gt;0,'Space Program Data'!H82,0)</f>
        <v>48</v>
      </c>
      <c r="R289" s="2076"/>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820</v>
      </c>
      <c r="C291" s="1099"/>
      <c r="D291" s="1099"/>
      <c r="E291" s="1099"/>
      <c r="F291" s="1099"/>
      <c r="G291" s="1099"/>
      <c r="H291" s="1099"/>
      <c r="I291" s="1099"/>
      <c r="J291" s="1099"/>
      <c r="K291" s="1099"/>
      <c r="L291" s="800"/>
      <c r="M291" s="800"/>
      <c r="N291" s="800"/>
      <c r="O291" s="2073">
        <f>Q291*0.0929</f>
        <v>13.934999999999999</v>
      </c>
      <c r="P291" s="2074"/>
      <c r="Q291" s="2075">
        <f>IF(G62&gt;4,350,IF(G62&gt;2,250,150))</f>
        <v>150</v>
      </c>
      <c r="R291" s="2076"/>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821</v>
      </c>
      <c r="O294" s="2115">
        <f>O277+O270</f>
        <v>1666.7356219999997</v>
      </c>
      <c r="P294" s="2116"/>
      <c r="Q294" s="2106">
        <f>Q277+Q270</f>
        <v>17941.18</v>
      </c>
      <c r="R294" s="2107"/>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sheetProtection selectLockedCells="1"/>
  <mergeCells count="326">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O25:R25"/>
    <mergeCell ref="G60:H60"/>
    <mergeCell ref="I60:J60"/>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Q64:R64"/>
    <mergeCell ref="K62:M62"/>
    <mergeCell ref="G59:H59"/>
    <mergeCell ref="I59:J59"/>
    <mergeCell ref="N57:R58"/>
    <mergeCell ref="B81:R82"/>
    <mergeCell ref="B72:I74"/>
    <mergeCell ref="I62:J62"/>
    <mergeCell ref="K59:M59"/>
    <mergeCell ref="K60:M60"/>
    <mergeCell ref="Q52:R52"/>
    <mergeCell ref="B49:L49"/>
    <mergeCell ref="J38:K38"/>
    <mergeCell ref="P36:Q36"/>
    <mergeCell ref="P37:Q37"/>
    <mergeCell ref="P38:Q38"/>
    <mergeCell ref="P39:Q39"/>
    <mergeCell ref="P43:R43"/>
    <mergeCell ref="J41:K41"/>
    <mergeCell ref="B45:R46"/>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O277:P277"/>
    <mergeCell ref="Q277:R277"/>
    <mergeCell ref="Q283:R283"/>
    <mergeCell ref="O283:P283"/>
    <mergeCell ref="O281:P281"/>
    <mergeCell ref="Q281:R281"/>
    <mergeCell ref="Q279:R279"/>
    <mergeCell ref="O279:P279"/>
    <mergeCell ref="O278:P278"/>
    <mergeCell ref="Q278:R278"/>
    <mergeCell ref="O294:P294"/>
    <mergeCell ref="Q294:R294"/>
    <mergeCell ref="O291:P291"/>
    <mergeCell ref="Q291:R291"/>
    <mergeCell ref="O289:P289"/>
    <mergeCell ref="Q289:R289"/>
    <mergeCell ref="Q287:R287"/>
    <mergeCell ref="O287:P287"/>
    <mergeCell ref="O285:P285"/>
    <mergeCell ref="Q285:R285"/>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O140:P140"/>
    <mergeCell ref="Q140:R140"/>
    <mergeCell ref="O146:P146"/>
    <mergeCell ref="Q146:R146"/>
    <mergeCell ref="O183:P183"/>
    <mergeCell ref="Q183:R183"/>
    <mergeCell ref="Q155:R155"/>
    <mergeCell ref="O159:P159"/>
    <mergeCell ref="O163:P163"/>
    <mergeCell ref="Q163:R163"/>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47" activePane="bottomLeft" state="frozen"/>
      <selection pane="bottomLeft" activeCell="B1" sqref="B1:N1048576"/>
    </sheetView>
  </sheetViews>
  <sheetFormatPr defaultRowHeight="14.25" outlineLevelRow="2" outlineLevelCol="2" x14ac:dyDescent="0.2"/>
  <cols>
    <col min="1" max="1" width="2.7109375" style="10" customWidth="1"/>
    <col min="2" max="2" width="15.5703125" style="1271"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72"/>
      <c r="C1" s="163"/>
      <c r="D1" s="1250"/>
      <c r="E1" s="7"/>
      <c r="F1" s="1250"/>
      <c r="G1" s="7"/>
      <c r="H1" s="1250"/>
      <c r="I1" s="7"/>
      <c r="J1" s="1250"/>
      <c r="K1" s="759"/>
      <c r="L1" s="7"/>
      <c r="M1" s="1250"/>
      <c r="N1" s="53"/>
      <c r="P1" s="25"/>
    </row>
    <row r="2" spans="1:65" s="52" customFormat="1" ht="72" customHeight="1" x14ac:dyDescent="0.25">
      <c r="A2" s="50"/>
      <c r="B2" s="2225" t="str">
        <f>'Interactive Worksheet'!A2&amp;" - "&amp;'Interactive Worksheet'!P8&amp;" "&amp;'Interactive Worksheet'!G8&amp;"
"&amp;'Interactive Worksheet'!G57&amp;" Structural, "&amp;'Interactive Worksheet'!G58&amp;" ARFF, "&amp;'Interactive Worksheet'!G59&amp;" Ambulance, and "&amp;'Interactive Worksheet'!G60&amp;" Rescue Companies with "&amp;'Interactive Worksheet'!I75&amp;" Responders"</f>
        <v>Prototype Fire Station - Satellite Structural
2 Structural,  ARFF, 0 Ambulance, and 0 Rescue Companies with 8 Responders</v>
      </c>
      <c r="C2" s="2226"/>
      <c r="D2" s="1251"/>
      <c r="E2" s="49" t="s">
        <v>8</v>
      </c>
      <c r="F2" s="1251"/>
      <c r="G2" s="49" t="s">
        <v>106</v>
      </c>
      <c r="H2" s="1257"/>
      <c r="I2" s="49" t="s">
        <v>4</v>
      </c>
      <c r="J2" s="1257"/>
      <c r="K2" s="2222" t="s">
        <v>953</v>
      </c>
      <c r="L2" s="2223"/>
      <c r="M2" s="1266"/>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73" t="s">
        <v>933</v>
      </c>
      <c r="C3" s="12"/>
      <c r="D3" s="1252"/>
      <c r="E3" s="2"/>
      <c r="F3" s="1252"/>
      <c r="G3" s="2"/>
      <c r="H3" s="1258"/>
      <c r="I3" s="2" t="s">
        <v>1</v>
      </c>
      <c r="J3" s="1258"/>
      <c r="K3" s="760" t="s">
        <v>0</v>
      </c>
      <c r="L3" s="2" t="s">
        <v>1</v>
      </c>
      <c r="M3" s="1252"/>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2207" t="s">
        <v>274</v>
      </c>
      <c r="C5" s="2208"/>
      <c r="D5" s="1253"/>
      <c r="E5" s="560"/>
      <c r="F5" s="1253"/>
      <c r="G5" s="263"/>
      <c r="H5" s="1259"/>
      <c r="I5" s="263"/>
      <c r="J5" s="1259"/>
      <c r="K5" s="761"/>
      <c r="L5" s="263"/>
      <c r="M5" s="1253"/>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2227" t="s">
        <v>942</v>
      </c>
      <c r="C6" s="1382" t="str">
        <f>'Space Program Data'!J3</f>
        <v>Apparatus Bay</v>
      </c>
      <c r="D6" s="1254"/>
      <c r="E6" s="1326"/>
      <c r="F6" s="1254"/>
      <c r="G6" s="1326">
        <v>1</v>
      </c>
      <c r="H6" s="126"/>
      <c r="I6" s="1326">
        <f>'Interactive Worksheet'!Q80</f>
        <v>1872</v>
      </c>
      <c r="J6" s="126"/>
      <c r="K6" s="1327">
        <f>L6*0.0929</f>
        <v>173.90879999999999</v>
      </c>
      <c r="L6" s="1328">
        <f>'Interactive Worksheet'!Q80</f>
        <v>1872</v>
      </c>
      <c r="M6" s="1254"/>
      <c r="N6" s="1329"/>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2228"/>
      <c r="C7" s="1330" t="s">
        <v>555</v>
      </c>
      <c r="D7" s="1255"/>
      <c r="E7" s="1331"/>
      <c r="F7" s="1255"/>
      <c r="G7" s="1331">
        <f>'Interactive Worksheet'!R48</f>
        <v>0</v>
      </c>
      <c r="H7" s="1260"/>
      <c r="I7" s="1331"/>
      <c r="J7" s="1260"/>
      <c r="K7" s="1332"/>
      <c r="L7" s="1333"/>
      <c r="M7" s="1255"/>
      <c r="N7" s="1334"/>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2228"/>
      <c r="C8" s="1330" t="s">
        <v>526</v>
      </c>
      <c r="D8" s="1255"/>
      <c r="E8" s="1331"/>
      <c r="F8" s="1255"/>
      <c r="G8" s="1331">
        <f>'Interactive Worksheet'!E38</f>
        <v>2</v>
      </c>
      <c r="H8" s="1260"/>
      <c r="I8" s="1331"/>
      <c r="J8" s="1260"/>
      <c r="K8" s="1332"/>
      <c r="L8" s="1333"/>
      <c r="M8" s="1255"/>
      <c r="N8" s="1334"/>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2228"/>
      <c r="C9" s="1330" t="s">
        <v>523</v>
      </c>
      <c r="D9" s="1255"/>
      <c r="E9" s="1331"/>
      <c r="F9" s="1255"/>
      <c r="G9" s="1331">
        <f>'Interactive Worksheet'!E39</f>
        <v>0</v>
      </c>
      <c r="H9" s="1260"/>
      <c r="I9" s="1331"/>
      <c r="J9" s="1260"/>
      <c r="K9" s="1332"/>
      <c r="L9" s="1333"/>
      <c r="M9" s="1255"/>
      <c r="N9" s="1334"/>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2228"/>
      <c r="C10" s="1330" t="s">
        <v>524</v>
      </c>
      <c r="D10" s="1255"/>
      <c r="E10" s="1331"/>
      <c r="F10" s="1255"/>
      <c r="G10" s="1331">
        <f>'Interactive Worksheet'!E40</f>
        <v>0</v>
      </c>
      <c r="H10" s="1260"/>
      <c r="I10" s="1331"/>
      <c r="J10" s="1260"/>
      <c r="K10" s="1332"/>
      <c r="L10" s="1333"/>
      <c r="M10" s="1255"/>
      <c r="N10" s="1334"/>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2228"/>
      <c r="C11" s="1344" t="s">
        <v>525</v>
      </c>
      <c r="D11" s="1255"/>
      <c r="E11" s="1345"/>
      <c r="F11" s="1255"/>
      <c r="G11" s="1345">
        <f>'Interactive Worksheet'!E41</f>
        <v>0</v>
      </c>
      <c r="H11" s="1260"/>
      <c r="I11" s="1345"/>
      <c r="J11" s="1260"/>
      <c r="K11" s="1346"/>
      <c r="L11" s="1333"/>
      <c r="M11" s="1255"/>
      <c r="N11" s="1347"/>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2229" t="s">
        <v>943</v>
      </c>
      <c r="C12" s="1348" t="str">
        <f>'Space Program Data'!J4</f>
        <v>PPE Gear Storage</v>
      </c>
      <c r="D12" s="535"/>
      <c r="E12" s="1349">
        <f>'Interactive Worksheet'!I75</f>
        <v>8</v>
      </c>
      <c r="F12" s="535"/>
      <c r="G12" s="1350">
        <f t="shared" ref="G12:G21" si="0">IF(I12&gt;0,1,0)</f>
        <v>1</v>
      </c>
      <c r="H12" s="128"/>
      <c r="I12" s="1349">
        <f>'Interactive Worksheet'!Q84</f>
        <v>80</v>
      </c>
      <c r="J12" s="128"/>
      <c r="K12" s="1351">
        <f t="shared" ref="K12:K30" si="1">L12*0.0929</f>
        <v>7.4319999999999995</v>
      </c>
      <c r="L12" s="1352">
        <f>'Interactive Worksheet'!Q84</f>
        <v>80</v>
      </c>
      <c r="M12" s="535"/>
      <c r="N12" s="1353"/>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2230"/>
      <c r="C13" s="1335" t="str">
        <f>'Space Program Data'!J5</f>
        <v>Hose Storage</v>
      </c>
      <c r="D13" s="535"/>
      <c r="E13" s="1336"/>
      <c r="F13" s="535"/>
      <c r="G13" s="1337">
        <f t="shared" si="0"/>
        <v>1</v>
      </c>
      <c r="H13" s="128"/>
      <c r="I13" s="1336">
        <f>'Interactive Worksheet'!Q86</f>
        <v>54</v>
      </c>
      <c r="J13" s="128"/>
      <c r="K13" s="1338">
        <f t="shared" si="1"/>
        <v>5.0165999999999995</v>
      </c>
      <c r="L13" s="1339">
        <f>'Interactive Worksheet'!Q86</f>
        <v>54</v>
      </c>
      <c r="M13" s="535"/>
      <c r="N13" s="1340"/>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2230"/>
      <c r="C14" s="1335" t="str">
        <f>'Space Program Data'!J6</f>
        <v>SCBA Maintenance Room</v>
      </c>
      <c r="D14" s="535"/>
      <c r="E14" s="1336"/>
      <c r="F14" s="535"/>
      <c r="G14" s="1337">
        <f t="shared" si="0"/>
        <v>0</v>
      </c>
      <c r="H14" s="128"/>
      <c r="I14" s="1336">
        <f>'Interactive Worksheet'!Q88</f>
        <v>0</v>
      </c>
      <c r="J14" s="128"/>
      <c r="K14" s="1338">
        <f t="shared" si="1"/>
        <v>0</v>
      </c>
      <c r="L14" s="1339">
        <f>'Interactive Worksheet'!Q88</f>
        <v>0</v>
      </c>
      <c r="M14" s="535"/>
      <c r="N14" s="1341"/>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2230"/>
      <c r="C15" s="1335" t="str">
        <f>'Space Program Data'!J7</f>
        <v>SCBA Compressor Room</v>
      </c>
      <c r="D15" s="535"/>
      <c r="E15" s="1336"/>
      <c r="F15" s="535"/>
      <c r="G15" s="1337">
        <f t="shared" si="0"/>
        <v>0</v>
      </c>
      <c r="H15" s="128"/>
      <c r="I15" s="1336">
        <f>'Interactive Worksheet'!Q90</f>
        <v>0</v>
      </c>
      <c r="J15" s="128"/>
      <c r="K15" s="1338">
        <f t="shared" si="1"/>
        <v>0</v>
      </c>
      <c r="L15" s="1339">
        <f>'Interactive Worksheet'!Q90</f>
        <v>0</v>
      </c>
      <c r="M15" s="535"/>
      <c r="N15" s="1341"/>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2230"/>
      <c r="C16" s="1335" t="str">
        <f>'Space Program Data'!J10</f>
        <v>Work Room / Equipment Maintenance</v>
      </c>
      <c r="D16" s="535"/>
      <c r="E16" s="1336"/>
      <c r="F16" s="535"/>
      <c r="G16" s="1337">
        <f t="shared" si="0"/>
        <v>1</v>
      </c>
      <c r="H16" s="128"/>
      <c r="I16" s="1336">
        <f>'Interactive Worksheet'!Q92</f>
        <v>120</v>
      </c>
      <c r="J16" s="128"/>
      <c r="K16" s="1338">
        <f t="shared" si="1"/>
        <v>11.148</v>
      </c>
      <c r="L16" s="1339">
        <f>'Interactive Worksheet'!Q92</f>
        <v>120</v>
      </c>
      <c r="M16" s="535"/>
      <c r="N16" s="1340"/>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2230"/>
      <c r="C17" s="1342" t="str">
        <f>'Space Program Data'!J9</f>
        <v>Equipment Wash / Disinfection</v>
      </c>
      <c r="D17" s="535"/>
      <c r="E17" s="1336"/>
      <c r="F17" s="535"/>
      <c r="G17" s="1337">
        <f t="shared" si="0"/>
        <v>1</v>
      </c>
      <c r="H17" s="128"/>
      <c r="I17" s="1336">
        <f>'Interactive Worksheet'!Q94</f>
        <v>150</v>
      </c>
      <c r="J17" s="128"/>
      <c r="K17" s="1338">
        <f t="shared" si="1"/>
        <v>13.934999999999999</v>
      </c>
      <c r="L17" s="1339">
        <f>'Interactive Worksheet'!Q94</f>
        <v>150</v>
      </c>
      <c r="M17" s="535"/>
      <c r="N17" s="1341"/>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2230"/>
      <c r="C18" s="1342" t="str">
        <f>'Space Program Data'!J15</f>
        <v>Infectious Control</v>
      </c>
      <c r="D18" s="535"/>
      <c r="E18" s="1336"/>
      <c r="F18" s="535"/>
      <c r="G18" s="1337">
        <f>IF('Interactive Worksheet'!L102="Yes",1,0)</f>
        <v>1</v>
      </c>
      <c r="H18" s="128"/>
      <c r="I18" s="1336">
        <f>'Interactive Worksheet'!Q102</f>
        <v>160</v>
      </c>
      <c r="J18" s="128"/>
      <c r="K18" s="1338">
        <f t="shared" si="1"/>
        <v>14.863999999999999</v>
      </c>
      <c r="L18" s="1339">
        <f>G18*I18</f>
        <v>160</v>
      </c>
      <c r="M18" s="535"/>
      <c r="N18" s="1341"/>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2230"/>
      <c r="C19" s="1342" t="str">
        <f>'Space Program Data'!J8</f>
        <v>Protective Clothing Laundry</v>
      </c>
      <c r="D19" s="535"/>
      <c r="E19" s="1336"/>
      <c r="F19" s="535"/>
      <c r="G19" s="1337">
        <f t="shared" si="0"/>
        <v>1</v>
      </c>
      <c r="H19" s="128"/>
      <c r="I19" s="1336">
        <f>'Interactive Worksheet'!Q96</f>
        <v>120</v>
      </c>
      <c r="J19" s="128"/>
      <c r="K19" s="1338">
        <f t="shared" si="1"/>
        <v>11.148</v>
      </c>
      <c r="L19" s="1339">
        <f>'Interactive Worksheet'!Q96</f>
        <v>120</v>
      </c>
      <c r="M19" s="535"/>
      <c r="N19" s="1341"/>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2230"/>
      <c r="C20" s="1342" t="str">
        <f>'Space Program Data'!J12&amp;" - "&amp;'Interactive Worksheet'!I98</f>
        <v>EMS Storage - Closet</v>
      </c>
      <c r="D20" s="535"/>
      <c r="E20" s="1336"/>
      <c r="F20" s="535"/>
      <c r="G20" s="1337">
        <f t="shared" si="0"/>
        <v>1</v>
      </c>
      <c r="H20" s="128"/>
      <c r="I20" s="1336">
        <f>'Interactive Worksheet'!Q98</f>
        <v>40</v>
      </c>
      <c r="J20" s="128"/>
      <c r="K20" s="1338">
        <f t="shared" si="1"/>
        <v>3.7159999999999997</v>
      </c>
      <c r="L20" s="1339">
        <f>'Interactive Worksheet'!Q98</f>
        <v>40</v>
      </c>
      <c r="M20" s="535"/>
      <c r="N20" s="1341"/>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2230"/>
      <c r="C21" s="1342" t="str">
        <f>'Space Program Data'!J14</f>
        <v>HAZMAT / CBRN Equipment Storage</v>
      </c>
      <c r="D21" s="535"/>
      <c r="E21" s="1336"/>
      <c r="F21" s="535"/>
      <c r="G21" s="1337">
        <f t="shared" si="0"/>
        <v>0</v>
      </c>
      <c r="H21" s="128"/>
      <c r="I21" s="1336">
        <f>'Interactive Worksheet'!Q100</f>
        <v>0</v>
      </c>
      <c r="J21" s="128"/>
      <c r="K21" s="1338">
        <f t="shared" si="1"/>
        <v>0</v>
      </c>
      <c r="L21" s="1339">
        <f>'Interactive Worksheet'!Q100</f>
        <v>0</v>
      </c>
      <c r="M21" s="535"/>
      <c r="N21" s="1341"/>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2230"/>
      <c r="C22" s="1342" t="str">
        <f>'Space Program Data'!J18</f>
        <v>Spare PPE Gear Storage</v>
      </c>
      <c r="D22" s="535"/>
      <c r="E22" s="1336"/>
      <c r="F22" s="535"/>
      <c r="G22" s="1337">
        <f>IF(I22&gt;0,1,0)</f>
        <v>0</v>
      </c>
      <c r="H22" s="128"/>
      <c r="I22" s="1336">
        <f>'Interactive Worksheet'!Q104</f>
        <v>0</v>
      </c>
      <c r="J22" s="128"/>
      <c r="K22" s="1338">
        <f t="shared" si="1"/>
        <v>0</v>
      </c>
      <c r="L22" s="1339">
        <f>'Interactive Worksheet'!Q104</f>
        <v>0</v>
      </c>
      <c r="M22" s="535"/>
      <c r="N22" s="1341"/>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2230"/>
      <c r="C23" s="1342" t="str">
        <f>'Space Program Data'!J24</f>
        <v>Vehicle Maintenance / Storage Bay</v>
      </c>
      <c r="D23" s="535"/>
      <c r="E23" s="1336"/>
      <c r="F23" s="535"/>
      <c r="G23" s="1337">
        <f>IF('Interactive Worksheet'!L106= "Yes",1,0)</f>
        <v>0</v>
      </c>
      <c r="H23" s="128"/>
      <c r="I23" s="1336">
        <f>'Interactive Worksheet'!Q106</f>
        <v>0</v>
      </c>
      <c r="J23" s="128"/>
      <c r="K23" s="1338">
        <f t="shared" si="1"/>
        <v>0</v>
      </c>
      <c r="L23" s="1339">
        <f t="shared" ref="L23" si="2">G23*I23</f>
        <v>0</v>
      </c>
      <c r="M23" s="535"/>
      <c r="N23" s="1341"/>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2230"/>
      <c r="C24" s="1342" t="str">
        <f>'Space Program Data'!J25</f>
        <v>Vehicle Maintenance Office</v>
      </c>
      <c r="D24" s="535"/>
      <c r="E24" s="1336"/>
      <c r="F24" s="535"/>
      <c r="G24" s="1337">
        <f>IF('Interactive Worksheet'!L108="Yes",1,0)</f>
        <v>0</v>
      </c>
      <c r="H24" s="128"/>
      <c r="I24" s="1336">
        <f>'Interactive Worksheet'!Q108</f>
        <v>0</v>
      </c>
      <c r="J24" s="128"/>
      <c r="K24" s="1338">
        <f t="shared" si="1"/>
        <v>0</v>
      </c>
      <c r="L24" s="1339">
        <f t="shared" ref="L24:L25" si="3">G24*I24</f>
        <v>0</v>
      </c>
      <c r="M24" s="535"/>
      <c r="N24" s="1341"/>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2230"/>
      <c r="C25" s="1342" t="str">
        <f>'Space Program Data'!J11</f>
        <v>Vehicle Maintenance Equipment Storage</v>
      </c>
      <c r="D25" s="535"/>
      <c r="E25" s="1336"/>
      <c r="F25" s="535"/>
      <c r="G25" s="1337">
        <f>IF('Interactive Worksheet'!L110="Yes",1,0)</f>
        <v>0</v>
      </c>
      <c r="H25" s="128"/>
      <c r="I25" s="1336">
        <f>'Interactive Worksheet'!Q110</f>
        <v>0</v>
      </c>
      <c r="J25" s="128"/>
      <c r="K25" s="1338">
        <f t="shared" si="1"/>
        <v>0</v>
      </c>
      <c r="L25" s="1339">
        <f t="shared" si="3"/>
        <v>0</v>
      </c>
      <c r="M25" s="535"/>
      <c r="N25" s="1341"/>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2230"/>
      <c r="C26" s="1342" t="str">
        <f>'Space Program Data'!J19</f>
        <v>Fire Extinguisher Inspection</v>
      </c>
      <c r="D26" s="535"/>
      <c r="E26" s="1336">
        <f>'Interactive Worksheet'!L112</f>
        <v>0</v>
      </c>
      <c r="F26" s="535"/>
      <c r="G26" s="1337">
        <f>IF(I26&gt;0,1,0)</f>
        <v>0</v>
      </c>
      <c r="H26" s="128"/>
      <c r="I26" s="1336">
        <f>'Interactive Worksheet'!Q112</f>
        <v>0</v>
      </c>
      <c r="J26" s="128"/>
      <c r="K26" s="1338">
        <f t="shared" si="1"/>
        <v>0</v>
      </c>
      <c r="L26" s="1339">
        <f t="shared" ref="L26:L29" si="4">G26*I26</f>
        <v>0</v>
      </c>
      <c r="M26" s="535"/>
      <c r="N26" s="1341"/>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2230"/>
      <c r="C27" s="1342" t="str">
        <f>'Space Program Data'!J20</f>
        <v>Non-Flightline Fire Extinguishing Maintenance and Storage</v>
      </c>
      <c r="D27" s="535"/>
      <c r="E27" s="1336"/>
      <c r="F27" s="535"/>
      <c r="G27" s="1337">
        <f>IF('Interactive Worksheet'!L123="yes",1,0)</f>
        <v>1</v>
      </c>
      <c r="H27" s="128"/>
      <c r="I27" s="1336">
        <f>'Interactive Worksheet'!Q123</f>
        <v>120</v>
      </c>
      <c r="J27" s="128"/>
      <c r="K27" s="1338">
        <f t="shared" si="1"/>
        <v>11.148</v>
      </c>
      <c r="L27" s="1339">
        <f t="shared" si="4"/>
        <v>120</v>
      </c>
      <c r="M27" s="535"/>
      <c r="N27" s="1341"/>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2230"/>
      <c r="C28" s="1342" t="str">
        <f>'Space Program Data'!J21</f>
        <v>Flightline Fire Extinguishing Maintenance</v>
      </c>
      <c r="D28" s="535"/>
      <c r="E28" s="1336"/>
      <c r="F28" s="535"/>
      <c r="G28" s="1337">
        <f>IF('Interactive Worksheet'!L114="yes",1,0)</f>
        <v>0</v>
      </c>
      <c r="H28" s="128"/>
      <c r="I28" s="1336">
        <f>'Interactive Worksheet'!Q114</f>
        <v>0</v>
      </c>
      <c r="J28" s="128"/>
      <c r="K28" s="1338">
        <f t="shared" si="1"/>
        <v>0</v>
      </c>
      <c r="L28" s="1339">
        <f t="shared" si="4"/>
        <v>0</v>
      </c>
      <c r="M28" s="535"/>
      <c r="N28" s="1341"/>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2230"/>
      <c r="C29" s="1342" t="str">
        <f>'Space Program Data'!J22</f>
        <v>Flightline Fire Extinguishing Tank Recovery Ext. Covered Storage</v>
      </c>
      <c r="D29" s="535"/>
      <c r="E29" s="1336"/>
      <c r="F29" s="535"/>
      <c r="G29" s="1337">
        <f>IF('Interactive Worksheet'!L118="yes",1,0)</f>
        <v>0</v>
      </c>
      <c r="H29" s="128"/>
      <c r="I29" s="1336">
        <f>'Interactive Worksheet'!Q118</f>
        <v>0</v>
      </c>
      <c r="J29" s="128"/>
      <c r="K29" s="1338">
        <f t="shared" si="1"/>
        <v>0</v>
      </c>
      <c r="L29" s="1339">
        <f t="shared" si="4"/>
        <v>0</v>
      </c>
      <c r="M29" s="535"/>
      <c r="N29" s="1341"/>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2231"/>
      <c r="C30" s="1354" t="str">
        <f>'Space Program Data'!J23</f>
        <v>Spare Flightline Fire Extinguishing Tank Exterior Covered Storage</v>
      </c>
      <c r="D30" s="535"/>
      <c r="E30" s="1355"/>
      <c r="F30" s="535"/>
      <c r="G30" s="1356">
        <f>IF('Interactive Worksheet'!L120="yes",1,0)</f>
        <v>0</v>
      </c>
      <c r="H30" s="128"/>
      <c r="I30" s="1355">
        <f>'Interactive Worksheet'!Q120</f>
        <v>0</v>
      </c>
      <c r="J30" s="128"/>
      <c r="K30" s="1357">
        <f t="shared" si="1"/>
        <v>0</v>
      </c>
      <c r="L30" s="1358">
        <f t="shared" ref="L30" si="5">G30*I30</f>
        <v>0</v>
      </c>
      <c r="M30" s="535"/>
      <c r="N30" s="1359"/>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480" customFormat="1" ht="15" x14ac:dyDescent="0.2">
      <c r="A31" s="1491"/>
      <c r="B31" s="2232" t="s">
        <v>399</v>
      </c>
      <c r="C31" s="2233"/>
      <c r="D31" s="1481"/>
      <c r="E31" s="1492"/>
      <c r="F31" s="1483"/>
      <c r="G31" s="1493"/>
      <c r="H31" s="1485"/>
      <c r="I31" s="1492"/>
      <c r="J31" s="1485"/>
      <c r="K31" s="1494">
        <f>L31*0.0929</f>
        <v>252.31639999999999</v>
      </c>
      <c r="L31" s="1495">
        <f>SUM(L12:L30,L6)</f>
        <v>2716</v>
      </c>
      <c r="M31" s="1483"/>
      <c r="N31" s="1496"/>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2207" t="s">
        <v>266</v>
      </c>
      <c r="C33" s="2208"/>
      <c r="D33" s="1256"/>
      <c r="E33" s="293"/>
      <c r="F33" s="1256"/>
      <c r="G33" s="293"/>
      <c r="H33" s="1261"/>
      <c r="I33" s="459"/>
      <c r="J33" s="1262"/>
      <c r="K33" s="763"/>
      <c r="L33" s="459"/>
      <c r="M33" s="1267"/>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2245" t="s">
        <v>937</v>
      </c>
      <c r="C34" s="1274" t="str">
        <f>'Space Program Data'!J57</f>
        <v>Day Room</v>
      </c>
      <c r="D34" s="1254"/>
      <c r="E34" s="1275">
        <f>'Interactive Worksheet'!I75</f>
        <v>8</v>
      </c>
      <c r="F34" s="535"/>
      <c r="G34" s="1276">
        <f t="shared" ref="G34:G51" si="6">IF(I34&gt;0,1,0)</f>
        <v>1</v>
      </c>
      <c r="H34" s="128"/>
      <c r="I34" s="1275">
        <f>'Space Program Data'!H57</f>
        <v>120</v>
      </c>
      <c r="J34" s="126"/>
      <c r="K34" s="1277">
        <f t="shared" ref="K34:K52" si="7">L34*0.0929</f>
        <v>89.183999999999997</v>
      </c>
      <c r="L34" s="1278">
        <f>'Interactive Worksheet'!Q128</f>
        <v>960</v>
      </c>
      <c r="M34" s="1254"/>
      <c r="N34" s="1279" t="s">
        <v>993</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2246"/>
      <c r="C35" s="1360" t="str">
        <f>'Space Program Data'!J69</f>
        <v>Host Nation Day Room</v>
      </c>
      <c r="D35" s="535"/>
      <c r="E35" s="1361">
        <f>IF('Interactive Worksheet'!H161="Yes",'Interactive Worksheet'!M161,0)</f>
        <v>0</v>
      </c>
      <c r="F35" s="535"/>
      <c r="G35" s="1362">
        <f>IF('Interactive Worksheet'!H161="Yes",1,0)</f>
        <v>0</v>
      </c>
      <c r="H35" s="128"/>
      <c r="I35" s="1361">
        <f>'Interactive Worksheet'!Q161</f>
        <v>0</v>
      </c>
      <c r="J35" s="128"/>
      <c r="K35" s="1363">
        <f>L35*0.0929</f>
        <v>0</v>
      </c>
      <c r="L35" s="1278">
        <f>'Interactive Worksheet'!Q161</f>
        <v>0</v>
      </c>
      <c r="M35" s="535"/>
      <c r="N35" s="1364"/>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5" customFormat="1" ht="15" outlineLevel="1" x14ac:dyDescent="0.2">
      <c r="A36" s="17"/>
      <c r="B36" s="2246"/>
      <c r="C36" s="1559" t="str">
        <f>'Space Program Data'!J68</f>
        <v>Hoteling Stations</v>
      </c>
      <c r="D36" s="535"/>
      <c r="E36" s="1275"/>
      <c r="F36" s="535"/>
      <c r="G36" s="1276">
        <f>'Interactive Worksheet'!L163</f>
        <v>3</v>
      </c>
      <c r="H36" s="128"/>
      <c r="I36" s="1275">
        <f>'Space Program Data'!H68</f>
        <v>40</v>
      </c>
      <c r="J36" s="128"/>
      <c r="K36" s="1277">
        <f>L36*0.0929</f>
        <v>11.148</v>
      </c>
      <c r="L36" s="1476">
        <f>'Interactive Worksheet'!Q163</f>
        <v>120</v>
      </c>
      <c r="M36" s="535"/>
      <c r="N36" s="1560" t="s">
        <v>900</v>
      </c>
      <c r="O36" s="17"/>
      <c r="P36" s="29"/>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258" customFormat="1" ht="15" outlineLevel="1" x14ac:dyDescent="0.2">
      <c r="A37" s="248"/>
      <c r="B37" s="2246"/>
      <c r="C37" s="1559" t="str">
        <f>'Space Program Data'!J83</f>
        <v>Patio</v>
      </c>
      <c r="D37" s="382"/>
      <c r="E37" s="1275"/>
      <c r="F37" s="535"/>
      <c r="G37" s="1276">
        <v>1</v>
      </c>
      <c r="H37" s="128"/>
      <c r="I37" s="1275">
        <f>'Interactive Worksheet'!Q291</f>
        <v>150</v>
      </c>
      <c r="J37" s="128"/>
      <c r="K37" s="1277">
        <f>L37*0.0929</f>
        <v>13.934999999999999</v>
      </c>
      <c r="L37" s="1476">
        <f>'Interactive Worksheet'!Q291</f>
        <v>150</v>
      </c>
      <c r="M37" s="535"/>
      <c r="N37" s="1560"/>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row>
    <row r="38" spans="1:65" s="5" customFormat="1" ht="15" outlineLevel="1" x14ac:dyDescent="0.2">
      <c r="A38" s="17"/>
      <c r="B38" s="2247"/>
      <c r="C38" s="1470" t="str">
        <f>'Space Program Data'!J66</f>
        <v>Physical Therapy / Sauna</v>
      </c>
      <c r="D38" s="535"/>
      <c r="E38" s="1472"/>
      <c r="F38" s="535"/>
      <c r="G38" s="1473">
        <f>IF('Interactive Worksheet'!L157="yes",1,0)</f>
        <v>0</v>
      </c>
      <c r="H38" s="128"/>
      <c r="I38" s="1472">
        <f>'Interactive Worksheet'!Q157</f>
        <v>0</v>
      </c>
      <c r="J38" s="128"/>
      <c r="K38" s="1474">
        <f>L38*0.0929</f>
        <v>0</v>
      </c>
      <c r="L38" s="1475">
        <f>'Interactive Worksheet'!Q157</f>
        <v>0</v>
      </c>
      <c r="M38" s="535"/>
      <c r="N38" s="1471"/>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460" t="s">
        <v>913</v>
      </c>
      <c r="C39" s="1371" t="str">
        <f>'Space Program Data'!J58</f>
        <v>Dorm Rooms</v>
      </c>
      <c r="D39" s="535"/>
      <c r="E39" s="1372">
        <f>'Interactive Worksheet'!I75</f>
        <v>8</v>
      </c>
      <c r="F39" s="535"/>
      <c r="G39" s="1372">
        <f>E39</f>
        <v>8</v>
      </c>
      <c r="H39" s="128"/>
      <c r="I39" s="1372">
        <f>L39/G39</f>
        <v>108</v>
      </c>
      <c r="J39" s="128"/>
      <c r="K39" s="1373">
        <f t="shared" si="7"/>
        <v>80.265599999999992</v>
      </c>
      <c r="L39" s="1374">
        <f>'Interactive Worksheet'!Q138</f>
        <v>864</v>
      </c>
      <c r="M39" s="535"/>
      <c r="N39" s="1375"/>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2224" t="s">
        <v>932</v>
      </c>
      <c r="C40" s="1365" t="str">
        <f>'Space Program Data'!J63&amp;" - Female Responders"</f>
        <v>Bathrooms / Showers / Changing - Female Responders</v>
      </c>
      <c r="D40" s="535"/>
      <c r="E40" s="1366"/>
      <c r="F40" s="535"/>
      <c r="G40" s="1367">
        <f t="shared" si="6"/>
        <v>1</v>
      </c>
      <c r="H40" s="128"/>
      <c r="I40" s="1366">
        <f>Data!AJ14</f>
        <v>176</v>
      </c>
      <c r="J40" s="128"/>
      <c r="K40" s="1368">
        <f t="shared" si="7"/>
        <v>16.3504</v>
      </c>
      <c r="L40" s="1369">
        <f>G40*I40</f>
        <v>176</v>
      </c>
      <c r="M40" s="535"/>
      <c r="N40" s="1370"/>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2224"/>
      <c r="C41" s="1554" t="s">
        <v>747</v>
      </c>
      <c r="D41" s="1561"/>
      <c r="E41" s="1555"/>
      <c r="F41" s="1561"/>
      <c r="G41" s="1555">
        <f>'Interactive Worksheet'!J141</f>
        <v>2</v>
      </c>
      <c r="H41" s="1562"/>
      <c r="I41" s="1555"/>
      <c r="J41" s="1562"/>
      <c r="K41" s="1563"/>
      <c r="L41" s="1564"/>
      <c r="M41" s="1561"/>
      <c r="N41" s="1565"/>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2224"/>
      <c r="C42" s="1554" t="s">
        <v>745</v>
      </c>
      <c r="D42" s="1561"/>
      <c r="E42" s="1555"/>
      <c r="F42" s="1561"/>
      <c r="G42" s="1555">
        <f>'Interactive Worksheet'!J142</f>
        <v>2</v>
      </c>
      <c r="H42" s="1562"/>
      <c r="I42" s="1555"/>
      <c r="J42" s="1562"/>
      <c r="K42" s="1563"/>
      <c r="L42" s="1564"/>
      <c r="M42" s="1561"/>
      <c r="N42" s="1565"/>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2224"/>
      <c r="C43" s="1554" t="s">
        <v>748</v>
      </c>
      <c r="D43" s="1561"/>
      <c r="E43" s="1555"/>
      <c r="F43" s="1561"/>
      <c r="G43" s="1555">
        <f>'Interactive Worksheet'!J143</f>
        <v>1</v>
      </c>
      <c r="H43" s="1562"/>
      <c r="I43" s="1555"/>
      <c r="J43" s="1562"/>
      <c r="K43" s="1563"/>
      <c r="L43" s="1564"/>
      <c r="M43" s="1561"/>
      <c r="N43" s="1565"/>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2224"/>
      <c r="C44" s="1554" t="s">
        <v>896</v>
      </c>
      <c r="D44" s="1561"/>
      <c r="E44" s="1555"/>
      <c r="F44" s="1561"/>
      <c r="G44" s="1555">
        <f>'Interactive Worksheet'!J144</f>
        <v>3</v>
      </c>
      <c r="H44" s="1562"/>
      <c r="I44" s="1555"/>
      <c r="J44" s="1562"/>
      <c r="K44" s="1563"/>
      <c r="L44" s="1564"/>
      <c r="M44" s="1561"/>
      <c r="N44" s="1565"/>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2224"/>
      <c r="C45" s="1244" t="str">
        <f>'Space Program Data'!J63&amp;" - Male Responders"</f>
        <v>Bathrooms / Showers / Changing - Male Responders</v>
      </c>
      <c r="D45" s="535"/>
      <c r="E45" s="1245"/>
      <c r="F45" s="535"/>
      <c r="G45" s="1246">
        <f t="shared" ref="G45" si="8">IF(I45&gt;0,1,0)</f>
        <v>1</v>
      </c>
      <c r="H45" s="128"/>
      <c r="I45" s="1245">
        <f>Data!AG14</f>
        <v>327</v>
      </c>
      <c r="J45" s="128"/>
      <c r="K45" s="1247">
        <f t="shared" ref="K45" si="9">L45*0.0929</f>
        <v>30.378299999999999</v>
      </c>
      <c r="L45" s="1248">
        <f>G45*I45</f>
        <v>327</v>
      </c>
      <c r="M45" s="535"/>
      <c r="N45" s="1249"/>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2224"/>
      <c r="C46" s="1554" t="s">
        <v>747</v>
      </c>
      <c r="D46" s="1561"/>
      <c r="E46" s="1555"/>
      <c r="F46" s="1561"/>
      <c r="G46" s="1555">
        <f>'Interactive Worksheet'!J146</f>
        <v>3</v>
      </c>
      <c r="H46" s="1562"/>
      <c r="I46" s="1555"/>
      <c r="J46" s="1562"/>
      <c r="K46" s="1563"/>
      <c r="L46" s="1564"/>
      <c r="M46" s="1561"/>
      <c r="N46" s="1565"/>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2224"/>
      <c r="C47" s="1554" t="s">
        <v>922</v>
      </c>
      <c r="D47" s="1561"/>
      <c r="E47" s="1555"/>
      <c r="F47" s="1561"/>
      <c r="G47" s="1555">
        <f>'Interactive Worksheet'!J147</f>
        <v>4</v>
      </c>
      <c r="H47" s="1562"/>
      <c r="I47" s="1555"/>
      <c r="J47" s="1562"/>
      <c r="K47" s="1563"/>
      <c r="L47" s="1564"/>
      <c r="M47" s="1561"/>
      <c r="N47" s="1565" t="str">
        <f>"("&amp;ROUNDUP(G47/2,0)&amp;") Water Closet(s), ("&amp;ROUNDDOWN(G47/2,0)&amp;") Urinal(s)"</f>
        <v>(2) Water Closet(s), (2) Urinal(s)</v>
      </c>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2224"/>
      <c r="C48" s="1554" t="s">
        <v>748</v>
      </c>
      <c r="D48" s="1561"/>
      <c r="E48" s="1555"/>
      <c r="F48" s="1561"/>
      <c r="G48" s="1555">
        <f>'Interactive Worksheet'!J148</f>
        <v>2</v>
      </c>
      <c r="H48" s="1562"/>
      <c r="I48" s="1555"/>
      <c r="J48" s="1562"/>
      <c r="K48" s="1563"/>
      <c r="L48" s="1564"/>
      <c r="M48" s="1561"/>
      <c r="N48" s="1565"/>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2224"/>
      <c r="C49" s="1556" t="s">
        <v>896</v>
      </c>
      <c r="D49" s="1561"/>
      <c r="E49" s="1557"/>
      <c r="F49" s="1561"/>
      <c r="G49" s="1557">
        <f>'Interactive Worksheet'!J149</f>
        <v>7</v>
      </c>
      <c r="H49" s="1562"/>
      <c r="I49" s="1557"/>
      <c r="J49" s="1562"/>
      <c r="K49" s="1566"/>
      <c r="L49" s="1564"/>
      <c r="M49" s="1561"/>
      <c r="N49" s="1567"/>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461" t="s">
        <v>934</v>
      </c>
      <c r="C50" s="1376" t="str">
        <f>'Space Program Data'!J65</f>
        <v>Laundry Room</v>
      </c>
      <c r="D50" s="535"/>
      <c r="E50" s="1377"/>
      <c r="F50" s="535"/>
      <c r="G50" s="1378">
        <f t="shared" si="6"/>
        <v>1</v>
      </c>
      <c r="H50" s="128"/>
      <c r="I50" s="1377">
        <f>'Interactive Worksheet'!Q151</f>
        <v>96</v>
      </c>
      <c r="J50" s="128"/>
      <c r="K50" s="1379">
        <f t="shared" si="7"/>
        <v>8.9184000000000001</v>
      </c>
      <c r="L50" s="1380">
        <f>'Interactive Worksheet'!Q151</f>
        <v>96</v>
      </c>
      <c r="M50" s="535"/>
      <c r="N50" s="1381"/>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463" t="s">
        <v>935</v>
      </c>
      <c r="C51" s="1464" t="str">
        <f>'Space Program Data'!J64</f>
        <v>Fitness Room</v>
      </c>
      <c r="D51" s="535"/>
      <c r="E51" s="1465"/>
      <c r="F51" s="535"/>
      <c r="G51" s="1466">
        <f t="shared" si="6"/>
        <v>1</v>
      </c>
      <c r="H51" s="128"/>
      <c r="I51" s="1465">
        <f>'Interactive Worksheet'!Q153</f>
        <v>480</v>
      </c>
      <c r="J51" s="128"/>
      <c r="K51" s="1467">
        <f t="shared" si="7"/>
        <v>44.591999999999999</v>
      </c>
      <c r="L51" s="1468">
        <f>'Interactive Worksheet'!Q153</f>
        <v>480</v>
      </c>
      <c r="M51" s="535"/>
      <c r="N51" s="1469"/>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462" t="s">
        <v>936</v>
      </c>
      <c r="C52" s="1445" t="str">
        <f>'Space Program Data'!J67</f>
        <v>Recreation Room</v>
      </c>
      <c r="D52" s="535"/>
      <c r="E52" s="1446"/>
      <c r="F52" s="535"/>
      <c r="G52" s="1447">
        <f>IF('Interactive Worksheet'!L159="yes",1,0)</f>
        <v>1</v>
      </c>
      <c r="H52" s="128"/>
      <c r="I52" s="1446">
        <f>'Interactive Worksheet'!Q159</f>
        <v>360</v>
      </c>
      <c r="J52" s="128"/>
      <c r="K52" s="1448">
        <f t="shared" si="7"/>
        <v>33.443999999999996</v>
      </c>
      <c r="L52" s="1449">
        <f>'Interactive Worksheet'!Q159</f>
        <v>360</v>
      </c>
      <c r="M52" s="535"/>
      <c r="N52" s="1450"/>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480" customFormat="1" ht="15.75" thickTop="1" x14ac:dyDescent="0.2">
      <c r="B53" s="2209" t="s">
        <v>398</v>
      </c>
      <c r="C53" s="2210"/>
      <c r="D53" s="1481"/>
      <c r="E53" s="1482"/>
      <c r="F53" s="1483"/>
      <c r="G53" s="1484"/>
      <c r="H53" s="1485"/>
      <c r="I53" s="1482"/>
      <c r="J53" s="1485"/>
      <c r="K53" s="1486">
        <f>L53*0.0929</f>
        <v>328.21569999999997</v>
      </c>
      <c r="L53" s="1487">
        <f>SUM(L34:L52)</f>
        <v>3533</v>
      </c>
      <c r="M53" s="1483"/>
      <c r="N53" s="1488"/>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2207" t="s">
        <v>273</v>
      </c>
      <c r="C55" s="2208"/>
      <c r="D55" s="1256"/>
      <c r="E55" s="1426"/>
      <c r="F55" s="1256"/>
      <c r="G55" s="1426"/>
      <c r="H55" s="1261"/>
      <c r="I55" s="619"/>
      <c r="J55" s="1262"/>
      <c r="K55" s="1427"/>
      <c r="L55" s="619"/>
      <c r="M55" s="1267"/>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2235" t="s">
        <v>127</v>
      </c>
      <c r="C56" s="1433" t="str">
        <f>'Space Program Data'!J30</f>
        <v>Main Entry Vestibule</v>
      </c>
      <c r="D56" s="535"/>
      <c r="E56" s="1434">
        <v>0</v>
      </c>
      <c r="F56" s="535"/>
      <c r="G56" s="1435">
        <f>IF('Interactive Worksheet'!J172="Yes",1,0)</f>
        <v>1</v>
      </c>
      <c r="H56" s="128"/>
      <c r="I56" s="1434">
        <f>'Interactive Worksheet'!Q172</f>
        <v>64</v>
      </c>
      <c r="J56" s="128"/>
      <c r="K56" s="1436">
        <f>L56*0.0929</f>
        <v>5.9455999999999998</v>
      </c>
      <c r="L56" s="1437">
        <f>'Interactive Worksheet'!Q172</f>
        <v>64</v>
      </c>
      <c r="M56" s="535"/>
      <c r="N56" s="143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2236"/>
      <c r="C57" s="1290" t="str">
        <f>'Space Program Data'!J31</f>
        <v>Lobby Area</v>
      </c>
      <c r="D57" s="1254"/>
      <c r="E57" s="1291"/>
      <c r="F57" s="535"/>
      <c r="G57" s="1292">
        <f>IF(I57&gt;0,1,0)</f>
        <v>1</v>
      </c>
      <c r="H57" s="128"/>
      <c r="I57" s="1291">
        <f>'Interactive Worksheet'!Q174</f>
        <v>100</v>
      </c>
      <c r="J57" s="128"/>
      <c r="K57" s="1293">
        <f>L57*0.0929</f>
        <v>9.2899999999999991</v>
      </c>
      <c r="L57" s="1294">
        <f>'Interactive Worksheet'!Q174</f>
        <v>100</v>
      </c>
      <c r="M57" s="1254"/>
      <c r="N57" s="1295"/>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2237"/>
      <c r="C58" s="1439" t="str">
        <f>'Space Program Data'!J76</f>
        <v>Public Toilet (ADA-compliant, unisex)</v>
      </c>
      <c r="D58" s="1254"/>
      <c r="E58" s="1440"/>
      <c r="F58" s="535"/>
      <c r="G58" s="1441">
        <f>IF(I58&gt;0,1,0)</f>
        <v>1</v>
      </c>
      <c r="H58" s="128"/>
      <c r="I58" s="1440">
        <f>'Interactive Worksheet'!Q176</f>
        <v>60</v>
      </c>
      <c r="J58" s="128"/>
      <c r="K58" s="1442">
        <f>L58*0.0929</f>
        <v>5.5739999999999998</v>
      </c>
      <c r="L58" s="1443">
        <f>'Interactive Worksheet'!Q176</f>
        <v>60</v>
      </c>
      <c r="M58" s="1254"/>
      <c r="N58" s="1444" t="s">
        <v>996</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2206" t="s">
        <v>941</v>
      </c>
      <c r="C59" s="1321" t="str">
        <f>'Space Program Data'!J32</f>
        <v>Administration Assistant</v>
      </c>
      <c r="D59" s="1254"/>
      <c r="E59" s="1428">
        <f>G59</f>
        <v>0</v>
      </c>
      <c r="F59" s="535"/>
      <c r="G59" s="1429">
        <f>IF(I59&gt;0,1,0)</f>
        <v>0</v>
      </c>
      <c r="H59" s="128"/>
      <c r="I59" s="1428">
        <f>'Interactive Worksheet'!Q187</f>
        <v>0</v>
      </c>
      <c r="J59" s="128"/>
      <c r="K59" s="1430">
        <f>L59*0.0929</f>
        <v>0</v>
      </c>
      <c r="L59" s="1431">
        <f>'Interactive Worksheet'!Q187</f>
        <v>0</v>
      </c>
      <c r="M59" s="1254"/>
      <c r="N59" s="1432"/>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2206"/>
      <c r="C60" s="1309" t="str">
        <f>'Space Program Data'!J26</f>
        <v>Station Chief Office / Watch Desk</v>
      </c>
      <c r="D60" s="535"/>
      <c r="E60" s="1310"/>
      <c r="F60" s="535"/>
      <c r="G60" s="1311">
        <f>IF(I60&gt;0,1,0)</f>
        <v>1</v>
      </c>
      <c r="H60" s="128"/>
      <c r="I60" s="1310">
        <f>'Interactive Worksheet'!Q170</f>
        <v>120</v>
      </c>
      <c r="J60" s="128"/>
      <c r="K60" s="1312">
        <f t="shared" ref="K60:K89" si="10">L60*0.0929</f>
        <v>11.148</v>
      </c>
      <c r="L60" s="1313">
        <f>'Interactive Worksheet'!Q170</f>
        <v>120</v>
      </c>
      <c r="M60" s="535"/>
      <c r="N60" s="1315" t="s">
        <v>994</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2206"/>
      <c r="C61" s="1309" t="str">
        <f>'Space Program Data'!J27</f>
        <v>Fire Chief's Office</v>
      </c>
      <c r="D61" s="535"/>
      <c r="E61" s="1310">
        <f>G61</f>
        <v>0</v>
      </c>
      <c r="F61" s="535"/>
      <c r="G61" s="1310">
        <f>IF(I61&gt;0,1,0)</f>
        <v>0</v>
      </c>
      <c r="H61" s="128"/>
      <c r="I61" s="1310">
        <f>'Interactive Worksheet'!Q178</f>
        <v>0</v>
      </c>
      <c r="J61" s="128"/>
      <c r="K61" s="1312">
        <f t="shared" si="10"/>
        <v>0</v>
      </c>
      <c r="L61" s="1313">
        <f>'Interactive Worksheet'!Q178</f>
        <v>0</v>
      </c>
      <c r="M61" s="535"/>
      <c r="N61" s="1314"/>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2206"/>
      <c r="C62" s="1309" t="str">
        <f>'Space Program Data'!J29</f>
        <v>Deputy Chief's Office</v>
      </c>
      <c r="D62" s="535"/>
      <c r="E62" s="1310">
        <f>G62</f>
        <v>0</v>
      </c>
      <c r="F62" s="535"/>
      <c r="G62" s="1311">
        <f>IF('Interactive Worksheet'!J185="yes",1,0)</f>
        <v>0</v>
      </c>
      <c r="H62" s="128"/>
      <c r="I62" s="1310">
        <f>'Interactive Worksheet'!Q185</f>
        <v>0</v>
      </c>
      <c r="J62" s="128"/>
      <c r="K62" s="1312">
        <f t="shared" si="10"/>
        <v>0</v>
      </c>
      <c r="L62" s="1313">
        <f>'Interactive Worksheet'!Q185</f>
        <v>0</v>
      </c>
      <c r="M62" s="535"/>
      <c r="N62" s="1314"/>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2206"/>
      <c r="C63" s="1309" t="str">
        <f>'Space Program Data'!J28</f>
        <v>Chief's Conference Room</v>
      </c>
      <c r="D63" s="1254"/>
      <c r="E63" s="1310"/>
      <c r="F63" s="535"/>
      <c r="G63" s="1311">
        <f>IF(I63&gt;0,1,0)</f>
        <v>0</v>
      </c>
      <c r="H63" s="128"/>
      <c r="I63" s="1310">
        <f>'Interactive Worksheet'!Q181</f>
        <v>0</v>
      </c>
      <c r="J63" s="128"/>
      <c r="K63" s="1312">
        <f t="shared" si="10"/>
        <v>0</v>
      </c>
      <c r="L63" s="1313">
        <f>'Interactive Worksheet'!Q181</f>
        <v>0</v>
      </c>
      <c r="M63" s="1254"/>
      <c r="N63" s="1314"/>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2206"/>
      <c r="C64" s="1309" t="str">
        <f>'Space Program Data'!J33</f>
        <v>Assistant Chief / Shift Supervisor</v>
      </c>
      <c r="D64" s="1254"/>
      <c r="E64" s="1310">
        <f>IF('Interactive Worksheet'!J189="yes",1,0)</f>
        <v>1</v>
      </c>
      <c r="F64" s="535"/>
      <c r="G64" s="1311">
        <f>IF('Interactive Worksheet'!J189="yes",1,0)</f>
        <v>1</v>
      </c>
      <c r="H64" s="128"/>
      <c r="I64" s="1310">
        <f>'Interactive Worksheet'!Q189</f>
        <v>120</v>
      </c>
      <c r="J64" s="128"/>
      <c r="K64" s="1312">
        <f t="shared" si="10"/>
        <v>11.148</v>
      </c>
      <c r="L64" s="1313">
        <f>'Interactive Worksheet'!Q189</f>
        <v>120</v>
      </c>
      <c r="M64" s="1254"/>
      <c r="N64" s="1315" t="s">
        <v>802</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2206"/>
      <c r="C65" s="1309" t="str">
        <f>'Space Program Data'!J34</f>
        <v>Assistant Chief of Fire Prevention</v>
      </c>
      <c r="D65" s="1254"/>
      <c r="E65" s="1310">
        <f>IF('Interactive Worksheet'!J192="yes",1,0)</f>
        <v>0</v>
      </c>
      <c r="F65" s="535"/>
      <c r="G65" s="1310">
        <f>IF('Interactive Worksheet'!J192="yes",1,0)</f>
        <v>0</v>
      </c>
      <c r="H65" s="128"/>
      <c r="I65" s="1310">
        <f>'Interactive Worksheet'!Q192</f>
        <v>0</v>
      </c>
      <c r="J65" s="128"/>
      <c r="K65" s="1312">
        <f t="shared" si="10"/>
        <v>0</v>
      </c>
      <c r="L65" s="1313">
        <f>'Interactive Worksheet'!Q192</f>
        <v>0</v>
      </c>
      <c r="M65" s="1254"/>
      <c r="N65" s="1314"/>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2206"/>
      <c r="C66" s="1309" t="str">
        <f>'Space Program Data'!J35</f>
        <v>Inspector's Office(s) / Workstation(s)</v>
      </c>
      <c r="D66" s="1254"/>
      <c r="E66" s="1310">
        <f>'Interactive Worksheet'!J194</f>
        <v>0</v>
      </c>
      <c r="F66" s="535"/>
      <c r="G66" s="1311">
        <f>IF(E66&gt;0,1,0)</f>
        <v>0</v>
      </c>
      <c r="H66" s="128"/>
      <c r="I66" s="1310">
        <f>'Interactive Worksheet'!Q194</f>
        <v>0</v>
      </c>
      <c r="J66" s="128"/>
      <c r="K66" s="1312">
        <f t="shared" si="10"/>
        <v>0</v>
      </c>
      <c r="L66" s="1313">
        <f>'Interactive Worksheet'!Q194</f>
        <v>0</v>
      </c>
      <c r="M66" s="1254"/>
      <c r="N66" s="1314"/>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2206"/>
      <c r="C67" s="1309" t="str">
        <f>'Space Program Data'!J36</f>
        <v>EMS Office</v>
      </c>
      <c r="D67" s="1254"/>
      <c r="E67" s="1310"/>
      <c r="F67" s="535"/>
      <c r="G67" s="1311">
        <f>IF('Interactive Worksheet'!J196="yes",1,0)</f>
        <v>0</v>
      </c>
      <c r="H67" s="128"/>
      <c r="I67" s="1310">
        <f>'Interactive Worksheet'!Q196</f>
        <v>0</v>
      </c>
      <c r="J67" s="128"/>
      <c r="K67" s="1312">
        <f t="shared" si="10"/>
        <v>0</v>
      </c>
      <c r="L67" s="1313">
        <f>'Interactive Worksheet'!Q196</f>
        <v>0</v>
      </c>
      <c r="M67" s="1254"/>
      <c r="N67" s="1314"/>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2206"/>
      <c r="C68" s="1309" t="str">
        <f>'Space Program Data'!J37</f>
        <v>HAZMAT / Safety Office</v>
      </c>
      <c r="D68" s="1254"/>
      <c r="E68" s="1310"/>
      <c r="F68" s="535"/>
      <c r="G68" s="1311">
        <f>IF('Interactive Worksheet'!J198="yes",1,0)</f>
        <v>0</v>
      </c>
      <c r="H68" s="128"/>
      <c r="I68" s="1310">
        <f>'Interactive Worksheet'!Q198</f>
        <v>0</v>
      </c>
      <c r="J68" s="128"/>
      <c r="K68" s="1312">
        <f t="shared" si="10"/>
        <v>0</v>
      </c>
      <c r="L68" s="1313">
        <f>'Interactive Worksheet'!Q198</f>
        <v>0</v>
      </c>
      <c r="M68" s="1254"/>
      <c r="N68" s="1314"/>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2206"/>
      <c r="C69" s="1309" t="str">
        <f>'Space Program Data'!J40&amp;" - "&amp;'Interactive Worksheet'!F205</f>
        <v>Union Representative - None</v>
      </c>
      <c r="D69" s="535"/>
      <c r="E69" s="1310"/>
      <c r="F69" s="535"/>
      <c r="G69" s="1311"/>
      <c r="H69" s="128"/>
      <c r="I69" s="1310">
        <f>'Interactive Worksheet'!Q205</f>
        <v>0</v>
      </c>
      <c r="J69" s="128"/>
      <c r="K69" s="1312">
        <f>L69*0.0929</f>
        <v>0</v>
      </c>
      <c r="L69" s="1313">
        <f>'Interactive Worksheet'!Q205</f>
        <v>0</v>
      </c>
      <c r="M69" s="535"/>
      <c r="N69" s="1314"/>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2206"/>
      <c r="C70" s="1309" t="s">
        <v>772</v>
      </c>
      <c r="D70" s="535"/>
      <c r="E70" s="1310"/>
      <c r="F70" s="535"/>
      <c r="G70" s="1310">
        <f>IF('Interactive Worksheet'!J178="Yes",1,0)</f>
        <v>0</v>
      </c>
      <c r="H70" s="128"/>
      <c r="I70" s="1310">
        <f>'Interactive Worksheet'!Q179</f>
        <v>0</v>
      </c>
      <c r="J70" s="128"/>
      <c r="K70" s="1312">
        <f>L70*0.0929</f>
        <v>0</v>
      </c>
      <c r="L70" s="1313">
        <f>'Interactive Worksheet'!Q179</f>
        <v>0</v>
      </c>
      <c r="M70" s="535"/>
      <c r="N70" s="1314"/>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2206"/>
      <c r="C71" s="1309" t="s">
        <v>905</v>
      </c>
      <c r="D71" s="535"/>
      <c r="E71" s="1310"/>
      <c r="F71" s="535"/>
      <c r="G71" s="1310">
        <f>IF('Interactive Worksheet'!J183="Yes",1,0)</f>
        <v>0</v>
      </c>
      <c r="H71" s="128"/>
      <c r="I71" s="1310">
        <f>'Interactive Worksheet'!Q183</f>
        <v>0</v>
      </c>
      <c r="J71" s="128"/>
      <c r="K71" s="1312">
        <f>L71*0.0929</f>
        <v>0</v>
      </c>
      <c r="L71" s="1313">
        <f>'Interactive Worksheet'!Q183</f>
        <v>0</v>
      </c>
      <c r="M71" s="535"/>
      <c r="N71" s="1314" t="s">
        <v>997</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2206"/>
      <c r="C72" s="1309" t="s">
        <v>838</v>
      </c>
      <c r="D72" s="1254"/>
      <c r="E72" s="1310"/>
      <c r="F72" s="535"/>
      <c r="G72" s="1311"/>
      <c r="H72" s="128"/>
      <c r="I72" s="1310">
        <f>'Interactive Worksheet'!Q190</f>
        <v>0</v>
      </c>
      <c r="J72" s="128"/>
      <c r="K72" s="1312">
        <f>L72*0.0929</f>
        <v>0</v>
      </c>
      <c r="L72" s="1313">
        <f>'Interactive Worksheet'!Q190</f>
        <v>0</v>
      </c>
      <c r="M72" s="1254"/>
      <c r="N72" s="1315"/>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2206"/>
      <c r="C73" s="1309" t="s">
        <v>776</v>
      </c>
      <c r="D73" s="535"/>
      <c r="E73" s="1310"/>
      <c r="F73" s="535"/>
      <c r="G73" s="1311">
        <f>IF('Interactive Worksheet'!M225="Yes",2,0)</f>
        <v>0</v>
      </c>
      <c r="H73" s="128"/>
      <c r="I73" s="1310" t="e">
        <f>'Interactive Worksheet'!Q225/G73</f>
        <v>#DIV/0!</v>
      </c>
      <c r="J73" s="128"/>
      <c r="K73" s="1312">
        <f t="shared" si="10"/>
        <v>0</v>
      </c>
      <c r="L73" s="1313">
        <f>'Interactive Worksheet'!Q225</f>
        <v>0</v>
      </c>
      <c r="M73" s="535"/>
      <c r="N73" s="1314"/>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2206"/>
      <c r="C74" s="1316" t="s">
        <v>923</v>
      </c>
      <c r="D74" s="1255"/>
      <c r="E74" s="1317"/>
      <c r="F74" s="1255"/>
      <c r="G74" s="1317">
        <f>'Interactive Worksheet'!J228</f>
        <v>1</v>
      </c>
      <c r="H74" s="1260"/>
      <c r="I74" s="1317"/>
      <c r="J74" s="1260"/>
      <c r="K74" s="1318"/>
      <c r="L74" s="1319"/>
      <c r="M74" s="1255"/>
      <c r="N74" s="1320"/>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2206"/>
      <c r="C75" s="1316" t="s">
        <v>924</v>
      </c>
      <c r="D75" s="1255"/>
      <c r="E75" s="1317"/>
      <c r="F75" s="1255"/>
      <c r="G75" s="1317">
        <f>'Interactive Worksheet'!J229</f>
        <v>1</v>
      </c>
      <c r="H75" s="1260"/>
      <c r="I75" s="1317"/>
      <c r="J75" s="1260"/>
      <c r="K75" s="1318"/>
      <c r="L75" s="1319"/>
      <c r="M75" s="1255"/>
      <c r="N75" s="1320"/>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2206"/>
      <c r="C76" s="1316" t="s">
        <v>925</v>
      </c>
      <c r="D76" s="1255"/>
      <c r="E76" s="1317"/>
      <c r="F76" s="1255"/>
      <c r="G76" s="1317">
        <f>'Interactive Worksheet'!J231</f>
        <v>2</v>
      </c>
      <c r="H76" s="1260"/>
      <c r="I76" s="1317"/>
      <c r="J76" s="1260"/>
      <c r="K76" s="1318"/>
      <c r="L76" s="1319"/>
      <c r="M76" s="1255"/>
      <c r="N76" s="1320"/>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2206"/>
      <c r="C77" s="1316" t="s">
        <v>926</v>
      </c>
      <c r="D77" s="1255"/>
      <c r="E77" s="1317"/>
      <c r="F77" s="1255"/>
      <c r="G77" s="1317">
        <f>'Interactive Worksheet'!J232</f>
        <v>2</v>
      </c>
      <c r="H77" s="1260"/>
      <c r="I77" s="1317"/>
      <c r="J77" s="1260"/>
      <c r="K77" s="1318"/>
      <c r="L77" s="1319"/>
      <c r="M77" s="1255"/>
      <c r="N77" s="1320"/>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2206"/>
      <c r="C78" s="1309" t="str">
        <f>'Space Program Data'!J43</f>
        <v>Administration &amp; Training Break Room</v>
      </c>
      <c r="D78" s="535"/>
      <c r="E78" s="1310"/>
      <c r="F78" s="535"/>
      <c r="G78" s="1311">
        <f>IF('Interactive Worksheet'!M223="Yes",1,0)</f>
        <v>1</v>
      </c>
      <c r="H78" s="128"/>
      <c r="I78" s="1310">
        <f>'Space Program Data'!H43</f>
        <v>100</v>
      </c>
      <c r="J78" s="128"/>
      <c r="K78" s="1406">
        <f>L78*0.0929</f>
        <v>9.2899999999999991</v>
      </c>
      <c r="L78" s="1313">
        <f>G78*I78</f>
        <v>100</v>
      </c>
      <c r="M78" s="535"/>
      <c r="N78" s="1314"/>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2206"/>
      <c r="C79" s="1402" t="str">
        <f>'Space Program Data'!J49</f>
        <v>General Administration Storage</v>
      </c>
      <c r="D79" s="535"/>
      <c r="E79" s="1403"/>
      <c r="F79" s="535"/>
      <c r="G79" s="1404">
        <f>IF(I79&gt;0,1,0)</f>
        <v>1</v>
      </c>
      <c r="H79" s="128"/>
      <c r="I79" s="1405">
        <f>'Interactive Worksheet'!Q203</f>
        <v>80</v>
      </c>
      <c r="J79" s="128"/>
      <c r="K79" s="1406">
        <f>L79*0.0929</f>
        <v>7.4319999999999995</v>
      </c>
      <c r="L79" s="1313">
        <f>'Interactive Worksheet'!Q203</f>
        <v>80</v>
      </c>
      <c r="M79" s="535"/>
      <c r="N79" s="1407"/>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2241" t="s">
        <v>940</v>
      </c>
      <c r="C80" s="1414" t="str">
        <f>'Space Program Data'!J46</f>
        <v>Training Officer Office</v>
      </c>
      <c r="D80" s="456"/>
      <c r="E80" s="1415"/>
      <c r="F80" s="456"/>
      <c r="G80" s="1416">
        <f>IF('Interactive Worksheet'!J209="yes",1,0)</f>
        <v>0</v>
      </c>
      <c r="H80" s="128"/>
      <c r="I80" s="1415">
        <f>'Interactive Worksheet'!Q209</f>
        <v>0</v>
      </c>
      <c r="J80" s="1263"/>
      <c r="K80" s="1417">
        <f t="shared" si="10"/>
        <v>0</v>
      </c>
      <c r="L80" s="1453">
        <f>'Interactive Worksheet'!Q209</f>
        <v>0</v>
      </c>
      <c r="M80" s="1268"/>
      <c r="N80" s="1418" t="s">
        <v>803</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2242"/>
      <c r="C81" s="1306" t="str">
        <f>'Space Program Data'!J44</f>
        <v>Training Room</v>
      </c>
      <c r="D81" s="535"/>
      <c r="E81" s="1303">
        <f>'Interactive Worksheet'!M211</f>
        <v>12</v>
      </c>
      <c r="F81" s="535"/>
      <c r="G81" s="1304">
        <f>IF(E81&gt;0,1,0)</f>
        <v>1</v>
      </c>
      <c r="H81" s="128"/>
      <c r="I81" s="1303">
        <f>'Interactive Worksheet'!Q211</f>
        <v>336</v>
      </c>
      <c r="J81" s="128"/>
      <c r="K81" s="1307">
        <f t="shared" si="10"/>
        <v>31.214399999999998</v>
      </c>
      <c r="L81" s="1305">
        <f>'Interactive Worksheet'!Q211</f>
        <v>336</v>
      </c>
      <c r="M81" s="535"/>
      <c r="N81" s="1308"/>
      <c r="O81" s="17"/>
      <c r="P81" s="29" t="s">
        <v>447</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2242"/>
      <c r="C82" s="1302" t="str">
        <f>'Space Program Data'!J45</f>
        <v>Training Room Storage</v>
      </c>
      <c r="D82" s="535"/>
      <c r="E82" s="1303"/>
      <c r="F82" s="535"/>
      <c r="G82" s="1304">
        <f>IF(I82&gt;0,1,0)</f>
        <v>1</v>
      </c>
      <c r="H82" s="128"/>
      <c r="I82" s="1303">
        <f>'Interactive Worksheet'!Q213</f>
        <v>80</v>
      </c>
      <c r="J82" s="128"/>
      <c r="K82" s="1307">
        <f t="shared" si="10"/>
        <v>7.4319999999999995</v>
      </c>
      <c r="L82" s="1305">
        <f>'Interactive Worksheet'!Q213</f>
        <v>80</v>
      </c>
      <c r="M82" s="535"/>
      <c r="N82" s="130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2243"/>
      <c r="C83" s="1419" t="str">
        <f>'Space Program Data'!J47</f>
        <v>Computer Training / Testing Room</v>
      </c>
      <c r="D83" s="535"/>
      <c r="E83" s="1420"/>
      <c r="F83" s="1254"/>
      <c r="G83" s="1421">
        <f>IF(I83&gt;0,1,0)</f>
        <v>1</v>
      </c>
      <c r="H83" s="126"/>
      <c r="I83" s="1422">
        <f>'Interactive Worksheet'!Q215</f>
        <v>140</v>
      </c>
      <c r="J83" s="126"/>
      <c r="K83" s="1423">
        <f t="shared" si="10"/>
        <v>13.006</v>
      </c>
      <c r="L83" s="1424">
        <f>'Interactive Worksheet'!Q215</f>
        <v>140</v>
      </c>
      <c r="M83" s="535"/>
      <c r="N83" s="1425"/>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2239" t="s">
        <v>939</v>
      </c>
      <c r="C84" s="1390" t="str">
        <f>'Space Program Data'!J38</f>
        <v>Logistics Office</v>
      </c>
      <c r="D84" s="535"/>
      <c r="E84" s="1391"/>
      <c r="F84" s="535"/>
      <c r="G84" s="1392">
        <f>IF('Interactive Worksheet'!J200="yes",1,0)</f>
        <v>0</v>
      </c>
      <c r="H84" s="128"/>
      <c r="I84" s="1391">
        <f>'Interactive Worksheet'!Q200</f>
        <v>0</v>
      </c>
      <c r="J84" s="128"/>
      <c r="K84" s="1393">
        <f>L84*0.0929</f>
        <v>0</v>
      </c>
      <c r="L84" s="1394">
        <f>'Interactive Worksheet'!Q200</f>
        <v>0</v>
      </c>
      <c r="M84" s="535"/>
      <c r="N84" s="1395"/>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2240"/>
      <c r="C85" s="1396" t="str">
        <f>'Space Program Data'!J39</f>
        <v>Logistics Storage</v>
      </c>
      <c r="D85" s="535"/>
      <c r="E85" s="1397"/>
      <c r="F85" s="535"/>
      <c r="G85" s="1398"/>
      <c r="H85" s="128"/>
      <c r="I85" s="1397">
        <f>'Interactive Worksheet'!Q201</f>
        <v>0</v>
      </c>
      <c r="J85" s="128"/>
      <c r="K85" s="1399">
        <f>L85*0.0929</f>
        <v>0</v>
      </c>
      <c r="L85" s="1400">
        <f>'Interactive Worksheet'!Q201</f>
        <v>0</v>
      </c>
      <c r="M85" s="535"/>
      <c r="N85" s="1401"/>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2238" t="s">
        <v>938</v>
      </c>
      <c r="C86" s="1384" t="str">
        <f>'Space Program Data'!J71</f>
        <v>Air Force Reserve Supervisor</v>
      </c>
      <c r="D86" s="535"/>
      <c r="E86" s="1385">
        <f>'Interactive Worksheet'!I250</f>
        <v>0</v>
      </c>
      <c r="F86" s="535"/>
      <c r="G86" s="1386">
        <f>'Interactive Worksheet'!I250</f>
        <v>0</v>
      </c>
      <c r="H86" s="128"/>
      <c r="I86" s="1385">
        <f>'Interactive Worksheet'!Q250</f>
        <v>0</v>
      </c>
      <c r="J86" s="128"/>
      <c r="K86" s="1387">
        <f t="shared" si="10"/>
        <v>0</v>
      </c>
      <c r="L86" s="1388">
        <f>'Interactive Worksheet'!Q250</f>
        <v>0</v>
      </c>
      <c r="M86" s="535"/>
      <c r="N86" s="1389"/>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2238"/>
      <c r="C87" s="1296" t="str">
        <f>'Space Program Data'!J72</f>
        <v>Air Force Reserve Workstations</v>
      </c>
      <c r="D87" s="535"/>
      <c r="E87" s="1297">
        <f>'Interactive Worksheet'!I252</f>
        <v>0</v>
      </c>
      <c r="F87" s="535"/>
      <c r="G87" s="1298">
        <f>'Interactive Worksheet'!I252</f>
        <v>0</v>
      </c>
      <c r="H87" s="128"/>
      <c r="I87" s="1297">
        <f>'Space Program Data'!H72</f>
        <v>64</v>
      </c>
      <c r="J87" s="128"/>
      <c r="K87" s="1299">
        <f t="shared" si="10"/>
        <v>0</v>
      </c>
      <c r="L87" s="1300">
        <f>'Interactive Worksheet'!Q252</f>
        <v>0</v>
      </c>
      <c r="M87" s="535"/>
      <c r="N87" s="1301"/>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2238"/>
      <c r="C88" s="1296" t="str">
        <f>'Space Program Data'!J73</f>
        <v>Air Force Reserve and Active Duty Mobility / Deployment Gear Stor.</v>
      </c>
      <c r="D88" s="535"/>
      <c r="E88" s="1297"/>
      <c r="F88" s="535"/>
      <c r="G88" s="1298">
        <f>IF('Interactive Worksheet'!L256="yes",1,0)</f>
        <v>0</v>
      </c>
      <c r="H88" s="128"/>
      <c r="I88" s="1297">
        <f>'Interactive Worksheet'!Q256</f>
        <v>0</v>
      </c>
      <c r="J88" s="128"/>
      <c r="K88" s="1299">
        <f t="shared" si="10"/>
        <v>0</v>
      </c>
      <c r="L88" s="1300">
        <f>'Interactive Worksheet'!Q256</f>
        <v>0</v>
      </c>
      <c r="M88" s="535"/>
      <c r="N88" s="1301"/>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2238"/>
      <c r="C89" s="1296" t="str">
        <f>'Space Program Data'!J74</f>
        <v>Air Force Reserve Firefighter PPE Gear</v>
      </c>
      <c r="D89" s="535"/>
      <c r="E89" s="1458">
        <f>IF('Interactive Worksheet'!M254="12 reservists",12,(IF('Interactive Worksheet'!M254="24 reservists",24,(IF('Interactive Worksheet'!M254="36 reservists",36,0)))))</f>
        <v>0</v>
      </c>
      <c r="F89" s="535"/>
      <c r="G89" s="1459">
        <f>IF(I89&gt;0,1,0)</f>
        <v>0</v>
      </c>
      <c r="H89" s="128"/>
      <c r="I89" s="1458">
        <f>'Interactive Worksheet'!Q254</f>
        <v>0</v>
      </c>
      <c r="J89" s="128"/>
      <c r="K89" s="1457">
        <f t="shared" si="10"/>
        <v>0</v>
      </c>
      <c r="L89" s="1300">
        <f>'Interactive Worksheet'!Q254</f>
        <v>0</v>
      </c>
      <c r="M89" s="535"/>
      <c r="N89" s="1456" t="s">
        <v>951</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480" customFormat="1" ht="15.75" thickTop="1" x14ac:dyDescent="0.2">
      <c r="B90" s="2209" t="s">
        <v>400</v>
      </c>
      <c r="C90" s="2210"/>
      <c r="D90" s="1481"/>
      <c r="E90" s="1482"/>
      <c r="F90" s="1483"/>
      <c r="G90" s="1484"/>
      <c r="H90" s="1485"/>
      <c r="I90" s="1482"/>
      <c r="J90" s="1485"/>
      <c r="K90" s="1486">
        <f>L90*0.0929</f>
        <v>111.47999999999999</v>
      </c>
      <c r="L90" s="1487">
        <f>SUM(L56:L89)</f>
        <v>1200</v>
      </c>
      <c r="M90" s="1483"/>
      <c r="N90" s="1488"/>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2207" t="s">
        <v>775</v>
      </c>
      <c r="C92" s="2208"/>
      <c r="D92" s="1256"/>
      <c r="E92" s="293"/>
      <c r="F92" s="1256"/>
      <c r="G92" s="293"/>
      <c r="H92" s="1261"/>
      <c r="I92" s="293"/>
      <c r="J92" s="1261"/>
      <c r="K92" s="765"/>
      <c r="L92" s="293"/>
      <c r="M92" s="1256"/>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2234" t="s">
        <v>378</v>
      </c>
      <c r="C93" s="1521" t="str">
        <f>'Space Program Data'!J52</f>
        <v>ECC Supervisor</v>
      </c>
      <c r="D93" s="535"/>
      <c r="E93" s="1281">
        <f>IF('Interactive Worksheet'!J237="yes",1,0)</f>
        <v>0</v>
      </c>
      <c r="F93" s="535"/>
      <c r="G93" s="1282">
        <f>IF('Interactive Worksheet'!J237="yes",1,0)</f>
        <v>0</v>
      </c>
      <c r="H93" s="128"/>
      <c r="I93" s="1281">
        <f>'Interactive Worksheet'!Q237</f>
        <v>0</v>
      </c>
      <c r="J93" s="128"/>
      <c r="K93" s="1283">
        <f t="shared" ref="K93:K97" si="11">L93*0.0929</f>
        <v>0</v>
      </c>
      <c r="L93" s="1284">
        <f>'Interactive Worksheet'!Q237</f>
        <v>0</v>
      </c>
      <c r="M93" s="535"/>
      <c r="N93" s="1285"/>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2234"/>
      <c r="C94" s="1549" t="str">
        <f>'Space Program Data'!J53</f>
        <v>ECC Dispatcher</v>
      </c>
      <c r="D94" s="535"/>
      <c r="E94" s="1287">
        <f>'Interactive Worksheet'!J239</f>
        <v>0</v>
      </c>
      <c r="F94" s="535"/>
      <c r="G94" s="1288">
        <f>IF(E94&gt;0,1,0)</f>
        <v>0</v>
      </c>
      <c r="H94" s="128"/>
      <c r="I94" s="1287">
        <f>'Interactive Worksheet'!Q239</f>
        <v>0</v>
      </c>
      <c r="J94" s="128"/>
      <c r="K94" s="1283">
        <f t="shared" si="11"/>
        <v>0</v>
      </c>
      <c r="L94" s="1284">
        <f>'Interactive Worksheet'!Q239</f>
        <v>0</v>
      </c>
      <c r="M94" s="535"/>
      <c r="N94" s="1289"/>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2234"/>
      <c r="C95" s="1286" t="str">
        <f>'Space Program Data'!J54</f>
        <v>ECC Restroom</v>
      </c>
      <c r="D95" s="535"/>
      <c r="E95" s="1287"/>
      <c r="F95" s="535"/>
      <c r="G95" s="1288">
        <f>IF(I95&gt;0,1,0)</f>
        <v>0</v>
      </c>
      <c r="H95" s="128"/>
      <c r="I95" s="1287">
        <f>'Interactive Worksheet'!Q241</f>
        <v>0</v>
      </c>
      <c r="J95" s="128"/>
      <c r="K95" s="1283">
        <f t="shared" si="11"/>
        <v>0</v>
      </c>
      <c r="L95" s="1284">
        <f>'Interactive Worksheet'!Q241</f>
        <v>0</v>
      </c>
      <c r="M95" s="535"/>
      <c r="N95" s="1289"/>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2234"/>
      <c r="C96" s="1286" t="str">
        <f>'Space Program Data'!J55</f>
        <v>ECC Kitchenette</v>
      </c>
      <c r="D96" s="535"/>
      <c r="E96" s="1287"/>
      <c r="F96" s="535"/>
      <c r="G96" s="1288">
        <f t="shared" ref="G96:G97" si="12">IF(I96&gt;0,1,0)</f>
        <v>0</v>
      </c>
      <c r="H96" s="128"/>
      <c r="I96" s="1287">
        <f>'Interactive Worksheet'!Q243</f>
        <v>0</v>
      </c>
      <c r="J96" s="128"/>
      <c r="K96" s="1283">
        <f t="shared" si="11"/>
        <v>0</v>
      </c>
      <c r="L96" s="1284">
        <f>'Interactive Worksheet'!Q243</f>
        <v>0</v>
      </c>
      <c r="M96" s="535"/>
      <c r="N96" s="1289"/>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2234"/>
      <c r="C97" s="1280" t="str">
        <f>'Space Program Data'!J56</f>
        <v>ECC IT Room</v>
      </c>
      <c r="D97" s="535"/>
      <c r="E97" s="1281"/>
      <c r="F97" s="535"/>
      <c r="G97" s="1282">
        <f t="shared" si="12"/>
        <v>0</v>
      </c>
      <c r="H97" s="128"/>
      <c r="I97" s="1281">
        <f>'Interactive Worksheet'!Q245</f>
        <v>0</v>
      </c>
      <c r="J97" s="128"/>
      <c r="K97" s="1455">
        <f t="shared" si="11"/>
        <v>0</v>
      </c>
      <c r="L97" s="1284">
        <f>'Interactive Worksheet'!Q245</f>
        <v>0</v>
      </c>
      <c r="M97" s="535"/>
      <c r="N97" s="1285"/>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480" customFormat="1" ht="15.75" thickTop="1" x14ac:dyDescent="0.2">
      <c r="B98" s="2209" t="s">
        <v>944</v>
      </c>
      <c r="C98" s="2210"/>
      <c r="D98" s="1481"/>
      <c r="E98" s="1482"/>
      <c r="F98" s="1483"/>
      <c r="G98" s="1484"/>
      <c r="H98" s="1485"/>
      <c r="I98" s="1482"/>
      <c r="J98" s="1485"/>
      <c r="K98" s="1486">
        <f>L98*0.0929</f>
        <v>0</v>
      </c>
      <c r="L98" s="1487">
        <f>SUM(L93:L97)</f>
        <v>0</v>
      </c>
      <c r="M98" s="1483"/>
      <c r="N98" s="1488"/>
      <c r="O98" s="1483"/>
      <c r="P98" s="1483"/>
      <c r="Q98" s="1483"/>
      <c r="R98" s="1483"/>
      <c r="S98" s="1483"/>
      <c r="T98" s="1483"/>
      <c r="U98" s="1483"/>
      <c r="V98" s="1483"/>
      <c r="W98" s="1483"/>
      <c r="X98" s="1483"/>
      <c r="Y98" s="1483"/>
      <c r="Z98" s="1483"/>
      <c r="AA98" s="1483"/>
      <c r="AB98" s="1483"/>
      <c r="AC98" s="1483"/>
      <c r="AD98" s="1483"/>
      <c r="AE98" s="1483"/>
      <c r="AF98" s="1483"/>
      <c r="AG98" s="1483"/>
      <c r="AH98" s="1483"/>
      <c r="AI98" s="1483"/>
      <c r="AJ98" s="1483"/>
      <c r="AK98" s="1483"/>
      <c r="AL98" s="1483"/>
      <c r="AM98" s="1483"/>
      <c r="AN98" s="1483"/>
      <c r="AO98" s="1483"/>
      <c r="AP98" s="1483"/>
      <c r="AQ98" s="1483"/>
      <c r="AR98" s="1483"/>
      <c r="AS98" s="1483"/>
      <c r="AT98" s="1483"/>
      <c r="AU98" s="1483"/>
      <c r="AV98" s="1483"/>
      <c r="AW98" s="1483"/>
      <c r="AX98" s="1483"/>
      <c r="AY98" s="1483"/>
      <c r="AZ98" s="1483"/>
      <c r="BA98" s="1483"/>
      <c r="BB98" s="1483"/>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2211" t="s">
        <v>968</v>
      </c>
      <c r="C100" s="2212"/>
      <c r="D100" s="1343"/>
      <c r="E100" s="122"/>
      <c r="F100" s="436"/>
      <c r="G100" s="122"/>
      <c r="H100" s="436"/>
      <c r="I100" s="122"/>
      <c r="J100" s="1264"/>
      <c r="K100" s="1383">
        <f>L100*0.0929</f>
        <v>692.01209999999992</v>
      </c>
      <c r="L100" s="1124">
        <f>SUM(L98,L90,L53,L31)</f>
        <v>7449</v>
      </c>
      <c r="M100" s="1269"/>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2220" t="s">
        <v>948</v>
      </c>
      <c r="C102" s="2221"/>
      <c r="D102" s="1256"/>
      <c r="E102" s="293"/>
      <c r="F102" s="1256"/>
      <c r="G102" s="293"/>
      <c r="H102" s="1261"/>
      <c r="I102" s="293"/>
      <c r="J102" s="1261"/>
      <c r="K102" s="765"/>
      <c r="L102" s="293"/>
      <c r="M102" s="1256"/>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outlineLevel="1" x14ac:dyDescent="0.2">
      <c r="A103" s="248"/>
      <c r="B103" s="1527" t="s">
        <v>960</v>
      </c>
      <c r="C103" s="1522" t="s">
        <v>972</v>
      </c>
      <c r="D103" s="535"/>
      <c r="E103" s="1523"/>
      <c r="F103" s="535"/>
      <c r="G103" s="1537" t="s">
        <v>973</v>
      </c>
      <c r="H103" s="128"/>
      <c r="I103" s="1523">
        <f>L100*0.005</f>
        <v>37.244999999999997</v>
      </c>
      <c r="J103" s="128"/>
      <c r="K103" s="1524">
        <f t="shared" ref="K103:K110" si="13">L103*0.0929</f>
        <v>3.4600604999999995</v>
      </c>
      <c r="L103" s="1525">
        <f>I103</f>
        <v>37.244999999999997</v>
      </c>
      <c r="M103" s="535"/>
      <c r="N103" s="1526" t="s">
        <v>986</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outlineLevel="1" x14ac:dyDescent="0.2">
      <c r="A104" s="248"/>
      <c r="B104" s="2215" t="s">
        <v>962</v>
      </c>
      <c r="C104" s="1538" t="s">
        <v>963</v>
      </c>
      <c r="D104" s="535"/>
      <c r="E104" s="1539"/>
      <c r="F104" s="535"/>
      <c r="G104" s="1550" t="s">
        <v>973</v>
      </c>
      <c r="H104" s="128"/>
      <c r="I104" s="1539">
        <f>ROUNDUP(L100*0.02,0)</f>
        <v>149</v>
      </c>
      <c r="J104" s="128"/>
      <c r="K104" s="1540">
        <f t="shared" si="13"/>
        <v>13.8421</v>
      </c>
      <c r="L104" s="1478">
        <f>I104</f>
        <v>149</v>
      </c>
      <c r="M104" s="535"/>
      <c r="N104" s="1541" t="s">
        <v>980</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outlineLevel="1" x14ac:dyDescent="0.2">
      <c r="A105" s="248"/>
      <c r="B105" s="2244"/>
      <c r="C105" s="1477" t="s">
        <v>970</v>
      </c>
      <c r="D105" s="535"/>
      <c r="E105" s="1323"/>
      <c r="F105" s="535"/>
      <c r="G105" s="1551">
        <v>1</v>
      </c>
      <c r="H105" s="128"/>
      <c r="I105" s="1323">
        <f>((ROUNDUP(SQRT((L90*1.5)/500),0)*2)+3)*24</f>
        <v>168</v>
      </c>
      <c r="J105" s="128"/>
      <c r="K105" s="1324">
        <f t="shared" si="13"/>
        <v>15.607199999999999</v>
      </c>
      <c r="L105" s="1548">
        <f>I105</f>
        <v>168</v>
      </c>
      <c r="M105" s="535"/>
      <c r="N105" s="1325" t="s">
        <v>974</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outlineLevel="1" x14ac:dyDescent="0.2">
      <c r="A106" s="248"/>
      <c r="B106" s="2216"/>
      <c r="C106" s="1542" t="s">
        <v>971</v>
      </c>
      <c r="D106" s="535"/>
      <c r="E106" s="1543"/>
      <c r="F106" s="535"/>
      <c r="G106" s="1544">
        <v>1</v>
      </c>
      <c r="H106" s="128"/>
      <c r="I106" s="1543">
        <f>((ROUNDUP(SQRT(((L100-L90-L6)*1.5)/500),0)*2)+6)*24</f>
        <v>336</v>
      </c>
      <c r="J106" s="128"/>
      <c r="K106" s="1545">
        <f t="shared" si="13"/>
        <v>31.214399999999998</v>
      </c>
      <c r="L106" s="1546">
        <f>I106</f>
        <v>336</v>
      </c>
      <c r="M106" s="535"/>
      <c r="N106" s="1547" t="s">
        <v>974</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2215" t="s">
        <v>958</v>
      </c>
      <c r="C107" s="1528" t="str">
        <f>'Space Program Data'!J50</f>
        <v>Base IT / Comms Room(s)</v>
      </c>
      <c r="D107" s="535"/>
      <c r="E107" s="1408"/>
      <c r="F107" s="535"/>
      <c r="G107" s="1409">
        <f>'Interactive Worksheet'!M219</f>
        <v>2</v>
      </c>
      <c r="H107" s="128"/>
      <c r="I107" s="1410">
        <f>'Space Program Data'!H50</f>
        <v>60</v>
      </c>
      <c r="J107" s="128"/>
      <c r="K107" s="1411">
        <f t="shared" si="13"/>
        <v>5.5739999999999998</v>
      </c>
      <c r="L107" s="1412">
        <f>I107</f>
        <v>60</v>
      </c>
      <c r="M107" s="535"/>
      <c r="N107" s="1413"/>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2216"/>
      <c r="C108" s="1529" t="str">
        <f>'Space Program Data'!J51</f>
        <v xml:space="preserve">IT / Comms </v>
      </c>
      <c r="D108" s="535"/>
      <c r="E108" s="1530"/>
      <c r="F108" s="535"/>
      <c r="G108" s="1531">
        <f>'Interactive Worksheet'!M221</f>
        <v>1</v>
      </c>
      <c r="H108" s="128"/>
      <c r="I108" s="1530">
        <f>'Space Program Data'!H51</f>
        <v>60</v>
      </c>
      <c r="J108" s="128"/>
      <c r="K108" s="1532">
        <f t="shared" si="13"/>
        <v>11.148</v>
      </c>
      <c r="L108" s="1533">
        <f>'Interactive Worksheet'!Q219</f>
        <v>120</v>
      </c>
      <c r="M108" s="535"/>
      <c r="N108" s="1534"/>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479" t="s">
        <v>654</v>
      </c>
      <c r="C109" s="1322" t="str">
        <f>'Space Program Data'!J70</f>
        <v>Vending / Recycling</v>
      </c>
      <c r="D109" s="535"/>
      <c r="E109" s="1408"/>
      <c r="F109" s="535"/>
      <c r="G109" s="1409">
        <v>1</v>
      </c>
      <c r="H109" s="128"/>
      <c r="I109" s="1408">
        <f>'Interactive Worksheet'!Q155</f>
        <v>40</v>
      </c>
      <c r="J109" s="128"/>
      <c r="K109" s="1411">
        <f t="shared" si="13"/>
        <v>3.7159999999999997</v>
      </c>
      <c r="L109" s="1412">
        <f>G109*I109</f>
        <v>40</v>
      </c>
      <c r="M109" s="535"/>
      <c r="N109" s="1413" t="s">
        <v>952</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480" customFormat="1" ht="15.75" thickTop="1" x14ac:dyDescent="0.2">
      <c r="B110" s="2209" t="s">
        <v>959</v>
      </c>
      <c r="C110" s="2210"/>
      <c r="D110" s="1481"/>
      <c r="E110" s="1482"/>
      <c r="F110" s="1483"/>
      <c r="G110" s="1484"/>
      <c r="H110" s="1485"/>
      <c r="I110" s="1482"/>
      <c r="J110" s="1485"/>
      <c r="K110" s="1486">
        <f t="shared" si="13"/>
        <v>84.561760499999991</v>
      </c>
      <c r="L110" s="1487">
        <f>SUM(L103:L109)</f>
        <v>910.245</v>
      </c>
      <c r="M110" s="1483"/>
      <c r="N110" s="1488"/>
      <c r="O110" s="1483"/>
      <c r="P110" s="1483"/>
      <c r="Q110" s="1483"/>
      <c r="R110" s="1483"/>
      <c r="S110" s="1483"/>
      <c r="T110" s="1483"/>
      <c r="U110" s="1483"/>
      <c r="V110" s="1483"/>
      <c r="W110" s="1483"/>
      <c r="X110" s="1483"/>
      <c r="Y110" s="1483"/>
      <c r="Z110" s="1483"/>
      <c r="AA110" s="1483"/>
      <c r="AB110" s="1483"/>
      <c r="AC110" s="1483"/>
      <c r="AD110" s="1483"/>
      <c r="AE110" s="1483"/>
      <c r="AF110" s="1483"/>
      <c r="AG110" s="1483"/>
      <c r="AH110" s="1483"/>
      <c r="AI110" s="1483"/>
      <c r="AJ110" s="1483"/>
      <c r="AK110" s="1483"/>
      <c r="AL110" s="1483"/>
      <c r="AM110" s="1483"/>
      <c r="AN110" s="1483"/>
      <c r="AO110" s="1483"/>
      <c r="AP110" s="1483"/>
      <c r="AQ110" s="1483"/>
      <c r="AR110" s="1483"/>
      <c r="AS110" s="1483"/>
      <c r="AT110" s="1483"/>
      <c r="AU110" s="1483"/>
      <c r="AV110" s="1483"/>
      <c r="AW110" s="1483"/>
      <c r="AX110" s="1483"/>
      <c r="AY110" s="1483"/>
      <c r="AZ110" s="1483"/>
      <c r="BA110" s="1483"/>
      <c r="BB110" s="1483"/>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2213" t="s">
        <v>308</v>
      </c>
      <c r="C112" s="2214"/>
      <c r="D112" s="1343"/>
      <c r="E112" s="122"/>
      <c r="F112" s="436"/>
      <c r="G112" s="122"/>
      <c r="H112" s="436"/>
      <c r="I112" s="122"/>
      <c r="J112" s="125"/>
      <c r="K112" s="1535">
        <f>L112*0.0929</f>
        <v>776.57386050000002</v>
      </c>
      <c r="L112" s="1125">
        <f>SUM(L100,L110)</f>
        <v>8359.2450000000008</v>
      </c>
      <c r="M112" s="1270"/>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2207" t="s">
        <v>336</v>
      </c>
      <c r="C114" s="2208"/>
      <c r="D114" s="1256"/>
      <c r="E114" s="1426"/>
      <c r="F114" s="1256"/>
      <c r="G114" s="1426"/>
      <c r="H114" s="1261"/>
      <c r="I114" s="1426"/>
      <c r="J114" s="1261"/>
      <c r="K114" s="1454"/>
      <c r="L114" s="1426"/>
      <c r="M114" s="1256"/>
      <c r="N114" s="1426"/>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2217" t="s">
        <v>945</v>
      </c>
      <c r="C115" s="1497" t="str">
        <f>'Space Program Data'!J77</f>
        <v>Staff Parking</v>
      </c>
      <c r="D115" s="382"/>
      <c r="E115" s="1498">
        <f>'Space Program Data'!L84</f>
        <v>12</v>
      </c>
      <c r="F115" s="535"/>
      <c r="G115" s="1498">
        <f>E115</f>
        <v>12</v>
      </c>
      <c r="H115" s="128"/>
      <c r="I115" s="1498">
        <f>'Space Program Data'!H77</f>
        <v>315</v>
      </c>
      <c r="J115" s="128"/>
      <c r="K115" s="1499">
        <f t="shared" ref="K115:K120" si="14">L115*0.0929</f>
        <v>351.16199999999998</v>
      </c>
      <c r="L115" s="1500">
        <f>'Interactive Worksheet'!Q279</f>
        <v>3780</v>
      </c>
      <c r="M115" s="535"/>
      <c r="N115" s="1501" t="s">
        <v>956</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2218"/>
      <c r="C116" s="1502" t="str">
        <f>'Space Program Data'!J78</f>
        <v>Visitor Parking</v>
      </c>
      <c r="D116" s="382"/>
      <c r="E116" s="1503"/>
      <c r="F116" s="535"/>
      <c r="G116" s="1504">
        <f>'Interactive Worksheet'!K281</f>
        <v>2</v>
      </c>
      <c r="H116" s="128"/>
      <c r="I116" s="1503">
        <f>'Space Program Data'!H78</f>
        <v>315</v>
      </c>
      <c r="J116" s="128"/>
      <c r="K116" s="1505">
        <f t="shared" si="14"/>
        <v>58.527000000000001</v>
      </c>
      <c r="L116" s="1506">
        <f>'Interactive Worksheet'!Q281</f>
        <v>630</v>
      </c>
      <c r="M116" s="535"/>
      <c r="N116" s="1507"/>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2219"/>
      <c r="C117" s="1508" t="str">
        <f>'Space Program Data'!J79</f>
        <v>Bicycle Rack Area</v>
      </c>
      <c r="D117" s="382"/>
      <c r="E117" s="1509"/>
      <c r="F117" s="535"/>
      <c r="G117" s="1510">
        <f>IF('Interactive Worksheet'!K283&gt;0,1,0)</f>
        <v>1</v>
      </c>
      <c r="H117" s="128"/>
      <c r="I117" s="1509">
        <f>'Interactive Worksheet'!Q283</f>
        <v>160</v>
      </c>
      <c r="J117" s="128"/>
      <c r="K117" s="1511">
        <f t="shared" si="14"/>
        <v>14.863999999999999</v>
      </c>
      <c r="L117" s="1512">
        <f>'Interactive Worksheet'!Q283</f>
        <v>160</v>
      </c>
      <c r="M117" s="535"/>
      <c r="N117" s="1513"/>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58" t="s">
        <v>947</v>
      </c>
      <c r="C118" s="1514" t="str">
        <f>'Space Program Data'!J80</f>
        <v>Site Approach to Apparatus Bays</v>
      </c>
      <c r="D118" s="382"/>
      <c r="E118" s="1515"/>
      <c r="F118" s="535"/>
      <c r="G118" s="1516">
        <v>1</v>
      </c>
      <c r="H118" s="128"/>
      <c r="I118" s="1515">
        <f>'Interactive Worksheet'!Q285</f>
        <v>4000</v>
      </c>
      <c r="J118" s="128"/>
      <c r="K118" s="1517">
        <f t="shared" si="14"/>
        <v>371.59999999999997</v>
      </c>
      <c r="L118" s="1518">
        <f>'Interactive Worksheet'!Q285</f>
        <v>4000</v>
      </c>
      <c r="M118" s="535"/>
      <c r="N118" s="1519"/>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2217" t="s">
        <v>946</v>
      </c>
      <c r="C119" s="1497" t="str">
        <f>'Space Program Data'!J81</f>
        <v>Agent Storage (ARFF)</v>
      </c>
      <c r="D119" s="382"/>
      <c r="E119" s="1498"/>
      <c r="F119" s="535"/>
      <c r="G119" s="1520">
        <v>1</v>
      </c>
      <c r="H119" s="128"/>
      <c r="I119" s="1498">
        <f>'Interactive Worksheet'!Q287</f>
        <v>0</v>
      </c>
      <c r="J119" s="128"/>
      <c r="K119" s="1499">
        <f t="shared" si="14"/>
        <v>0</v>
      </c>
      <c r="L119" s="1500">
        <f>'Interactive Worksheet'!Q287</f>
        <v>0</v>
      </c>
      <c r="M119" s="535"/>
      <c r="N119" s="1501"/>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2219"/>
      <c r="C120" s="1508" t="str">
        <f>'Space Program Data'!J82</f>
        <v>Agent Storage (Structural)</v>
      </c>
      <c r="D120" s="382"/>
      <c r="E120" s="1509"/>
      <c r="F120" s="535"/>
      <c r="G120" s="1510">
        <v>1</v>
      </c>
      <c r="H120" s="128"/>
      <c r="I120" s="1509">
        <f>'Interactive Worksheet'!Q289</f>
        <v>48</v>
      </c>
      <c r="J120" s="128"/>
      <c r="K120" s="1511">
        <f t="shared" si="14"/>
        <v>4.4592000000000001</v>
      </c>
      <c r="L120" s="1512">
        <f>'Interactive Worksheet'!Q289</f>
        <v>48</v>
      </c>
      <c r="M120" s="535"/>
      <c r="N120" s="1513"/>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490" customFormat="1" ht="15.75" outlineLevel="1" thickTop="1" x14ac:dyDescent="0.2">
      <c r="A121" s="1489"/>
      <c r="B121" s="2209" t="s">
        <v>335</v>
      </c>
      <c r="C121" s="2210"/>
      <c r="D121" s="1481"/>
      <c r="E121" s="1482"/>
      <c r="F121" s="1483"/>
      <c r="G121" s="1484"/>
      <c r="H121" s="1485"/>
      <c r="I121" s="1482"/>
      <c r="J121" s="1485"/>
      <c r="K121" s="1486">
        <f>L121*0.0929</f>
        <v>800.61219999999992</v>
      </c>
      <c r="L121" s="1487">
        <f>SUM(L115:L120)</f>
        <v>8618</v>
      </c>
      <c r="M121" s="1481"/>
      <c r="N121" s="1488"/>
      <c r="O121" s="1489"/>
      <c r="P121" s="1489"/>
      <c r="Q121" s="1489"/>
      <c r="R121" s="1489"/>
      <c r="S121" s="1489"/>
      <c r="T121" s="1489"/>
      <c r="U121" s="1489"/>
      <c r="V121" s="1489"/>
      <c r="W121" s="1489"/>
      <c r="X121" s="1489"/>
      <c r="Y121" s="1489"/>
      <c r="Z121" s="1489"/>
      <c r="AA121" s="1489"/>
      <c r="AB121" s="1489"/>
      <c r="AC121" s="1489"/>
      <c r="AD121" s="1489"/>
      <c r="AE121" s="1489"/>
      <c r="AF121" s="1489"/>
      <c r="AG121" s="1489"/>
      <c r="AH121" s="1489"/>
      <c r="AI121" s="1489"/>
      <c r="AJ121" s="1489"/>
      <c r="AK121" s="1489"/>
      <c r="AL121" s="1489"/>
      <c r="AM121" s="1489"/>
      <c r="AN121" s="1489"/>
      <c r="AO121" s="1489"/>
      <c r="AP121" s="1489"/>
      <c r="AQ121" s="1489"/>
      <c r="AR121" s="1489"/>
      <c r="AS121" s="1489"/>
      <c r="AT121" s="1489"/>
      <c r="AU121" s="1489"/>
      <c r="AV121" s="1489"/>
      <c r="AW121" s="1489"/>
      <c r="AX121" s="1489"/>
      <c r="AY121" s="1489"/>
      <c r="AZ121" s="1489"/>
      <c r="BA121" s="1489"/>
      <c r="BB121" s="1489"/>
      <c r="BC121" s="1489"/>
      <c r="BD121" s="1489"/>
      <c r="BE121" s="1489"/>
      <c r="BF121" s="1489"/>
      <c r="BG121" s="1489"/>
      <c r="BH121" s="1489"/>
      <c r="BI121" s="1489"/>
      <c r="BJ121" s="1489"/>
      <c r="BK121" s="1489"/>
      <c r="BL121" s="1489"/>
      <c r="BM121" s="1489"/>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2213" t="s">
        <v>337</v>
      </c>
      <c r="C123" s="2214"/>
      <c r="D123" s="1343"/>
      <c r="E123" s="436"/>
      <c r="F123" s="436"/>
      <c r="G123" s="436"/>
      <c r="H123" s="436"/>
      <c r="I123" s="436"/>
      <c r="J123" s="1265"/>
      <c r="K123" s="773">
        <f>L123*0.0929</f>
        <v>1577.1860605000002</v>
      </c>
      <c r="L123" s="754">
        <f>SUM(L112,L121)</f>
        <v>16977.245000000003</v>
      </c>
      <c r="M123" s="1269"/>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71"/>
      <c r="C124" s="120"/>
      <c r="D124" s="1451"/>
      <c r="E124" s="78"/>
      <c r="F124" s="1270"/>
      <c r="G124" s="78"/>
      <c r="H124" s="1452"/>
      <c r="I124" s="121"/>
      <c r="J124" s="1270"/>
      <c r="K124" s="766"/>
      <c r="L124" s="78"/>
      <c r="M124" s="1270"/>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71"/>
      <c r="C125" s="78"/>
      <c r="D125" s="1270"/>
      <c r="E125" s="78"/>
      <c r="F125" s="1452"/>
      <c r="G125" s="121"/>
      <c r="H125" s="1270"/>
      <c r="I125" s="78"/>
      <c r="J125" s="1452"/>
      <c r="K125" s="767"/>
      <c r="L125" s="121"/>
      <c r="M125" s="1452"/>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71"/>
      <c r="C126" s="121"/>
      <c r="D126" s="1452"/>
      <c r="E126" s="78"/>
      <c r="F126" s="1270"/>
      <c r="G126" s="78"/>
      <c r="H126" s="1270"/>
      <c r="I126" s="78"/>
      <c r="J126" s="1270"/>
      <c r="K126" s="766"/>
      <c r="L126" s="78"/>
      <c r="M126" s="1270"/>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71"/>
      <c r="C127" s="78"/>
      <c r="D127" s="1270"/>
      <c r="E127" s="78"/>
      <c r="F127" s="1270"/>
      <c r="G127" s="78"/>
      <c r="H127" s="1270"/>
      <c r="I127" s="78"/>
      <c r="J127" s="1270"/>
      <c r="K127" s="766"/>
      <c r="L127" s="78"/>
      <c r="M127" s="1270"/>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71"/>
      <c r="C128" s="78"/>
      <c r="D128" s="1270"/>
      <c r="E128" s="78"/>
      <c r="F128" s="1270"/>
      <c r="G128" s="78"/>
      <c r="H128" s="1270"/>
      <c r="I128" s="78"/>
      <c r="J128" s="1270"/>
      <c r="K128" s="766"/>
      <c r="L128" s="78"/>
      <c r="M128" s="1270"/>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71"/>
      <c r="C129" s="78"/>
      <c r="D129" s="1270"/>
      <c r="E129" s="78"/>
      <c r="F129" s="1270"/>
      <c r="G129" s="78"/>
      <c r="H129" s="1270"/>
      <c r="I129" s="78"/>
      <c r="J129" s="1270"/>
      <c r="K129" s="766"/>
      <c r="L129" s="78"/>
      <c r="M129" s="1270"/>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71"/>
      <c r="C130" s="78"/>
      <c r="D130" s="1270"/>
      <c r="E130" s="78"/>
      <c r="F130" s="1270"/>
      <c r="G130" s="78"/>
      <c r="H130" s="1270"/>
      <c r="I130" s="78"/>
      <c r="J130" s="1270"/>
      <c r="K130" s="766"/>
      <c r="L130" s="78"/>
      <c r="M130" s="1270"/>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71"/>
      <c r="C131" s="78"/>
      <c r="D131" s="1270"/>
      <c r="E131" s="78"/>
      <c r="F131" s="1270"/>
      <c r="G131" s="78"/>
      <c r="H131" s="1270"/>
      <c r="I131" s="78"/>
      <c r="J131" s="1270"/>
      <c r="K131" s="766"/>
      <c r="L131" s="78"/>
      <c r="M131" s="1270"/>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71"/>
      <c r="C132" s="78"/>
      <c r="D132" s="1270"/>
      <c r="E132" s="78"/>
      <c r="F132" s="1270"/>
      <c r="G132" s="78"/>
      <c r="H132" s="1270"/>
      <c r="I132" s="78"/>
      <c r="J132" s="1270"/>
      <c r="K132" s="766"/>
      <c r="L132" s="78"/>
      <c r="M132" s="1270"/>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71"/>
      <c r="C133" s="78"/>
      <c r="D133" s="1270"/>
      <c r="E133" s="78"/>
      <c r="F133" s="1270"/>
      <c r="G133" s="78"/>
      <c r="H133" s="1270"/>
      <c r="I133" s="78"/>
      <c r="J133" s="1270"/>
      <c r="K133" s="766"/>
      <c r="L133" s="78"/>
      <c r="M133" s="1270"/>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71"/>
      <c r="C134" s="78"/>
      <c r="D134" s="1270"/>
      <c r="E134" s="78"/>
      <c r="F134" s="1270"/>
      <c r="G134" s="78"/>
      <c r="H134" s="1270"/>
      <c r="I134" s="78"/>
      <c r="J134" s="1270"/>
      <c r="K134" s="766"/>
      <c r="L134" s="78"/>
      <c r="M134" s="1270"/>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71"/>
      <c r="C135" s="78"/>
      <c r="D135" s="1270"/>
      <c r="E135" s="78"/>
      <c r="F135" s="1270"/>
      <c r="G135" s="78"/>
      <c r="H135" s="1270"/>
      <c r="I135" s="78"/>
      <c r="J135" s="1270"/>
      <c r="K135" s="766"/>
      <c r="L135" s="78"/>
      <c r="M135" s="1270"/>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71"/>
      <c r="C136" s="78"/>
      <c r="D136" s="1270"/>
      <c r="E136" s="78"/>
      <c r="F136" s="1270"/>
      <c r="G136" s="78"/>
      <c r="H136" s="1270"/>
      <c r="I136" s="78"/>
      <c r="J136" s="1270"/>
      <c r="K136" s="766"/>
      <c r="L136" s="78"/>
      <c r="M136" s="1270"/>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71"/>
      <c r="C137" s="78"/>
      <c r="D137" s="1270"/>
      <c r="E137" s="78"/>
      <c r="F137" s="1270"/>
      <c r="G137" s="78"/>
      <c r="H137" s="1270"/>
      <c r="I137" s="78"/>
      <c r="J137" s="1270"/>
      <c r="K137" s="766"/>
      <c r="L137" s="78"/>
      <c r="M137" s="1270"/>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71"/>
      <c r="C138" s="78"/>
      <c r="D138" s="1270"/>
      <c r="E138" s="78"/>
      <c r="F138" s="1270"/>
      <c r="G138" s="78"/>
      <c r="H138" s="1270"/>
      <c r="I138" s="78"/>
      <c r="J138" s="1270"/>
      <c r="K138" s="766"/>
      <c r="L138" s="78"/>
      <c r="M138" s="1270"/>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71"/>
      <c r="C139" s="78"/>
      <c r="D139" s="1270"/>
      <c r="E139" s="78"/>
      <c r="F139" s="1270"/>
      <c r="G139" s="78"/>
      <c r="H139" s="1270"/>
      <c r="I139" s="78"/>
      <c r="J139" s="1270"/>
      <c r="K139" s="766"/>
      <c r="L139" s="78"/>
      <c r="M139" s="1270"/>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71"/>
      <c r="C140" s="78"/>
      <c r="D140" s="1270"/>
      <c r="E140" s="78"/>
      <c r="F140" s="1270"/>
      <c r="G140" s="78"/>
      <c r="H140" s="1270"/>
      <c r="I140" s="78"/>
      <c r="J140" s="1270"/>
      <c r="K140" s="766"/>
      <c r="L140" s="78"/>
      <c r="M140" s="1270"/>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71"/>
      <c r="C141" s="78"/>
      <c r="D141" s="1270"/>
      <c r="E141" s="78"/>
      <c r="F141" s="1270"/>
      <c r="G141" s="78"/>
      <c r="H141" s="1270"/>
      <c r="I141" s="78"/>
      <c r="J141" s="1270"/>
      <c r="K141" s="766"/>
      <c r="L141" s="78"/>
      <c r="M141" s="1270"/>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71"/>
      <c r="C142" s="78"/>
      <c r="D142" s="1270"/>
      <c r="E142" s="78"/>
      <c r="F142" s="1270"/>
      <c r="G142" s="78"/>
      <c r="H142" s="1270"/>
      <c r="I142" s="78"/>
      <c r="J142" s="1270"/>
      <c r="K142" s="766"/>
      <c r="L142" s="78"/>
      <c r="M142" s="1270"/>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71"/>
      <c r="C143" s="78"/>
      <c r="D143" s="1270"/>
      <c r="E143" s="78"/>
      <c r="F143" s="1270"/>
      <c r="G143" s="78"/>
      <c r="H143" s="1270"/>
      <c r="I143" s="78"/>
      <c r="J143" s="1270"/>
      <c r="K143" s="766"/>
      <c r="L143" s="78"/>
      <c r="M143" s="1270"/>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71"/>
      <c r="C144" s="78"/>
      <c r="D144" s="1270"/>
      <c r="E144" s="78"/>
      <c r="F144" s="1270"/>
      <c r="G144" s="78"/>
      <c r="H144" s="1270"/>
      <c r="I144" s="78"/>
      <c r="J144" s="1270"/>
      <c r="K144" s="766"/>
      <c r="L144" s="78"/>
      <c r="M144" s="1270"/>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71"/>
      <c r="C145" s="78"/>
      <c r="D145" s="1270"/>
      <c r="E145" s="78"/>
      <c r="F145" s="1270"/>
      <c r="G145" s="78"/>
      <c r="H145" s="1270"/>
      <c r="I145" s="78"/>
      <c r="J145" s="1270"/>
      <c r="K145" s="766"/>
      <c r="L145" s="78"/>
      <c r="M145" s="1270"/>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71"/>
      <c r="C146" s="78"/>
      <c r="D146" s="1270"/>
      <c r="E146" s="78"/>
      <c r="F146" s="1270"/>
      <c r="G146" s="78"/>
      <c r="H146" s="1270"/>
      <c r="I146" s="78"/>
      <c r="J146" s="1270"/>
      <c r="K146" s="766"/>
      <c r="L146" s="78"/>
      <c r="M146" s="1270"/>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71"/>
      <c r="C147" s="78"/>
      <c r="D147" s="1270"/>
      <c r="E147" s="78"/>
      <c r="F147" s="1270"/>
      <c r="G147" s="78"/>
      <c r="H147" s="1270"/>
      <c r="I147" s="78"/>
      <c r="J147" s="1270"/>
      <c r="K147" s="766"/>
      <c r="L147" s="78"/>
      <c r="M147" s="1270"/>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71"/>
      <c r="C148" s="78"/>
      <c r="D148" s="1270"/>
      <c r="E148" s="78"/>
      <c r="F148" s="1270"/>
      <c r="G148" s="78"/>
      <c r="H148" s="1270"/>
      <c r="I148" s="78"/>
      <c r="J148" s="1270"/>
      <c r="K148" s="766"/>
      <c r="L148" s="78"/>
      <c r="M148" s="1270"/>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71"/>
      <c r="C149" s="78"/>
      <c r="D149" s="1270"/>
      <c r="E149" s="78"/>
      <c r="F149" s="1270"/>
      <c r="G149" s="78"/>
      <c r="H149" s="1270"/>
      <c r="I149" s="78"/>
      <c r="J149" s="1270"/>
      <c r="K149" s="766"/>
      <c r="L149" s="78"/>
      <c r="M149" s="1270"/>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71"/>
      <c r="C150" s="78"/>
      <c r="D150" s="1270"/>
      <c r="E150" s="78"/>
      <c r="F150" s="1270"/>
      <c r="G150" s="78"/>
      <c r="H150" s="1270"/>
      <c r="I150" s="78"/>
      <c r="J150" s="1270"/>
      <c r="K150" s="766"/>
      <c r="L150" s="78"/>
      <c r="M150" s="1270"/>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71"/>
      <c r="C151" s="78"/>
      <c r="D151" s="1270"/>
      <c r="E151" s="78"/>
      <c r="F151" s="1270"/>
      <c r="G151" s="78"/>
      <c r="H151" s="1270"/>
      <c r="I151" s="78"/>
      <c r="J151" s="1270"/>
      <c r="K151" s="766"/>
      <c r="L151" s="78"/>
      <c r="M151" s="1270"/>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71"/>
      <c r="C152" s="78"/>
      <c r="D152" s="1270"/>
      <c r="E152" s="78"/>
      <c r="F152" s="1270"/>
      <c r="G152" s="78"/>
      <c r="H152" s="1270"/>
      <c r="I152" s="78"/>
      <c r="J152" s="1270"/>
      <c r="K152" s="766"/>
      <c r="L152" s="78"/>
      <c r="M152" s="1270"/>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71"/>
      <c r="C153" s="78"/>
      <c r="D153" s="1270"/>
      <c r="E153" s="78"/>
      <c r="F153" s="1270"/>
      <c r="G153" s="78"/>
      <c r="H153" s="1270"/>
      <c r="I153" s="78"/>
      <c r="J153" s="1270"/>
      <c r="K153" s="766"/>
      <c r="L153" s="78"/>
      <c r="M153" s="1270"/>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71"/>
      <c r="C154" s="78"/>
      <c r="D154" s="1270"/>
      <c r="E154" s="78"/>
      <c r="F154" s="1270"/>
      <c r="G154" s="78"/>
      <c r="H154" s="1270"/>
      <c r="I154" s="78"/>
      <c r="J154" s="1270"/>
      <c r="K154" s="766"/>
      <c r="L154" s="78"/>
      <c r="M154" s="1270"/>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71"/>
      <c r="C155" s="78"/>
      <c r="D155" s="1270"/>
      <c r="E155" s="78"/>
      <c r="F155" s="1270"/>
      <c r="G155" s="78"/>
      <c r="H155" s="1270"/>
      <c r="I155" s="78"/>
      <c r="J155" s="1270"/>
      <c r="K155" s="766"/>
      <c r="L155" s="78"/>
      <c r="M155" s="1270"/>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71"/>
      <c r="C156" s="78"/>
      <c r="D156" s="1270"/>
      <c r="E156" s="78"/>
      <c r="F156" s="1270"/>
      <c r="G156" s="78"/>
      <c r="H156" s="1270"/>
      <c r="I156" s="78"/>
      <c r="J156" s="1270"/>
      <c r="K156" s="766"/>
      <c r="L156" s="78"/>
      <c r="M156" s="1270"/>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71"/>
      <c r="C157" s="78"/>
      <c r="D157" s="1270"/>
      <c r="E157" s="78"/>
      <c r="F157" s="1270"/>
      <c r="G157" s="78"/>
      <c r="H157" s="1270"/>
      <c r="I157" s="78"/>
      <c r="J157" s="1270"/>
      <c r="K157" s="766"/>
      <c r="L157" s="78"/>
      <c r="M157" s="1270"/>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71"/>
      <c r="C158" s="78"/>
      <c r="D158" s="1270"/>
      <c r="E158" s="78"/>
      <c r="F158" s="1270"/>
      <c r="G158" s="78"/>
      <c r="H158" s="1270"/>
      <c r="I158" s="78"/>
      <c r="J158" s="1270"/>
      <c r="K158" s="766"/>
      <c r="L158" s="78"/>
      <c r="M158" s="1270"/>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71"/>
      <c r="C159" s="78"/>
      <c r="D159" s="1270"/>
      <c r="E159" s="78"/>
      <c r="F159" s="1270"/>
      <c r="G159" s="78"/>
      <c r="H159" s="1270"/>
      <c r="I159" s="78"/>
      <c r="J159" s="1270"/>
      <c r="K159" s="766"/>
      <c r="L159" s="78"/>
      <c r="M159" s="1270"/>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71"/>
      <c r="C160" s="78"/>
      <c r="D160" s="1270"/>
      <c r="E160" s="78"/>
      <c r="F160" s="1270"/>
      <c r="G160" s="78"/>
      <c r="H160" s="1270"/>
      <c r="I160" s="78"/>
      <c r="J160" s="1270"/>
      <c r="K160" s="766"/>
      <c r="L160" s="78"/>
      <c r="M160" s="1270"/>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71"/>
      <c r="C161" s="78"/>
      <c r="D161" s="1270"/>
      <c r="E161" s="78"/>
      <c r="F161" s="1270"/>
      <c r="G161" s="78"/>
      <c r="H161" s="1270"/>
      <c r="I161" s="78"/>
      <c r="J161" s="1270"/>
      <c r="K161" s="766"/>
      <c r="L161" s="78"/>
      <c r="M161" s="1270"/>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71"/>
      <c r="C162" s="78"/>
      <c r="D162" s="1270"/>
      <c r="E162" s="78"/>
      <c r="F162" s="1270"/>
      <c r="G162" s="78"/>
      <c r="H162" s="1270"/>
      <c r="I162" s="78"/>
      <c r="J162" s="1270"/>
      <c r="K162" s="766"/>
      <c r="L162" s="78"/>
      <c r="M162" s="1270"/>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71"/>
      <c r="C163" s="78"/>
      <c r="D163" s="1270"/>
      <c r="E163" s="78"/>
      <c r="F163" s="1270"/>
      <c r="G163" s="78"/>
      <c r="H163" s="1270"/>
      <c r="I163" s="78"/>
      <c r="J163" s="1270"/>
      <c r="K163" s="766"/>
      <c r="L163" s="78"/>
      <c r="M163" s="1270"/>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71"/>
      <c r="C164" s="78"/>
      <c r="D164" s="1270"/>
      <c r="E164" s="78"/>
      <c r="F164" s="1270"/>
      <c r="G164" s="78"/>
      <c r="H164" s="1270"/>
      <c r="I164" s="78"/>
      <c r="J164" s="1270"/>
      <c r="K164" s="766"/>
      <c r="L164" s="78"/>
      <c r="M164" s="1270"/>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71"/>
      <c r="C165" s="78"/>
      <c r="D165" s="1270"/>
      <c r="E165" s="78"/>
      <c r="F165" s="1270"/>
      <c r="G165" s="78"/>
      <c r="H165" s="1270"/>
      <c r="I165" s="78"/>
      <c r="J165" s="1270"/>
      <c r="K165" s="766"/>
      <c r="L165" s="78"/>
      <c r="M165" s="1270"/>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71"/>
      <c r="C166" s="78"/>
      <c r="D166" s="1270"/>
      <c r="E166" s="78"/>
      <c r="F166" s="1270"/>
      <c r="G166" s="78"/>
      <c r="H166" s="1270"/>
      <c r="I166" s="78"/>
      <c r="J166" s="1270"/>
      <c r="K166" s="766"/>
      <c r="L166" s="78"/>
      <c r="M166" s="1270"/>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71"/>
      <c r="C167" s="78"/>
      <c r="D167" s="1270"/>
      <c r="E167" s="78"/>
      <c r="F167" s="1270"/>
      <c r="G167" s="78"/>
      <c r="H167" s="1270"/>
      <c r="I167" s="78"/>
      <c r="J167" s="1270"/>
      <c r="K167" s="766"/>
      <c r="L167" s="78"/>
      <c r="M167" s="1270"/>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71"/>
      <c r="C168" s="78"/>
      <c r="D168" s="1270"/>
      <c r="E168" s="78"/>
      <c r="F168" s="1270"/>
      <c r="G168" s="78"/>
      <c r="H168" s="1270"/>
      <c r="I168" s="78"/>
      <c r="J168" s="1270"/>
      <c r="K168" s="766"/>
      <c r="L168" s="78"/>
      <c r="M168" s="1270"/>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71"/>
      <c r="C169" s="78"/>
      <c r="D169" s="1270"/>
      <c r="E169" s="78"/>
      <c r="F169" s="1270"/>
      <c r="G169" s="78"/>
      <c r="H169" s="1270"/>
      <c r="I169" s="78"/>
      <c r="J169" s="1270"/>
      <c r="K169" s="766"/>
      <c r="L169" s="78"/>
      <c r="M169" s="1270"/>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71"/>
      <c r="C170" s="78"/>
      <c r="D170" s="1270"/>
      <c r="E170" s="78"/>
      <c r="F170" s="1270"/>
      <c r="G170" s="78"/>
      <c r="H170" s="1270"/>
      <c r="I170" s="78"/>
      <c r="J170" s="1270"/>
      <c r="K170" s="766"/>
      <c r="L170" s="78"/>
      <c r="M170" s="1270"/>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71"/>
      <c r="C171" s="78"/>
      <c r="D171" s="1270"/>
      <c r="E171" s="78"/>
      <c r="F171" s="1270"/>
      <c r="G171" s="78"/>
      <c r="H171" s="1270"/>
      <c r="I171" s="78"/>
      <c r="J171" s="1270"/>
      <c r="K171" s="766"/>
      <c r="L171" s="78"/>
      <c r="M171" s="1270"/>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71"/>
      <c r="C172" s="78"/>
      <c r="D172" s="1270"/>
      <c r="E172" s="78"/>
      <c r="F172" s="1270"/>
      <c r="G172" s="78"/>
      <c r="H172" s="1270"/>
      <c r="I172" s="78"/>
      <c r="J172" s="1270"/>
      <c r="K172" s="766"/>
      <c r="L172" s="78"/>
      <c r="M172" s="1270"/>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71"/>
      <c r="C173" s="78"/>
      <c r="D173" s="1270"/>
      <c r="E173" s="78"/>
      <c r="F173" s="1270"/>
      <c r="G173" s="78"/>
      <c r="H173" s="1270"/>
      <c r="I173" s="78"/>
      <c r="J173" s="1270"/>
      <c r="K173" s="766"/>
      <c r="L173" s="78"/>
      <c r="M173" s="1270"/>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71"/>
      <c r="C174" s="78"/>
      <c r="D174" s="1270"/>
      <c r="E174" s="78"/>
      <c r="F174" s="1270"/>
      <c r="G174" s="78"/>
      <c r="H174" s="1270"/>
      <c r="I174" s="78"/>
      <c r="J174" s="1270"/>
      <c r="K174" s="766"/>
      <c r="L174" s="78"/>
      <c r="M174" s="1270"/>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71"/>
      <c r="C175" s="78"/>
      <c r="D175" s="1270"/>
      <c r="E175" s="78"/>
      <c r="F175" s="1270"/>
      <c r="G175" s="78"/>
      <c r="H175" s="1270"/>
      <c r="I175" s="78"/>
      <c r="J175" s="1270"/>
      <c r="K175" s="766"/>
      <c r="L175" s="78"/>
      <c r="M175" s="1270"/>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71"/>
      <c r="C176" s="78"/>
      <c r="D176" s="1270"/>
      <c r="E176" s="78"/>
      <c r="F176" s="1270"/>
      <c r="G176" s="78"/>
      <c r="H176" s="1270"/>
      <c r="I176" s="78"/>
      <c r="J176" s="1270"/>
      <c r="K176" s="766"/>
      <c r="L176" s="78"/>
      <c r="M176" s="1270"/>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71"/>
      <c r="C177" s="78"/>
      <c r="D177" s="1270"/>
      <c r="E177" s="78"/>
      <c r="F177" s="1270"/>
      <c r="G177" s="78"/>
      <c r="H177" s="1270"/>
      <c r="I177" s="78"/>
      <c r="J177" s="1270"/>
      <c r="K177" s="766"/>
      <c r="L177" s="78"/>
      <c r="M177" s="1270"/>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71"/>
      <c r="C178" s="78"/>
      <c r="D178" s="1270"/>
      <c r="E178" s="78"/>
      <c r="F178" s="1270"/>
      <c r="G178" s="78"/>
      <c r="H178" s="1270"/>
      <c r="I178" s="78"/>
      <c r="J178" s="1270"/>
      <c r="K178" s="766"/>
      <c r="L178" s="78"/>
      <c r="M178" s="1270"/>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71"/>
      <c r="C179" s="78"/>
      <c r="D179" s="1270"/>
      <c r="E179" s="78"/>
      <c r="F179" s="1270"/>
      <c r="G179" s="78"/>
      <c r="H179" s="1270"/>
      <c r="I179" s="78"/>
      <c r="J179" s="1270"/>
      <c r="K179" s="766"/>
      <c r="L179" s="78"/>
      <c r="M179" s="1270"/>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71"/>
      <c r="C180" s="78"/>
      <c r="D180" s="1270"/>
      <c r="E180" s="78"/>
      <c r="F180" s="1270"/>
      <c r="G180" s="78"/>
      <c r="H180" s="1270"/>
      <c r="I180" s="78"/>
      <c r="J180" s="1270"/>
      <c r="K180" s="766"/>
      <c r="L180" s="78"/>
      <c r="M180" s="1270"/>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71"/>
      <c r="C181" s="78"/>
      <c r="D181" s="1270"/>
      <c r="E181" s="78"/>
      <c r="F181" s="1270"/>
      <c r="G181" s="78"/>
      <c r="H181" s="1270"/>
      <c r="I181" s="78"/>
      <c r="J181" s="1270"/>
      <c r="K181" s="766"/>
      <c r="L181" s="78"/>
      <c r="M181" s="1270"/>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71"/>
      <c r="C182" s="78"/>
      <c r="D182" s="1270"/>
      <c r="E182" s="78"/>
      <c r="F182" s="1270"/>
      <c r="G182" s="78"/>
      <c r="H182" s="1270"/>
      <c r="I182" s="78"/>
      <c r="J182" s="1270"/>
      <c r="K182" s="766"/>
      <c r="L182" s="78"/>
      <c r="M182" s="1270"/>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71"/>
      <c r="C183" s="78"/>
      <c r="D183" s="1270"/>
      <c r="E183" s="78"/>
      <c r="F183" s="1270"/>
      <c r="G183" s="78"/>
      <c r="H183" s="1270"/>
      <c r="I183" s="78"/>
      <c r="J183" s="1270"/>
      <c r="K183" s="766"/>
      <c r="L183" s="78"/>
      <c r="M183" s="1270"/>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71"/>
      <c r="C184" s="78"/>
      <c r="D184" s="1270"/>
      <c r="E184" s="78"/>
      <c r="F184" s="1270"/>
      <c r="G184" s="78"/>
      <c r="H184" s="1270"/>
      <c r="I184" s="78"/>
      <c r="J184" s="1270"/>
      <c r="K184" s="766"/>
      <c r="L184" s="78"/>
      <c r="M184" s="1270"/>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71"/>
      <c r="C185" s="78"/>
      <c r="D185" s="1270"/>
      <c r="E185" s="78"/>
      <c r="F185" s="1270"/>
      <c r="G185" s="78"/>
      <c r="H185" s="1270"/>
      <c r="I185" s="78"/>
      <c r="J185" s="1270"/>
      <c r="K185" s="766"/>
      <c r="L185" s="78"/>
      <c r="M185" s="1270"/>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71"/>
      <c r="C186" s="78"/>
      <c r="D186" s="1270"/>
      <c r="E186" s="78"/>
      <c r="F186" s="1270"/>
      <c r="G186" s="78"/>
      <c r="H186" s="1270"/>
      <c r="I186" s="78"/>
      <c r="J186" s="1270"/>
      <c r="K186" s="766"/>
      <c r="L186" s="78"/>
      <c r="M186" s="1270"/>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71"/>
      <c r="C187" s="78"/>
      <c r="D187" s="1270"/>
      <c r="E187" s="78"/>
      <c r="F187" s="1270"/>
      <c r="G187" s="78"/>
      <c r="H187" s="1270"/>
      <c r="I187" s="78"/>
      <c r="J187" s="1270"/>
      <c r="K187" s="766"/>
      <c r="L187" s="78"/>
      <c r="M187" s="1270"/>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71"/>
      <c r="C188" s="78"/>
      <c r="D188" s="1270"/>
      <c r="E188" s="78"/>
      <c r="F188" s="1270"/>
      <c r="G188" s="78"/>
      <c r="H188" s="1270"/>
      <c r="I188" s="78"/>
      <c r="J188" s="1270"/>
      <c r="K188" s="766"/>
      <c r="L188" s="78"/>
      <c r="M188" s="1270"/>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71"/>
      <c r="C189" s="78"/>
      <c r="D189" s="1270"/>
      <c r="E189" s="78"/>
      <c r="F189" s="1270"/>
      <c r="G189" s="78"/>
      <c r="H189" s="1270"/>
      <c r="I189" s="78"/>
      <c r="J189" s="1270"/>
      <c r="K189" s="766"/>
      <c r="L189" s="78"/>
      <c r="M189" s="1270"/>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71"/>
      <c r="C190" s="78"/>
      <c r="D190" s="1270"/>
      <c r="E190" s="78"/>
      <c r="F190" s="1270"/>
      <c r="G190" s="78"/>
      <c r="H190" s="1270"/>
      <c r="I190" s="78"/>
      <c r="J190" s="1270"/>
      <c r="K190" s="766"/>
      <c r="L190" s="78"/>
      <c r="M190" s="1270"/>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71"/>
      <c r="C191" s="78"/>
      <c r="D191" s="1270"/>
      <c r="E191" s="78"/>
      <c r="F191" s="1270"/>
      <c r="G191" s="78"/>
      <c r="H191" s="1270"/>
      <c r="I191" s="78"/>
      <c r="J191" s="1270"/>
      <c r="K191" s="766"/>
      <c r="L191" s="78"/>
      <c r="M191" s="1270"/>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71"/>
      <c r="C192" s="78"/>
      <c r="D192" s="1270"/>
      <c r="E192" s="78"/>
      <c r="F192" s="1270"/>
      <c r="G192" s="78"/>
      <c r="H192" s="1270"/>
      <c r="I192" s="78"/>
      <c r="J192" s="1270"/>
      <c r="K192" s="766"/>
      <c r="L192" s="78"/>
      <c r="M192" s="1270"/>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71"/>
      <c r="C193" s="78"/>
      <c r="D193" s="1270"/>
      <c r="E193" s="78"/>
      <c r="F193" s="1270"/>
      <c r="G193" s="78"/>
      <c r="H193" s="1270"/>
      <c r="I193" s="78"/>
      <c r="J193" s="1270"/>
      <c r="K193" s="766"/>
      <c r="L193" s="78"/>
      <c r="M193" s="1270"/>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71"/>
      <c r="C194" s="78"/>
      <c r="D194" s="1270"/>
      <c r="E194" s="78"/>
      <c r="F194" s="1270"/>
      <c r="G194" s="78"/>
      <c r="H194" s="1270"/>
      <c r="I194" s="78"/>
      <c r="J194" s="1270"/>
      <c r="K194" s="766"/>
      <c r="L194" s="78"/>
      <c r="M194" s="1270"/>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71"/>
      <c r="C195" s="78"/>
      <c r="D195" s="1270"/>
      <c r="E195" s="78"/>
      <c r="F195" s="1270"/>
      <c r="G195" s="78"/>
      <c r="H195" s="1270"/>
      <c r="I195" s="78"/>
      <c r="J195" s="1270"/>
      <c r="K195" s="766"/>
      <c r="L195" s="78"/>
      <c r="M195" s="1270"/>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71"/>
      <c r="C196" s="78"/>
      <c r="D196" s="1270"/>
      <c r="E196" s="78"/>
      <c r="F196" s="1270"/>
      <c r="G196" s="78"/>
      <c r="H196" s="1270"/>
      <c r="I196" s="78"/>
      <c r="J196" s="1270"/>
      <c r="K196" s="766"/>
      <c r="L196" s="78"/>
      <c r="M196" s="1270"/>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71"/>
      <c r="C197" s="78"/>
      <c r="D197" s="1270"/>
      <c r="E197" s="78"/>
      <c r="F197" s="1270"/>
      <c r="G197" s="78"/>
      <c r="H197" s="1270"/>
      <c r="I197" s="78"/>
      <c r="J197" s="1270"/>
      <c r="K197" s="766"/>
      <c r="L197" s="78"/>
      <c r="M197" s="1270"/>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71"/>
      <c r="C198" s="78"/>
      <c r="D198" s="1270"/>
      <c r="E198" s="78"/>
      <c r="F198" s="1270"/>
      <c r="G198" s="78"/>
      <c r="H198" s="1270"/>
      <c r="I198" s="78"/>
      <c r="J198" s="1270"/>
      <c r="K198" s="766"/>
      <c r="L198" s="78"/>
      <c r="M198" s="1270"/>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71"/>
      <c r="C199" s="78"/>
      <c r="D199" s="1270"/>
      <c r="E199" s="78"/>
      <c r="F199" s="1270"/>
      <c r="G199" s="78"/>
      <c r="H199" s="1270"/>
      <c r="I199" s="78"/>
      <c r="J199" s="1270"/>
      <c r="K199" s="766"/>
      <c r="L199" s="78"/>
      <c r="M199" s="1270"/>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71"/>
      <c r="C200" s="78"/>
      <c r="D200" s="1270"/>
      <c r="E200" s="78"/>
      <c r="F200" s="1270"/>
      <c r="G200" s="78"/>
      <c r="H200" s="1270"/>
      <c r="I200" s="78"/>
      <c r="J200" s="1270"/>
      <c r="K200" s="766"/>
      <c r="L200" s="78"/>
      <c r="M200" s="1270"/>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71"/>
      <c r="C201" s="78"/>
      <c r="D201" s="1270"/>
      <c r="E201" s="78"/>
      <c r="F201" s="1270"/>
      <c r="G201" s="78"/>
      <c r="H201" s="1270"/>
      <c r="I201" s="78"/>
      <c r="J201" s="1270"/>
      <c r="K201" s="766"/>
      <c r="L201" s="78"/>
      <c r="M201" s="1270"/>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71"/>
      <c r="C202" s="78"/>
      <c r="D202" s="1270"/>
      <c r="E202" s="78"/>
      <c r="F202" s="1270"/>
      <c r="G202" s="78"/>
      <c r="H202" s="1270"/>
      <c r="I202" s="78"/>
      <c r="J202" s="1270"/>
      <c r="K202" s="766"/>
      <c r="L202" s="78"/>
      <c r="M202" s="1270"/>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71"/>
      <c r="C203" s="78"/>
      <c r="D203" s="1270"/>
      <c r="E203" s="78"/>
      <c r="F203" s="1270"/>
      <c r="G203" s="78"/>
      <c r="H203" s="1270"/>
      <c r="I203" s="78"/>
      <c r="J203" s="1270"/>
      <c r="K203" s="766"/>
      <c r="L203" s="78"/>
      <c r="M203" s="1270"/>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71"/>
      <c r="C204" s="78"/>
      <c r="D204" s="1270"/>
      <c r="E204" s="78"/>
      <c r="F204" s="1270"/>
      <c r="G204" s="78"/>
      <c r="H204" s="1270"/>
      <c r="I204" s="78"/>
      <c r="J204" s="1270"/>
      <c r="K204" s="766"/>
      <c r="L204" s="78"/>
      <c r="M204" s="1270"/>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71"/>
      <c r="C205" s="78"/>
      <c r="D205" s="1270"/>
      <c r="E205" s="78"/>
      <c r="F205" s="1270"/>
      <c r="G205" s="78"/>
      <c r="H205" s="1270"/>
      <c r="I205" s="78"/>
      <c r="J205" s="1270"/>
      <c r="K205" s="766"/>
      <c r="L205" s="78"/>
      <c r="M205" s="1270"/>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71"/>
      <c r="C206" s="78"/>
      <c r="D206" s="1270"/>
      <c r="E206" s="78"/>
      <c r="F206" s="1270"/>
      <c r="G206" s="78"/>
      <c r="H206" s="1270"/>
      <c r="I206" s="78"/>
      <c r="J206" s="1270"/>
      <c r="K206" s="766"/>
      <c r="L206" s="78"/>
      <c r="M206" s="1270"/>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71"/>
      <c r="C207" s="78"/>
      <c r="D207" s="1270"/>
      <c r="E207" s="78"/>
      <c r="F207" s="1270"/>
      <c r="G207" s="78"/>
      <c r="H207" s="1270"/>
      <c r="I207" s="78"/>
      <c r="J207" s="1270"/>
      <c r="K207" s="766"/>
      <c r="L207" s="78"/>
      <c r="M207" s="1270"/>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71"/>
      <c r="C208" s="78"/>
      <c r="D208" s="1270"/>
      <c r="E208" s="78"/>
      <c r="F208" s="1270"/>
      <c r="G208" s="78"/>
      <c r="H208" s="1270"/>
      <c r="I208" s="78"/>
      <c r="J208" s="1270"/>
      <c r="K208" s="766"/>
      <c r="L208" s="78"/>
      <c r="M208" s="1270"/>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71"/>
      <c r="C209" s="78"/>
      <c r="D209" s="1270"/>
      <c r="E209" s="78"/>
      <c r="F209" s="1270"/>
      <c r="G209" s="78"/>
      <c r="H209" s="1270"/>
      <c r="I209" s="78"/>
      <c r="J209" s="1270"/>
      <c r="K209" s="766"/>
      <c r="L209" s="78"/>
      <c r="M209" s="1270"/>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71"/>
      <c r="C210" s="78"/>
      <c r="D210" s="1270"/>
      <c r="E210" s="78"/>
      <c r="F210" s="1270"/>
      <c r="G210" s="78"/>
      <c r="H210" s="1270"/>
      <c r="I210" s="78"/>
      <c r="J210" s="1270"/>
      <c r="K210" s="766"/>
      <c r="L210" s="78"/>
      <c r="M210" s="1270"/>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71"/>
      <c r="C211" s="78"/>
      <c r="D211" s="1270"/>
      <c r="E211" s="78"/>
      <c r="F211" s="1270"/>
      <c r="G211" s="78"/>
      <c r="H211" s="1270"/>
      <c r="I211" s="78"/>
      <c r="J211" s="1270"/>
      <c r="K211" s="766"/>
      <c r="L211" s="78"/>
      <c r="M211" s="1270"/>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71"/>
      <c r="C212" s="78"/>
      <c r="D212" s="1270"/>
      <c r="E212" s="78"/>
      <c r="F212" s="1270"/>
      <c r="G212" s="78"/>
      <c r="H212" s="1270"/>
      <c r="I212" s="78"/>
      <c r="J212" s="1270"/>
      <c r="K212" s="766"/>
      <c r="L212" s="78"/>
      <c r="M212" s="1270"/>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71"/>
      <c r="C213" s="78"/>
      <c r="D213" s="1270"/>
      <c r="E213" s="78"/>
      <c r="F213" s="1270"/>
      <c r="G213" s="78"/>
      <c r="H213" s="1270"/>
      <c r="I213" s="78"/>
      <c r="J213" s="1270"/>
      <c r="K213" s="766"/>
      <c r="L213" s="78"/>
      <c r="M213" s="1270"/>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71"/>
      <c r="C214" s="78"/>
      <c r="D214" s="1270"/>
      <c r="E214" s="78"/>
      <c r="F214" s="1270"/>
      <c r="G214" s="78"/>
      <c r="H214" s="1270"/>
      <c r="I214" s="78"/>
      <c r="J214" s="1270"/>
      <c r="K214" s="766"/>
      <c r="L214" s="78"/>
      <c r="M214" s="1270"/>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71"/>
      <c r="C215" s="78"/>
      <c r="D215" s="1270"/>
      <c r="E215" s="78"/>
      <c r="F215" s="1270"/>
      <c r="G215" s="78"/>
      <c r="H215" s="1270"/>
      <c r="I215" s="78"/>
      <c r="J215" s="1270"/>
      <c r="K215" s="766"/>
      <c r="L215" s="78"/>
      <c r="M215" s="1270"/>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71"/>
      <c r="C216" s="78"/>
      <c r="D216" s="1270"/>
      <c r="E216" s="78"/>
      <c r="F216" s="1270"/>
      <c r="G216" s="78"/>
      <c r="H216" s="1270"/>
      <c r="I216" s="78"/>
      <c r="J216" s="1270"/>
      <c r="K216" s="766"/>
      <c r="L216" s="78"/>
      <c r="M216" s="1270"/>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71"/>
      <c r="C217" s="78"/>
      <c r="D217" s="1270"/>
      <c r="E217" s="78"/>
      <c r="F217" s="1270"/>
      <c r="G217" s="78"/>
      <c r="H217" s="1270"/>
      <c r="I217" s="78"/>
      <c r="J217" s="1270"/>
      <c r="K217" s="766"/>
      <c r="L217" s="78"/>
      <c r="M217" s="1270"/>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71"/>
      <c r="C218" s="78"/>
      <c r="D218" s="1270"/>
      <c r="E218" s="78"/>
      <c r="F218" s="1270"/>
      <c r="G218" s="78"/>
      <c r="H218" s="1270"/>
      <c r="I218" s="78"/>
      <c r="J218" s="1270"/>
      <c r="K218" s="766"/>
      <c r="L218" s="78"/>
      <c r="M218" s="1270"/>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71"/>
      <c r="C219" s="78"/>
      <c r="D219" s="1270"/>
      <c r="E219" s="78"/>
      <c r="F219" s="1270"/>
      <c r="G219" s="78"/>
      <c r="H219" s="1270"/>
      <c r="I219" s="78"/>
      <c r="J219" s="1270"/>
      <c r="K219" s="766"/>
      <c r="L219" s="78"/>
      <c r="M219" s="1270"/>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71"/>
      <c r="C220" s="78"/>
      <c r="D220" s="1270"/>
      <c r="E220" s="78"/>
      <c r="F220" s="1270"/>
      <c r="G220" s="78"/>
      <c r="H220" s="1270"/>
      <c r="I220" s="78"/>
      <c r="J220" s="1270"/>
      <c r="K220" s="766"/>
      <c r="L220" s="78"/>
      <c r="M220" s="1270"/>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71"/>
      <c r="C221" s="78"/>
      <c r="D221" s="1270"/>
      <c r="E221" s="78"/>
      <c r="F221" s="1270"/>
      <c r="G221" s="78"/>
      <c r="H221" s="1270"/>
      <c r="I221" s="78"/>
      <c r="J221" s="1270"/>
      <c r="K221" s="766"/>
      <c r="L221" s="78"/>
      <c r="M221" s="1270"/>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71"/>
      <c r="C222" s="78"/>
      <c r="D222" s="1270"/>
      <c r="E222" s="78"/>
      <c r="F222" s="1270"/>
      <c r="G222" s="78"/>
      <c r="H222" s="1270"/>
      <c r="I222" s="78"/>
      <c r="J222" s="1270"/>
      <c r="K222" s="766"/>
      <c r="L222" s="78"/>
      <c r="M222" s="1270"/>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71"/>
      <c r="C223" s="78"/>
      <c r="D223" s="1270"/>
      <c r="E223" s="78"/>
      <c r="F223" s="1270"/>
      <c r="G223" s="78"/>
      <c r="H223" s="1270"/>
      <c r="I223" s="78"/>
      <c r="J223" s="1270"/>
      <c r="K223" s="766"/>
      <c r="L223" s="78"/>
      <c r="M223" s="1270"/>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71"/>
      <c r="C224" s="78"/>
      <c r="D224" s="1270"/>
      <c r="E224" s="78"/>
      <c r="F224" s="1270"/>
      <c r="G224" s="78"/>
      <c r="H224" s="1270"/>
      <c r="I224" s="78"/>
      <c r="J224" s="1270"/>
      <c r="K224" s="766"/>
      <c r="L224" s="78"/>
      <c r="M224" s="1270"/>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71"/>
      <c r="C225" s="78"/>
      <c r="D225" s="1270"/>
      <c r="E225" s="78"/>
      <c r="F225" s="1270"/>
      <c r="G225" s="78"/>
      <c r="H225" s="1270"/>
      <c r="I225" s="78"/>
      <c r="J225" s="1270"/>
      <c r="K225" s="766"/>
      <c r="L225" s="78"/>
      <c r="M225" s="1270"/>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71"/>
      <c r="C226" s="78"/>
      <c r="D226" s="1270"/>
      <c r="E226" s="78"/>
      <c r="F226" s="1270"/>
      <c r="G226" s="78"/>
      <c r="H226" s="1270"/>
      <c r="I226" s="78"/>
      <c r="J226" s="1270"/>
      <c r="K226" s="766"/>
      <c r="L226" s="78"/>
      <c r="M226" s="1270"/>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71"/>
      <c r="C227" s="78"/>
      <c r="D227" s="1270"/>
      <c r="E227" s="78"/>
      <c r="F227" s="1270"/>
      <c r="G227" s="78"/>
      <c r="H227" s="1270"/>
      <c r="I227" s="78"/>
      <c r="J227" s="1270"/>
      <c r="K227" s="766"/>
      <c r="L227" s="78"/>
      <c r="M227" s="1270"/>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sheetProtection password="CA9C" sheet="1" objects="1" scenarios="1" formatColumns="0" formatRows="0" selectLockedCells="1"/>
  <mergeCells count="31">
    <mergeCell ref="B123:C123"/>
    <mergeCell ref="K2:L2"/>
    <mergeCell ref="B40:B49"/>
    <mergeCell ref="B2:C2"/>
    <mergeCell ref="B6:B11"/>
    <mergeCell ref="B12:B30"/>
    <mergeCell ref="B5:C5"/>
    <mergeCell ref="B33:C33"/>
    <mergeCell ref="B31:C31"/>
    <mergeCell ref="B93:B97"/>
    <mergeCell ref="B56:B58"/>
    <mergeCell ref="B86:B89"/>
    <mergeCell ref="B84:B85"/>
    <mergeCell ref="B80:B83"/>
    <mergeCell ref="B104:B106"/>
    <mergeCell ref="B34:B38"/>
    <mergeCell ref="B115:B117"/>
    <mergeCell ref="B119:B120"/>
    <mergeCell ref="B121:C121"/>
    <mergeCell ref="B102:C102"/>
    <mergeCell ref="B110:C110"/>
    <mergeCell ref="B59:B79"/>
    <mergeCell ref="B55:C55"/>
    <mergeCell ref="B92:C92"/>
    <mergeCell ref="B114:C114"/>
    <mergeCell ref="B53:C53"/>
    <mergeCell ref="B98:C98"/>
    <mergeCell ref="B90:C90"/>
    <mergeCell ref="B100:C100"/>
    <mergeCell ref="B112:C112"/>
    <mergeCell ref="B107:B108"/>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8"/>
  <sheetViews>
    <sheetView tabSelected="1" view="pageBreakPreview" zoomScale="75" zoomScaleNormal="50" zoomScaleSheetLayoutView="75" zoomScalePageLayoutView="70" workbookViewId="0">
      <pane ySplit="4" topLeftCell="A59" activePane="bottomLeft" state="frozen"/>
      <selection pane="bottomLeft" activeCell="C81" sqref="C81"/>
    </sheetView>
  </sheetViews>
  <sheetFormatPr defaultRowHeight="14.25" outlineLevelRow="2" outlineLevelCol="2" x14ac:dyDescent="0.2"/>
  <cols>
    <col min="1" max="1" width="2.7109375" style="10" customWidth="1"/>
    <col min="2" max="2" width="15" style="2007" customWidth="1"/>
    <col min="3" max="3" width="62.5703125" style="2019" customWidth="1"/>
    <col min="4" max="4" width="1.7109375" style="1590" hidden="1" customWidth="1"/>
    <col min="5" max="5" width="8.5703125" style="2019" hidden="1" customWidth="1" outlineLevel="2" collapsed="1"/>
    <col min="6" max="6" width="1.7109375" style="1590" hidden="1" customWidth="1" outlineLevel="2"/>
    <col min="7" max="7" width="8.42578125" style="2019" hidden="1" customWidth="1" outlineLevel="1"/>
    <col min="8" max="8" width="1.7109375" style="1590" hidden="1" customWidth="1" outlineLevel="1"/>
    <col min="9" max="9" width="8.5703125" style="2019" hidden="1" customWidth="1" outlineLevel="1"/>
    <col min="10" max="10" width="1.7109375" style="1590" customWidth="1" outlineLevel="1"/>
    <col min="11" max="11" width="11" style="2020" customWidth="1"/>
    <col min="12" max="12" width="11" style="2017" customWidth="1"/>
    <col min="13" max="13" width="1.7109375" style="1590" hidden="1" customWidth="1"/>
    <col min="14" max="14" width="8.5703125" style="2019" hidden="1" customWidth="1" outlineLevel="1"/>
    <col min="15" max="15" width="1.7109375" style="1590" customWidth="1" outlineLevel="1"/>
    <col min="16" max="17" width="11" style="2017" customWidth="1"/>
    <col min="18" max="18" width="11" style="2020" customWidth="1"/>
    <col min="19" max="19" width="1.7109375" style="1590" customWidth="1"/>
    <col min="20" max="20" width="47.42578125" style="2021" customWidth="1"/>
    <col min="21" max="21" width="9.140625" style="10"/>
    <col min="22" max="22" width="9.140625" style="30"/>
    <col min="23" max="71" width="9.140625" style="10"/>
    <col min="72" max="16384" width="9.140625" style="1"/>
  </cols>
  <sheetData>
    <row r="1" spans="1:71" s="11" customFormat="1" x14ac:dyDescent="0.2">
      <c r="B1" s="1569"/>
      <c r="C1" s="1570"/>
      <c r="D1" s="1571"/>
      <c r="E1" s="1572"/>
      <c r="F1" s="1571"/>
      <c r="G1" s="1572"/>
      <c r="H1" s="1571"/>
      <c r="I1" s="1572"/>
      <c r="J1" s="1571"/>
      <c r="K1" s="1573"/>
      <c r="L1" s="1572"/>
      <c r="M1" s="1571"/>
      <c r="N1" s="1572"/>
      <c r="O1" s="1571"/>
      <c r="P1" s="1572"/>
      <c r="Q1" s="1572"/>
      <c r="R1" s="1573"/>
      <c r="S1" s="1571"/>
      <c r="T1" s="1574"/>
      <c r="V1" s="25"/>
    </row>
    <row r="2" spans="1:71" s="52" customFormat="1" ht="72" customHeight="1" x14ac:dyDescent="0.25">
      <c r="A2" s="50"/>
      <c r="B2" s="2273" t="str">
        <f>'Interactive Worksheet'!A2&amp;" - "&amp;'Interactive Worksheet'!P8&amp;" "&amp;'Interactive Worksheet'!G8&amp;" - Composite A
"&amp;'Interactive Worksheet'!G57&amp;" Structural, 0 "&amp;'Interactive Worksheet'!G58&amp;" ARFF Companies with "&amp;'Interactive Worksheet'!I75&amp;" Responders"</f>
        <v>Prototype Fire Station - Satellite Structural - Composite A
2 Structural, 0  ARFF Companies with 8 Responders</v>
      </c>
      <c r="C2" s="2274"/>
      <c r="D2" s="1575"/>
      <c r="E2" s="1576" t="s">
        <v>8</v>
      </c>
      <c r="F2" s="1575"/>
      <c r="G2" s="1576" t="s">
        <v>106</v>
      </c>
      <c r="H2" s="1577"/>
      <c r="I2" s="1576" t="s">
        <v>4</v>
      </c>
      <c r="J2" s="1577"/>
      <c r="K2" s="2275" t="s">
        <v>953</v>
      </c>
      <c r="L2" s="2276"/>
      <c r="M2" s="1578"/>
      <c r="N2" s="1579" t="s">
        <v>954</v>
      </c>
      <c r="O2" s="1577"/>
      <c r="P2" s="2275" t="s">
        <v>984</v>
      </c>
      <c r="Q2" s="2277"/>
      <c r="R2" s="2276"/>
      <c r="S2" s="1578"/>
      <c r="T2" s="1580"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ht="15" customHeight="1" x14ac:dyDescent="0.2">
      <c r="A3" s="18"/>
      <c r="B3" s="1581" t="s">
        <v>933</v>
      </c>
      <c r="C3" s="1582"/>
      <c r="D3" s="1583"/>
      <c r="E3" s="1584"/>
      <c r="F3" s="1583"/>
      <c r="G3" s="1584"/>
      <c r="H3" s="1585"/>
      <c r="I3" s="1584" t="s">
        <v>1</v>
      </c>
      <c r="J3" s="1585"/>
      <c r="K3" s="1586" t="s">
        <v>0</v>
      </c>
      <c r="L3" s="1584" t="s">
        <v>1</v>
      </c>
      <c r="M3" s="1583"/>
      <c r="N3" s="1584" t="s">
        <v>1</v>
      </c>
      <c r="O3" s="1585"/>
      <c r="P3" s="1584" t="s">
        <v>1</v>
      </c>
      <c r="Q3" s="1584" t="s">
        <v>949</v>
      </c>
      <c r="R3" s="1586" t="s">
        <v>950</v>
      </c>
      <c r="S3" s="1583"/>
      <c r="T3" s="1587"/>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1588"/>
      <c r="C4" s="1589"/>
      <c r="D4" s="1590"/>
      <c r="E4" s="1591"/>
      <c r="F4" s="1590"/>
      <c r="G4" s="1591"/>
      <c r="H4" s="1592"/>
      <c r="I4" s="1591"/>
      <c r="J4" s="1592"/>
      <c r="K4" s="1593"/>
      <c r="L4" s="1591"/>
      <c r="M4" s="1590"/>
      <c r="N4" s="1591"/>
      <c r="O4" s="1592"/>
      <c r="P4" s="1591"/>
      <c r="Q4" s="1591"/>
      <c r="R4" s="1593"/>
      <c r="S4" s="1590"/>
      <c r="T4" s="1594"/>
      <c r="V4" s="28"/>
    </row>
    <row r="5" spans="1:71" s="288" customFormat="1" ht="18" x14ac:dyDescent="0.25">
      <c r="A5" s="284"/>
      <c r="B5" s="2252" t="s">
        <v>274</v>
      </c>
      <c r="C5" s="2253"/>
      <c r="D5" s="1595"/>
      <c r="E5" s="1596"/>
      <c r="F5" s="1595"/>
      <c r="G5" s="1597"/>
      <c r="H5" s="1598"/>
      <c r="I5" s="1597"/>
      <c r="J5" s="1598"/>
      <c r="K5" s="1599"/>
      <c r="L5" s="1597"/>
      <c r="M5" s="1595"/>
      <c r="N5" s="1600" t="s">
        <v>955</v>
      </c>
      <c r="O5" s="1598"/>
      <c r="P5" s="1600"/>
      <c r="Q5" s="1597"/>
      <c r="R5" s="1601"/>
      <c r="S5" s="1595"/>
      <c r="T5" s="1597"/>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2278" t="s">
        <v>942</v>
      </c>
      <c r="C6" s="1602" t="str">
        <f>'Space Program Data'!J3</f>
        <v>Apparatus Bay</v>
      </c>
      <c r="D6" s="1603"/>
      <c r="E6" s="1604"/>
      <c r="F6" s="1603"/>
      <c r="G6" s="1604">
        <v>1</v>
      </c>
      <c r="H6" s="1605"/>
      <c r="I6" s="1604">
        <f>'Interactive Worksheet'!Q80</f>
        <v>1872</v>
      </c>
      <c r="J6" s="1605"/>
      <c r="K6" s="1606">
        <f>L6*0.0929</f>
        <v>173.90879999999999</v>
      </c>
      <c r="L6" s="1607">
        <f>'Interactive Worksheet'!Q80</f>
        <v>1872</v>
      </c>
      <c r="M6" s="1603"/>
      <c r="N6" s="2031">
        <f>952+952+487</f>
        <v>2391</v>
      </c>
      <c r="O6" s="1605"/>
      <c r="P6" s="1608">
        <f>N6</f>
        <v>2391</v>
      </c>
      <c r="Q6" s="1607">
        <f>P6-L6</f>
        <v>519</v>
      </c>
      <c r="R6" s="1609">
        <f>IF(L6=0,0,Q6/L6)</f>
        <v>0.27724358974358976</v>
      </c>
      <c r="S6" s="1603"/>
      <c r="T6" s="1610"/>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2279"/>
      <c r="C7" s="1611" t="s">
        <v>555</v>
      </c>
      <c r="D7" s="1612"/>
      <c r="E7" s="1613"/>
      <c r="F7" s="1612"/>
      <c r="G7" s="1614">
        <f>'Interactive Worksheet'!R48</f>
        <v>0</v>
      </c>
      <c r="H7" s="1615"/>
      <c r="I7" s="1616"/>
      <c r="J7" s="1617"/>
      <c r="K7" s="1618">
        <f>'Interactive Worksheet'!R48</f>
        <v>0</v>
      </c>
      <c r="L7" s="1619"/>
      <c r="M7" s="1617"/>
      <c r="N7" s="1616"/>
      <c r="O7" s="1617"/>
      <c r="P7" s="1619"/>
      <c r="Q7" s="1619"/>
      <c r="R7" s="1620"/>
      <c r="S7" s="1617"/>
      <c r="T7" s="1621"/>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2279"/>
      <c r="C8" s="1611" t="s">
        <v>526</v>
      </c>
      <c r="D8" s="1612"/>
      <c r="E8" s="1613"/>
      <c r="F8" s="1612"/>
      <c r="G8" s="1614">
        <f>'Interactive Worksheet'!E38</f>
        <v>2</v>
      </c>
      <c r="H8" s="1615"/>
      <c r="I8" s="1616"/>
      <c r="J8" s="1617"/>
      <c r="K8" s="1618">
        <f>'Interactive Worksheet'!E38</f>
        <v>2</v>
      </c>
      <c r="L8" s="1619"/>
      <c r="M8" s="1617"/>
      <c r="N8" s="1616"/>
      <c r="O8" s="1617"/>
      <c r="P8" s="1619"/>
      <c r="Q8" s="1619"/>
      <c r="R8" s="1620"/>
      <c r="S8" s="1617"/>
      <c r="T8" s="1621"/>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2279"/>
      <c r="C9" s="1611" t="s">
        <v>523</v>
      </c>
      <c r="D9" s="1612"/>
      <c r="E9" s="1613"/>
      <c r="F9" s="1612"/>
      <c r="G9" s="1614">
        <f>'Interactive Worksheet'!E39</f>
        <v>0</v>
      </c>
      <c r="H9" s="1615"/>
      <c r="I9" s="1616"/>
      <c r="J9" s="1617"/>
      <c r="K9" s="1618">
        <f>'Interactive Worksheet'!E39</f>
        <v>0</v>
      </c>
      <c r="L9" s="1619"/>
      <c r="M9" s="1617"/>
      <c r="N9" s="1616"/>
      <c r="O9" s="1617"/>
      <c r="P9" s="1619"/>
      <c r="Q9" s="1619"/>
      <c r="R9" s="1620"/>
      <c r="S9" s="1617"/>
      <c r="T9" s="1621"/>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2279"/>
      <c r="C10" s="1611" t="s">
        <v>524</v>
      </c>
      <c r="D10" s="1612"/>
      <c r="E10" s="1613"/>
      <c r="F10" s="1612"/>
      <c r="G10" s="1614">
        <f>'Interactive Worksheet'!E40</f>
        <v>0</v>
      </c>
      <c r="H10" s="1615"/>
      <c r="I10" s="1616"/>
      <c r="J10" s="1617"/>
      <c r="K10" s="1618">
        <f>'Interactive Worksheet'!E40</f>
        <v>0</v>
      </c>
      <c r="L10" s="1619"/>
      <c r="M10" s="1617"/>
      <c r="N10" s="1616"/>
      <c r="O10" s="1617"/>
      <c r="P10" s="1619"/>
      <c r="Q10" s="1619"/>
      <c r="R10" s="1620"/>
      <c r="S10" s="1617"/>
      <c r="T10" s="1621"/>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2279"/>
      <c r="C11" s="1622" t="s">
        <v>525</v>
      </c>
      <c r="D11" s="1612"/>
      <c r="E11" s="1623"/>
      <c r="F11" s="1612"/>
      <c r="G11" s="1624">
        <f>'Interactive Worksheet'!E41</f>
        <v>0</v>
      </c>
      <c r="H11" s="1615"/>
      <c r="I11" s="1625"/>
      <c r="J11" s="1617"/>
      <c r="K11" s="1619">
        <f>'Interactive Worksheet'!E41</f>
        <v>0</v>
      </c>
      <c r="L11" s="1619"/>
      <c r="M11" s="1617"/>
      <c r="N11" s="1625"/>
      <c r="O11" s="1617"/>
      <c r="P11" s="1619"/>
      <c r="Q11" s="1619"/>
      <c r="R11" s="1626"/>
      <c r="S11" s="1617"/>
      <c r="T11" s="1627"/>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37" customFormat="1" ht="15" outlineLevel="2" x14ac:dyDescent="0.2">
      <c r="A12" s="35"/>
      <c r="B12" s="2284" t="s">
        <v>943</v>
      </c>
      <c r="C12" s="1628" t="str">
        <f>'Space Program Data'!J82</f>
        <v>Agent Storage (Structural)</v>
      </c>
      <c r="D12" s="1629"/>
      <c r="E12" s="1630"/>
      <c r="F12" s="1631"/>
      <c r="G12" s="1632">
        <v>1</v>
      </c>
      <c r="H12" s="1633"/>
      <c r="I12" s="1630">
        <f>'Interactive Worksheet'!Q289</f>
        <v>48</v>
      </c>
      <c r="J12" s="1633"/>
      <c r="K12" s="1634">
        <f>L12*0.0929</f>
        <v>4.4592000000000001</v>
      </c>
      <c r="L12" s="1635">
        <f>'Interactive Worksheet'!Q289</f>
        <v>48</v>
      </c>
      <c r="M12" s="1631"/>
      <c r="N12" s="2022">
        <v>54</v>
      </c>
      <c r="O12" s="1633"/>
      <c r="P12" s="1635">
        <f>N12</f>
        <v>54</v>
      </c>
      <c r="Q12" s="1635">
        <f>P12-L12</f>
        <v>6</v>
      </c>
      <c r="R12" s="1636">
        <f>IF(L12=0,0,Q12/L12)</f>
        <v>0.125</v>
      </c>
      <c r="S12" s="1612"/>
      <c r="T12" s="2032"/>
      <c r="U12" s="35"/>
      <c r="V12" s="36"/>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s="5" customFormat="1" ht="15" customHeight="1" outlineLevel="1" x14ac:dyDescent="0.2">
      <c r="A13" s="17"/>
      <c r="B13" s="2285"/>
      <c r="C13" s="1638" t="str">
        <f>'Space Program Data'!J12&amp;" - "&amp;'Interactive Worksheet'!I98</f>
        <v>EMS Storage - Closet</v>
      </c>
      <c r="D13" s="1631"/>
      <c r="E13" s="1639"/>
      <c r="F13" s="1631"/>
      <c r="G13" s="1640">
        <f>IF(I13&gt;0,1,0)</f>
        <v>1</v>
      </c>
      <c r="H13" s="1633"/>
      <c r="I13" s="1639">
        <f>'Interactive Worksheet'!Q98</f>
        <v>40</v>
      </c>
      <c r="J13" s="1633"/>
      <c r="K13" s="1641">
        <f t="shared" ref="K13:K32" si="0">L13*0.0929</f>
        <v>3.7159999999999997</v>
      </c>
      <c r="L13" s="1642">
        <f>'Interactive Worksheet'!Q98</f>
        <v>40</v>
      </c>
      <c r="M13" s="1631"/>
      <c r="N13" s="2027">
        <v>36</v>
      </c>
      <c r="O13" s="1633"/>
      <c r="P13" s="1643">
        <f>N13</f>
        <v>36</v>
      </c>
      <c r="Q13" s="1642">
        <f t="shared" ref="Q13:Q31" si="1">P13-L13</f>
        <v>-4</v>
      </c>
      <c r="R13" s="1644">
        <f t="shared" ref="R13:R31" si="2">IF(L13=0,0,Q13/L13)</f>
        <v>-0.1</v>
      </c>
      <c r="S13" s="1631"/>
      <c r="T13" s="1645"/>
      <c r="U13" s="17"/>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58" customFormat="1" ht="15" outlineLevel="1" x14ac:dyDescent="0.2">
      <c r="A14" s="248"/>
      <c r="B14" s="2285"/>
      <c r="C14" s="1646" t="str">
        <f>'Space Program Data'!J9</f>
        <v>Equipment Wash / Disinfection</v>
      </c>
      <c r="D14" s="1631"/>
      <c r="E14" s="1647"/>
      <c r="F14" s="1631"/>
      <c r="G14" s="1648">
        <f>IF(I14&gt;0,1,0)</f>
        <v>1</v>
      </c>
      <c r="H14" s="1633"/>
      <c r="I14" s="1647">
        <f>'Interactive Worksheet'!Q94</f>
        <v>150</v>
      </c>
      <c r="J14" s="1633"/>
      <c r="K14" s="1649">
        <f t="shared" si="0"/>
        <v>13.934999999999999</v>
      </c>
      <c r="L14" s="1650">
        <f>'Interactive Worksheet'!Q94</f>
        <v>150</v>
      </c>
      <c r="M14" s="1631"/>
      <c r="N14" s="2023">
        <v>150</v>
      </c>
      <c r="O14" s="1633"/>
      <c r="P14" s="1643">
        <f t="shared" ref="P14:P31" si="3">N14</f>
        <v>150</v>
      </c>
      <c r="Q14" s="1650">
        <f t="shared" si="1"/>
        <v>0</v>
      </c>
      <c r="R14" s="1652">
        <f t="shared" si="2"/>
        <v>0</v>
      </c>
      <c r="S14" s="1631"/>
      <c r="T14" s="1645"/>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258" customFormat="1" ht="15" hidden="1" outlineLevel="1" x14ac:dyDescent="0.2">
      <c r="A15" s="248"/>
      <c r="B15" s="2285"/>
      <c r="C15" s="1646" t="str">
        <f>'Space Program Data'!J19</f>
        <v>Fire Extinguisher Inspection</v>
      </c>
      <c r="D15" s="1631"/>
      <c r="E15" s="1647">
        <f>'Interactive Worksheet'!L112</f>
        <v>0</v>
      </c>
      <c r="F15" s="1631"/>
      <c r="G15" s="1648">
        <f>IF(I15&gt;0,1,0)</f>
        <v>0</v>
      </c>
      <c r="H15" s="1633"/>
      <c r="I15" s="1647">
        <f>'Interactive Worksheet'!Q112</f>
        <v>0</v>
      </c>
      <c r="J15" s="1633"/>
      <c r="K15" s="1649">
        <f t="shared" si="0"/>
        <v>0</v>
      </c>
      <c r="L15" s="1650">
        <f>G15*I15</f>
        <v>0</v>
      </c>
      <c r="M15" s="1631"/>
      <c r="N15" s="2023">
        <v>0</v>
      </c>
      <c r="O15" s="1633"/>
      <c r="P15" s="1643">
        <f t="shared" si="3"/>
        <v>0</v>
      </c>
      <c r="Q15" s="1650">
        <f t="shared" si="1"/>
        <v>0</v>
      </c>
      <c r="R15" s="1652">
        <f t="shared" si="2"/>
        <v>0</v>
      </c>
      <c r="S15" s="1631"/>
      <c r="T15" s="1653"/>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5" customFormat="1" ht="15" hidden="1" outlineLevel="1" x14ac:dyDescent="0.2">
      <c r="A16" s="17"/>
      <c r="B16" s="2285"/>
      <c r="C16" s="1646" t="str">
        <f>'Space Program Data'!J21</f>
        <v>Flightline Fire Extinguishing Maintenance</v>
      </c>
      <c r="D16" s="1631"/>
      <c r="E16" s="1647"/>
      <c r="F16" s="1631"/>
      <c r="G16" s="1648">
        <f>IF('Interactive Worksheet'!L114="yes",1,0)</f>
        <v>0</v>
      </c>
      <c r="H16" s="1633"/>
      <c r="I16" s="1647">
        <f>'Interactive Worksheet'!Q114</f>
        <v>0</v>
      </c>
      <c r="J16" s="1633"/>
      <c r="K16" s="1649">
        <f t="shared" si="0"/>
        <v>0</v>
      </c>
      <c r="L16" s="1650">
        <f>G16*I16</f>
        <v>0</v>
      </c>
      <c r="M16" s="1631"/>
      <c r="N16" s="2023">
        <v>0</v>
      </c>
      <c r="O16" s="1633"/>
      <c r="P16" s="1643">
        <f t="shared" si="3"/>
        <v>0</v>
      </c>
      <c r="Q16" s="1650">
        <f t="shared" si="1"/>
        <v>0</v>
      </c>
      <c r="R16" s="1652">
        <f t="shared" si="2"/>
        <v>0</v>
      </c>
      <c r="S16" s="1631"/>
      <c r="T16" s="1653"/>
      <c r="U16" s="17"/>
      <c r="V16" s="29"/>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258" customFormat="1" ht="15" hidden="1" outlineLevel="1" x14ac:dyDescent="0.2">
      <c r="A17" s="248"/>
      <c r="B17" s="2285"/>
      <c r="C17" s="1646" t="str">
        <f>'Space Program Data'!J22</f>
        <v>Flightline Fire Extinguishing Tank Recovery Ext. Covered Storage</v>
      </c>
      <c r="D17" s="1631"/>
      <c r="E17" s="1647"/>
      <c r="F17" s="1631"/>
      <c r="G17" s="1648">
        <f>IF('Interactive Worksheet'!L118="yes",1,0)</f>
        <v>0</v>
      </c>
      <c r="H17" s="1633"/>
      <c r="I17" s="1647">
        <f>'Interactive Worksheet'!Q118</f>
        <v>0</v>
      </c>
      <c r="J17" s="1633"/>
      <c r="K17" s="1649">
        <f t="shared" si="0"/>
        <v>0</v>
      </c>
      <c r="L17" s="1650">
        <f>G17*I17*0.5</f>
        <v>0</v>
      </c>
      <c r="M17" s="1631"/>
      <c r="N17" s="2023">
        <v>0</v>
      </c>
      <c r="O17" s="1633"/>
      <c r="P17" s="1643">
        <f>N17*0.5</f>
        <v>0</v>
      </c>
      <c r="Q17" s="1650">
        <f t="shared" si="1"/>
        <v>0</v>
      </c>
      <c r="R17" s="1652">
        <f t="shared" si="2"/>
        <v>0</v>
      </c>
      <c r="S17" s="1631"/>
      <c r="T17" s="1645" t="s">
        <v>1000</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1" s="5" customFormat="1" ht="15" hidden="1" outlineLevel="1" x14ac:dyDescent="0.2">
      <c r="A18" s="17"/>
      <c r="B18" s="2285"/>
      <c r="C18" s="1646" t="str">
        <f>'Space Program Data'!J14</f>
        <v>HAZMAT / CBRN Equipment Storage</v>
      </c>
      <c r="D18" s="1631"/>
      <c r="E18" s="1647"/>
      <c r="F18" s="1631"/>
      <c r="G18" s="1648">
        <f>IF(I18&gt;0,1,0)</f>
        <v>0</v>
      </c>
      <c r="H18" s="1633"/>
      <c r="I18" s="1647">
        <f>'Interactive Worksheet'!Q100</f>
        <v>0</v>
      </c>
      <c r="J18" s="1633"/>
      <c r="K18" s="1649">
        <f t="shared" si="0"/>
        <v>0</v>
      </c>
      <c r="L18" s="1650">
        <f>'Interactive Worksheet'!Q100</f>
        <v>0</v>
      </c>
      <c r="M18" s="1631"/>
      <c r="N18" s="2023">
        <v>0</v>
      </c>
      <c r="O18" s="1633"/>
      <c r="P18" s="1643">
        <f t="shared" si="3"/>
        <v>0</v>
      </c>
      <c r="Q18" s="1650">
        <f t="shared" si="1"/>
        <v>0</v>
      </c>
      <c r="R18" s="1652">
        <f t="shared" si="2"/>
        <v>0</v>
      </c>
      <c r="S18" s="1631"/>
      <c r="T18" s="1653"/>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2285"/>
      <c r="C19" s="1654" t="str">
        <f>'Space Program Data'!J5</f>
        <v>Hose Storage</v>
      </c>
      <c r="D19" s="1631"/>
      <c r="E19" s="1647"/>
      <c r="F19" s="1631"/>
      <c r="G19" s="1648">
        <f>IF(I19&gt;0,1,0)</f>
        <v>1</v>
      </c>
      <c r="H19" s="1633"/>
      <c r="I19" s="1647">
        <f>'Interactive Worksheet'!Q86</f>
        <v>54</v>
      </c>
      <c r="J19" s="1633"/>
      <c r="K19" s="1649">
        <f t="shared" si="0"/>
        <v>5.0165999999999995</v>
      </c>
      <c r="L19" s="1650">
        <f>'Interactive Worksheet'!Q86</f>
        <v>54</v>
      </c>
      <c r="M19" s="1631"/>
      <c r="N19" s="2023">
        <v>54</v>
      </c>
      <c r="O19" s="1633"/>
      <c r="P19" s="1643">
        <f t="shared" si="3"/>
        <v>54</v>
      </c>
      <c r="Q19" s="1650">
        <f t="shared" si="1"/>
        <v>0</v>
      </c>
      <c r="R19" s="1652">
        <f t="shared" si="2"/>
        <v>0</v>
      </c>
      <c r="S19" s="1631"/>
      <c r="T19" s="1653"/>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2285"/>
      <c r="C20" s="1646" t="str">
        <f>'Space Program Data'!J15</f>
        <v>Infectious Control</v>
      </c>
      <c r="D20" s="1631"/>
      <c r="E20" s="1647"/>
      <c r="F20" s="1631"/>
      <c r="G20" s="1648">
        <f>IF('Interactive Worksheet'!L102="Yes",1,0)</f>
        <v>1</v>
      </c>
      <c r="H20" s="1633"/>
      <c r="I20" s="1647">
        <f>'Interactive Worksheet'!Q102</f>
        <v>160</v>
      </c>
      <c r="J20" s="1633"/>
      <c r="K20" s="1649">
        <f t="shared" si="0"/>
        <v>14.863999999999999</v>
      </c>
      <c r="L20" s="1650">
        <f>G20*I20</f>
        <v>160</v>
      </c>
      <c r="M20" s="1631"/>
      <c r="N20" s="2023">
        <v>151</v>
      </c>
      <c r="O20" s="1633"/>
      <c r="P20" s="1643">
        <f t="shared" si="3"/>
        <v>151</v>
      </c>
      <c r="Q20" s="1650">
        <f t="shared" si="1"/>
        <v>-9</v>
      </c>
      <c r="R20" s="1652">
        <f t="shared" si="2"/>
        <v>-5.6250000000000001E-2</v>
      </c>
      <c r="S20" s="1631"/>
      <c r="T20" s="1653"/>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outlineLevel="1" x14ac:dyDescent="0.2">
      <c r="A21" s="17"/>
      <c r="B21" s="2285"/>
      <c r="C21" s="1646" t="str">
        <f>'Space Program Data'!J20</f>
        <v>Non-Flightline Fire Extinguishing Maintenance and Storage</v>
      </c>
      <c r="D21" s="1631"/>
      <c r="E21" s="1647"/>
      <c r="F21" s="1631"/>
      <c r="G21" s="1648">
        <f>IF('Interactive Worksheet'!L123="yes",1,0)</f>
        <v>1</v>
      </c>
      <c r="H21" s="1633"/>
      <c r="I21" s="1647">
        <f>'Interactive Worksheet'!Q123</f>
        <v>120</v>
      </c>
      <c r="J21" s="1633"/>
      <c r="K21" s="1649">
        <f t="shared" si="0"/>
        <v>11.148</v>
      </c>
      <c r="L21" s="1650">
        <f>G21*I21</f>
        <v>120</v>
      </c>
      <c r="M21" s="1631"/>
      <c r="N21" s="2023">
        <v>128</v>
      </c>
      <c r="O21" s="1633"/>
      <c r="P21" s="1643">
        <f t="shared" si="3"/>
        <v>128</v>
      </c>
      <c r="Q21" s="1650">
        <f t="shared" si="1"/>
        <v>8</v>
      </c>
      <c r="R21" s="1652">
        <f t="shared" si="2"/>
        <v>6.6666666666666666E-2</v>
      </c>
      <c r="S21" s="1631"/>
      <c r="T21" s="1653"/>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258" customFormat="1" ht="15" outlineLevel="1" x14ac:dyDescent="0.2">
      <c r="A22" s="248"/>
      <c r="B22" s="2285"/>
      <c r="C22" s="1654" t="str">
        <f>'Space Program Data'!J4</f>
        <v>PPE Gear Storage</v>
      </c>
      <c r="D22" s="1631"/>
      <c r="E22" s="1647">
        <f>'Interactive Worksheet'!I75</f>
        <v>8</v>
      </c>
      <c r="F22" s="1631"/>
      <c r="G22" s="1648">
        <f>IF(I22&gt;0,1,0)</f>
        <v>1</v>
      </c>
      <c r="H22" s="1633"/>
      <c r="I22" s="1647">
        <f>'Interactive Worksheet'!Q84</f>
        <v>80</v>
      </c>
      <c r="J22" s="1633"/>
      <c r="K22" s="1649">
        <f t="shared" si="0"/>
        <v>7.4319999999999995</v>
      </c>
      <c r="L22" s="1650">
        <f>'Interactive Worksheet'!Q84</f>
        <v>80</v>
      </c>
      <c r="M22" s="1631"/>
      <c r="N22" s="2023">
        <v>82</v>
      </c>
      <c r="O22" s="1633"/>
      <c r="P22" s="1643">
        <f t="shared" si="3"/>
        <v>82</v>
      </c>
      <c r="Q22" s="1650">
        <f t="shared" si="1"/>
        <v>2</v>
      </c>
      <c r="R22" s="1652">
        <f t="shared" si="2"/>
        <v>2.5000000000000001E-2</v>
      </c>
      <c r="S22" s="1631"/>
      <c r="T22" s="1653"/>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row>
    <row r="23" spans="1:71" s="5" customFormat="1" ht="15" outlineLevel="1" x14ac:dyDescent="0.2">
      <c r="A23" s="17"/>
      <c r="B23" s="2285"/>
      <c r="C23" s="1646" t="str">
        <f>'Space Program Data'!J8</f>
        <v>Protective Clothing Laundry</v>
      </c>
      <c r="D23" s="1631"/>
      <c r="E23" s="1647"/>
      <c r="F23" s="1631"/>
      <c r="G23" s="1648">
        <f>IF(I23&gt;0,1,0)</f>
        <v>1</v>
      </c>
      <c r="H23" s="1633"/>
      <c r="I23" s="1647">
        <f>'Interactive Worksheet'!Q96</f>
        <v>120</v>
      </c>
      <c r="J23" s="1633"/>
      <c r="K23" s="1649">
        <f t="shared" si="0"/>
        <v>11.148</v>
      </c>
      <c r="L23" s="1650">
        <f>'Interactive Worksheet'!Q96</f>
        <v>120</v>
      </c>
      <c r="M23" s="1631"/>
      <c r="N23" s="2023">
        <v>120</v>
      </c>
      <c r="O23" s="1633"/>
      <c r="P23" s="1643">
        <f t="shared" si="3"/>
        <v>120</v>
      </c>
      <c r="Q23" s="1650">
        <f t="shared" si="1"/>
        <v>0</v>
      </c>
      <c r="R23" s="1652">
        <f t="shared" si="2"/>
        <v>0</v>
      </c>
      <c r="S23" s="1631"/>
      <c r="T23" s="1653"/>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hidden="1" outlineLevel="1" x14ac:dyDescent="0.2">
      <c r="A24" s="17"/>
      <c r="B24" s="2285"/>
      <c r="C24" s="1654" t="str">
        <f>'Space Program Data'!J7</f>
        <v>SCBA Compressor Room</v>
      </c>
      <c r="D24" s="1631"/>
      <c r="E24" s="1647"/>
      <c r="F24" s="1631"/>
      <c r="G24" s="1648">
        <f>IF(I24&gt;0,1,0)</f>
        <v>0</v>
      </c>
      <c r="H24" s="1633"/>
      <c r="I24" s="1647">
        <f>'Interactive Worksheet'!Q90</f>
        <v>0</v>
      </c>
      <c r="J24" s="1633"/>
      <c r="K24" s="1649">
        <f t="shared" si="0"/>
        <v>0</v>
      </c>
      <c r="L24" s="1650">
        <f>'Interactive Worksheet'!Q90</f>
        <v>0</v>
      </c>
      <c r="M24" s="1631"/>
      <c r="N24" s="2023">
        <v>0</v>
      </c>
      <c r="O24" s="1633"/>
      <c r="P24" s="1643">
        <f t="shared" si="3"/>
        <v>0</v>
      </c>
      <c r="Q24" s="1650">
        <f t="shared" si="1"/>
        <v>0</v>
      </c>
      <c r="R24" s="1652">
        <f t="shared" si="2"/>
        <v>0</v>
      </c>
      <c r="S24" s="1631"/>
      <c r="T24" s="1653"/>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2285"/>
      <c r="C25" s="1654" t="str">
        <f>'Space Program Data'!J6</f>
        <v>SCBA Maintenance Room</v>
      </c>
      <c r="D25" s="1631"/>
      <c r="E25" s="1647"/>
      <c r="F25" s="1631"/>
      <c r="G25" s="1648">
        <f>IF(I25&gt;0,1,0)</f>
        <v>0</v>
      </c>
      <c r="H25" s="1633"/>
      <c r="I25" s="1647">
        <f>'Interactive Worksheet'!Q88</f>
        <v>0</v>
      </c>
      <c r="J25" s="1633"/>
      <c r="K25" s="1649">
        <f t="shared" si="0"/>
        <v>0</v>
      </c>
      <c r="L25" s="1650">
        <f>'Interactive Worksheet'!Q88</f>
        <v>0</v>
      </c>
      <c r="M25" s="1631"/>
      <c r="N25" s="2023">
        <v>0</v>
      </c>
      <c r="O25" s="1633"/>
      <c r="P25" s="1643">
        <f t="shared" si="3"/>
        <v>0</v>
      </c>
      <c r="Q25" s="1650">
        <f t="shared" si="1"/>
        <v>0</v>
      </c>
      <c r="R25" s="1652">
        <f t="shared" si="2"/>
        <v>0</v>
      </c>
      <c r="S25" s="1631"/>
      <c r="T25" s="1653"/>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hidden="1" outlineLevel="1" x14ac:dyDescent="0.2">
      <c r="A26" s="17"/>
      <c r="B26" s="2285"/>
      <c r="C26" s="1646" t="str">
        <f>'Space Program Data'!J23</f>
        <v>Spare Flightline Fire Extinguishing Tank Exterior Covered Storage</v>
      </c>
      <c r="D26" s="1631"/>
      <c r="E26" s="1647"/>
      <c r="F26" s="1631"/>
      <c r="G26" s="1648">
        <f>IF('Interactive Worksheet'!L120="yes",1,0)</f>
        <v>0</v>
      </c>
      <c r="H26" s="1633"/>
      <c r="I26" s="1647">
        <f>'Interactive Worksheet'!Q120</f>
        <v>0</v>
      </c>
      <c r="J26" s="1633"/>
      <c r="K26" s="1649">
        <f t="shared" si="0"/>
        <v>0</v>
      </c>
      <c r="L26" s="1650">
        <f>G26*I26*0.5</f>
        <v>0</v>
      </c>
      <c r="M26" s="1631"/>
      <c r="N26" s="2023">
        <v>0</v>
      </c>
      <c r="O26" s="1633"/>
      <c r="P26" s="1643">
        <f>N26*0.5</f>
        <v>0</v>
      </c>
      <c r="Q26" s="1650">
        <f t="shared" si="1"/>
        <v>0</v>
      </c>
      <c r="R26" s="1652">
        <f t="shared" si="2"/>
        <v>0</v>
      </c>
      <c r="S26" s="1631"/>
      <c r="T26" s="1653" t="s">
        <v>1000</v>
      </c>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2285"/>
      <c r="C27" s="1646" t="str">
        <f>'Space Program Data'!J18</f>
        <v>Spare PPE Gear Storage</v>
      </c>
      <c r="D27" s="1631"/>
      <c r="E27" s="1647"/>
      <c r="F27" s="1631"/>
      <c r="G27" s="1648">
        <f>IF(I27&gt;0,1,0)</f>
        <v>0</v>
      </c>
      <c r="H27" s="1633"/>
      <c r="I27" s="1647">
        <f>'Interactive Worksheet'!Q104</f>
        <v>0</v>
      </c>
      <c r="J27" s="1633"/>
      <c r="K27" s="1649">
        <f t="shared" si="0"/>
        <v>0</v>
      </c>
      <c r="L27" s="1650">
        <f>'Interactive Worksheet'!Q104</f>
        <v>0</v>
      </c>
      <c r="M27" s="1631"/>
      <c r="N27" s="2023">
        <v>0</v>
      </c>
      <c r="O27" s="1633"/>
      <c r="P27" s="1643">
        <f t="shared" si="3"/>
        <v>0</v>
      </c>
      <c r="Q27" s="1650">
        <f t="shared" si="1"/>
        <v>0</v>
      </c>
      <c r="R27" s="1652">
        <f t="shared" si="2"/>
        <v>0</v>
      </c>
      <c r="S27" s="1631"/>
      <c r="T27" s="1653"/>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2285"/>
      <c r="C28" s="1646" t="str">
        <f>'Space Program Data'!J24</f>
        <v>Vehicle Maintenance / Storage Bay</v>
      </c>
      <c r="D28" s="1631"/>
      <c r="E28" s="1647"/>
      <c r="F28" s="1631"/>
      <c r="G28" s="1648">
        <f>IF('Interactive Worksheet'!L106= "Yes",1,0)</f>
        <v>0</v>
      </c>
      <c r="H28" s="1633"/>
      <c r="I28" s="1647">
        <f>'Interactive Worksheet'!Q106</f>
        <v>0</v>
      </c>
      <c r="J28" s="1633"/>
      <c r="K28" s="1649">
        <f t="shared" si="0"/>
        <v>0</v>
      </c>
      <c r="L28" s="1650">
        <f>G28*I28</f>
        <v>0</v>
      </c>
      <c r="M28" s="1631"/>
      <c r="N28" s="2023">
        <v>0</v>
      </c>
      <c r="O28" s="1633"/>
      <c r="P28" s="1643">
        <f t="shared" si="3"/>
        <v>0</v>
      </c>
      <c r="Q28" s="1650">
        <f t="shared" si="1"/>
        <v>0</v>
      </c>
      <c r="R28" s="1652">
        <f t="shared" si="2"/>
        <v>0</v>
      </c>
      <c r="S28" s="1631"/>
      <c r="T28" s="1653"/>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2285"/>
      <c r="C29" s="1646" t="str">
        <f>'Space Program Data'!J11</f>
        <v>Vehicle Maintenance Equipment Storage</v>
      </c>
      <c r="D29" s="1631"/>
      <c r="E29" s="1647"/>
      <c r="F29" s="1631"/>
      <c r="G29" s="1648">
        <f>IF('Interactive Worksheet'!L110="Yes",1,0)</f>
        <v>0</v>
      </c>
      <c r="H29" s="1633"/>
      <c r="I29" s="1647">
        <f>'Interactive Worksheet'!Q110</f>
        <v>0</v>
      </c>
      <c r="J29" s="1633"/>
      <c r="K29" s="1649">
        <f t="shared" si="0"/>
        <v>0</v>
      </c>
      <c r="L29" s="1650">
        <f>G29*I29</f>
        <v>0</v>
      </c>
      <c r="M29" s="1631"/>
      <c r="N29" s="2023">
        <v>0</v>
      </c>
      <c r="O29" s="1633"/>
      <c r="P29" s="1643">
        <f t="shared" si="3"/>
        <v>0</v>
      </c>
      <c r="Q29" s="1650">
        <f t="shared" si="1"/>
        <v>0</v>
      </c>
      <c r="R29" s="1652">
        <f t="shared" si="2"/>
        <v>0</v>
      </c>
      <c r="S29" s="1631"/>
      <c r="T29" s="1653"/>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outlineLevel="1" x14ac:dyDescent="0.2">
      <c r="A30" s="17"/>
      <c r="B30" s="2285"/>
      <c r="C30" s="1646" t="str">
        <f>'Space Program Data'!J25</f>
        <v>Vehicle Maintenance Office</v>
      </c>
      <c r="D30" s="1631"/>
      <c r="E30" s="1647"/>
      <c r="F30" s="1631"/>
      <c r="G30" s="1648">
        <f>IF('Interactive Worksheet'!L108="Yes",1,0)</f>
        <v>0</v>
      </c>
      <c r="H30" s="1633"/>
      <c r="I30" s="1647">
        <f>'Interactive Worksheet'!Q108</f>
        <v>0</v>
      </c>
      <c r="J30" s="1633"/>
      <c r="K30" s="1649">
        <f t="shared" si="0"/>
        <v>0</v>
      </c>
      <c r="L30" s="1650">
        <f>G30*I30</f>
        <v>0</v>
      </c>
      <c r="M30" s="1631"/>
      <c r="N30" s="2023">
        <v>0</v>
      </c>
      <c r="O30" s="1633"/>
      <c r="P30" s="1643">
        <f t="shared" si="3"/>
        <v>0</v>
      </c>
      <c r="Q30" s="1650">
        <f t="shared" si="1"/>
        <v>0</v>
      </c>
      <c r="R30" s="1652">
        <f t="shared" si="2"/>
        <v>0</v>
      </c>
      <c r="S30" s="1631"/>
      <c r="T30" s="1653"/>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75" outlineLevel="1" thickBot="1" x14ac:dyDescent="0.25">
      <c r="A31" s="17"/>
      <c r="B31" s="2286"/>
      <c r="C31" s="1655" t="str">
        <f>'Space Program Data'!J10</f>
        <v>Work Room / Equipment Maintenance</v>
      </c>
      <c r="D31" s="1631"/>
      <c r="E31" s="1656"/>
      <c r="F31" s="1631"/>
      <c r="G31" s="1657">
        <f>IF(I31&gt;0,1,0)</f>
        <v>1</v>
      </c>
      <c r="H31" s="1633"/>
      <c r="I31" s="1656">
        <f>'Interactive Worksheet'!Q92</f>
        <v>120</v>
      </c>
      <c r="J31" s="1633"/>
      <c r="K31" s="1658">
        <f t="shared" si="0"/>
        <v>11.148</v>
      </c>
      <c r="L31" s="1650">
        <f>'Interactive Worksheet'!Q92</f>
        <v>120</v>
      </c>
      <c r="M31" s="1631"/>
      <c r="N31" s="2030">
        <v>120</v>
      </c>
      <c r="O31" s="1633"/>
      <c r="P31" s="1643">
        <f t="shared" si="3"/>
        <v>120</v>
      </c>
      <c r="Q31" s="1650">
        <f t="shared" si="1"/>
        <v>0</v>
      </c>
      <c r="R31" s="1659">
        <f t="shared" si="2"/>
        <v>0</v>
      </c>
      <c r="S31" s="1631"/>
      <c r="T31" s="1660"/>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1480" customFormat="1" ht="15.75" thickTop="1" x14ac:dyDescent="0.2">
      <c r="A32" s="1491"/>
      <c r="B32" s="2248" t="s">
        <v>399</v>
      </c>
      <c r="C32" s="2249"/>
      <c r="D32" s="1661"/>
      <c r="E32" s="1662"/>
      <c r="F32" s="1663"/>
      <c r="G32" s="1664"/>
      <c r="H32" s="1665"/>
      <c r="I32" s="1662"/>
      <c r="J32" s="1665"/>
      <c r="K32" s="1666">
        <f t="shared" si="0"/>
        <v>256.7756</v>
      </c>
      <c r="L32" s="1667">
        <f>SUM(L12:L31,L6)</f>
        <v>2764</v>
      </c>
      <c r="M32" s="1663"/>
      <c r="N32" s="1662">
        <f>SUM(N6:N31)</f>
        <v>3286</v>
      </c>
      <c r="O32" s="1665"/>
      <c r="P32" s="1668">
        <f>SUM(P12:P31,P6)</f>
        <v>3286</v>
      </c>
      <c r="Q32" s="1668">
        <f>SUM(Q12:Q31,Q6)</f>
        <v>522</v>
      </c>
      <c r="R32" s="1669">
        <f>IF(L32=0,0,Q32/L32)</f>
        <v>0.18885672937771347</v>
      </c>
      <c r="S32" s="1663"/>
      <c r="T32" s="1670"/>
    </row>
    <row r="33" spans="1:71" s="59" customFormat="1" ht="6.75" customHeight="1" x14ac:dyDescent="0.2">
      <c r="B33" s="1671"/>
      <c r="C33" s="1672"/>
      <c r="D33" s="1673"/>
      <c r="E33" s="1674"/>
      <c r="F33" s="1673"/>
      <c r="G33" s="1675"/>
      <c r="H33" s="1676"/>
      <c r="I33" s="1677"/>
      <c r="J33" s="1676"/>
      <c r="K33" s="1678"/>
      <c r="L33" s="1679"/>
      <c r="M33" s="1673"/>
      <c r="N33" s="1677"/>
      <c r="O33" s="1676"/>
      <c r="P33" s="1679"/>
      <c r="Q33" s="1679"/>
      <c r="R33" s="1678"/>
      <c r="S33" s="1673"/>
      <c r="T33" s="1574"/>
      <c r="V33" s="60"/>
    </row>
    <row r="34" spans="1:71" s="296" customFormat="1" ht="15.75" x14ac:dyDescent="0.25">
      <c r="A34" s="291"/>
      <c r="B34" s="2252" t="s">
        <v>266</v>
      </c>
      <c r="C34" s="2253"/>
      <c r="D34" s="1680"/>
      <c r="E34" s="1681"/>
      <c r="F34" s="1680"/>
      <c r="G34" s="1681"/>
      <c r="H34" s="1682"/>
      <c r="I34" s="1683"/>
      <c r="J34" s="1684"/>
      <c r="K34" s="1685"/>
      <c r="L34" s="1683"/>
      <c r="M34" s="1686"/>
      <c r="N34" s="1600" t="s">
        <v>955</v>
      </c>
      <c r="O34" s="1684"/>
      <c r="P34" s="1687"/>
      <c r="Q34" s="1683"/>
      <c r="R34" s="1688"/>
      <c r="S34" s="1686"/>
      <c r="T34" s="1683"/>
      <c r="U34" s="291"/>
      <c r="V34" s="295"/>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row>
    <row r="35" spans="1:71" s="676" customFormat="1" ht="15" outlineLevel="1" x14ac:dyDescent="0.2">
      <c r="A35" s="675"/>
      <c r="B35" s="2280" t="s">
        <v>937</v>
      </c>
      <c r="C35" s="1689" t="str">
        <f>'Space Program Data'!J57</f>
        <v>Day Room</v>
      </c>
      <c r="D35" s="1603"/>
      <c r="E35" s="1690">
        <f>'Interactive Worksheet'!I75</f>
        <v>8</v>
      </c>
      <c r="F35" s="1631"/>
      <c r="G35" s="1691">
        <f>IF(I35&gt;0,1,0)</f>
        <v>1</v>
      </c>
      <c r="H35" s="1633"/>
      <c r="I35" s="1690">
        <f>'Space Program Data'!H57</f>
        <v>120</v>
      </c>
      <c r="J35" s="1605"/>
      <c r="K35" s="1692">
        <f>L35*0.0929</f>
        <v>89.183999999999997</v>
      </c>
      <c r="L35" s="1693">
        <f>'Interactive Worksheet'!Q128</f>
        <v>960</v>
      </c>
      <c r="M35" s="1603"/>
      <c r="N35" s="2023">
        <v>977</v>
      </c>
      <c r="O35" s="1605"/>
      <c r="P35" s="1694">
        <f>N35</f>
        <v>977</v>
      </c>
      <c r="Q35" s="1694">
        <f>P35-L35</f>
        <v>17</v>
      </c>
      <c r="R35" s="1695">
        <f>IF(L35=0,0,Q35/L35)</f>
        <v>1.7708333333333333E-2</v>
      </c>
      <c r="S35" s="1603"/>
      <c r="T35" s="1696" t="s">
        <v>993</v>
      </c>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row>
    <row r="36" spans="1:71" s="5" customFormat="1" ht="15" hidden="1" outlineLevel="1" x14ac:dyDescent="0.2">
      <c r="A36" s="17"/>
      <c r="B36" s="2281"/>
      <c r="C36" s="1697" t="str">
        <f>'Space Program Data'!J69</f>
        <v>Host Nation Day Room</v>
      </c>
      <c r="D36" s="1631"/>
      <c r="E36" s="1698">
        <f>IF('Interactive Worksheet'!H161="Yes",'Interactive Worksheet'!M161,0)</f>
        <v>0</v>
      </c>
      <c r="F36" s="1631"/>
      <c r="G36" s="1699">
        <f>IF('Interactive Worksheet'!H161="Yes",1,0)</f>
        <v>0</v>
      </c>
      <c r="H36" s="1633"/>
      <c r="I36" s="1698">
        <f>'Interactive Worksheet'!Q161</f>
        <v>0</v>
      </c>
      <c r="J36" s="1633"/>
      <c r="K36" s="1700">
        <f>L36*0.0929</f>
        <v>0</v>
      </c>
      <c r="L36" s="1701">
        <f>'Interactive Worksheet'!Q161</f>
        <v>0</v>
      </c>
      <c r="M36" s="1631"/>
      <c r="N36" s="2025">
        <v>0</v>
      </c>
      <c r="O36" s="1633"/>
      <c r="P36" s="1701">
        <f>N36</f>
        <v>0</v>
      </c>
      <c r="Q36" s="1701">
        <f>P36-L36</f>
        <v>0</v>
      </c>
      <c r="R36" s="1702">
        <f>IF(L36=0,0,Q36/L36)</f>
        <v>0</v>
      </c>
      <c r="S36" s="1631"/>
      <c r="T36" s="1703"/>
      <c r="U36" s="17"/>
      <c r="V36" s="29"/>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row>
    <row r="37" spans="1:71" s="5" customFormat="1" ht="15" outlineLevel="1" x14ac:dyDescent="0.2">
      <c r="A37" s="17"/>
      <c r="B37" s="2281"/>
      <c r="C37" s="1704" t="str">
        <f>'Space Program Data'!J68</f>
        <v>Hoteling Stations</v>
      </c>
      <c r="D37" s="1631"/>
      <c r="E37" s="1705"/>
      <c r="F37" s="1631"/>
      <c r="G37" s="1706">
        <f>'Interactive Worksheet'!L163</f>
        <v>3</v>
      </c>
      <c r="H37" s="1633"/>
      <c r="I37" s="1705">
        <f>'Space Program Data'!H68</f>
        <v>40</v>
      </c>
      <c r="J37" s="1633"/>
      <c r="K37" s="1707">
        <f>L37*0.0929</f>
        <v>11.148</v>
      </c>
      <c r="L37" s="1693">
        <f>'Interactive Worksheet'!Q163</f>
        <v>120</v>
      </c>
      <c r="M37" s="1631"/>
      <c r="N37" s="2030">
        <v>120</v>
      </c>
      <c r="O37" s="1633"/>
      <c r="P37" s="1693">
        <f>N37</f>
        <v>120</v>
      </c>
      <c r="Q37" s="1693">
        <f>P37-L37</f>
        <v>0</v>
      </c>
      <c r="R37" s="1708">
        <f>IF(L37=0,0,Q37/L37)</f>
        <v>0</v>
      </c>
      <c r="S37" s="1631"/>
      <c r="T37" s="1709" t="s">
        <v>900</v>
      </c>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258" customFormat="1" ht="15" outlineLevel="1" x14ac:dyDescent="0.2">
      <c r="A38" s="248"/>
      <c r="B38" s="2281"/>
      <c r="C38" s="1710" t="str">
        <f>'Space Program Data'!J83</f>
        <v>Patio</v>
      </c>
      <c r="D38" s="1629"/>
      <c r="E38" s="1711"/>
      <c r="F38" s="1631"/>
      <c r="G38" s="1712">
        <v>1</v>
      </c>
      <c r="H38" s="1633"/>
      <c r="I38" s="1711">
        <f>'Interactive Worksheet'!Q291</f>
        <v>150</v>
      </c>
      <c r="J38" s="1633"/>
      <c r="K38" s="1692">
        <f>L38*0.0929</f>
        <v>6.9674999999999994</v>
      </c>
      <c r="L38" s="1701">
        <f>'Interactive Worksheet'!Q291*0.5</f>
        <v>75</v>
      </c>
      <c r="M38" s="1631"/>
      <c r="N38" s="2025">
        <v>150</v>
      </c>
      <c r="O38" s="1633"/>
      <c r="P38" s="1701">
        <f>N38*0.5</f>
        <v>75</v>
      </c>
      <c r="Q38" s="1701">
        <f>P38-L38</f>
        <v>0</v>
      </c>
      <c r="R38" s="1713">
        <f>IF(L38=0,0,Q38/L38)</f>
        <v>0</v>
      </c>
      <c r="S38" s="1631"/>
      <c r="T38" s="1714" t="s">
        <v>1000</v>
      </c>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row>
    <row r="39" spans="1:71" s="5" customFormat="1" ht="15" hidden="1" outlineLevel="1" x14ac:dyDescent="0.2">
      <c r="A39" s="17"/>
      <c r="B39" s="2282"/>
      <c r="C39" s="1704" t="str">
        <f>'Space Program Data'!J66</f>
        <v>Physical Therapy / Sauna</v>
      </c>
      <c r="D39" s="1631"/>
      <c r="E39" s="1705"/>
      <c r="F39" s="1631"/>
      <c r="G39" s="1706">
        <f>IF('Interactive Worksheet'!L157="yes",1,0)</f>
        <v>0</v>
      </c>
      <c r="H39" s="1633"/>
      <c r="I39" s="1705">
        <f>'Interactive Worksheet'!Q157</f>
        <v>0</v>
      </c>
      <c r="J39" s="1633"/>
      <c r="K39" s="1707">
        <f>L39*0.0929</f>
        <v>0</v>
      </c>
      <c r="L39" s="1693">
        <f>'Interactive Worksheet'!Q157</f>
        <v>0</v>
      </c>
      <c r="M39" s="1631"/>
      <c r="N39" s="2030">
        <v>0</v>
      </c>
      <c r="O39" s="1633"/>
      <c r="P39" s="1693">
        <f>N39</f>
        <v>0</v>
      </c>
      <c r="Q39" s="1693">
        <f>P39-L39</f>
        <v>0</v>
      </c>
      <c r="R39" s="1708">
        <f>IF(L39=0,0,Q39/L39)</f>
        <v>0</v>
      </c>
      <c r="S39" s="1631"/>
      <c r="T39" s="1709"/>
      <c r="U39" s="17"/>
      <c r="V39" s="29"/>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1" s="258" customFormat="1" ht="15" outlineLevel="1" x14ac:dyDescent="0.2">
      <c r="A40" s="248"/>
      <c r="B40" s="1715" t="s">
        <v>913</v>
      </c>
      <c r="C40" s="1716" t="str">
        <f>'Space Program Data'!J58</f>
        <v>Dorm Rooms</v>
      </c>
      <c r="D40" s="1631"/>
      <c r="E40" s="1717">
        <f>'Interactive Worksheet'!I75</f>
        <v>8</v>
      </c>
      <c r="F40" s="1631"/>
      <c r="G40" s="1717">
        <f>E40</f>
        <v>8</v>
      </c>
      <c r="H40" s="1633"/>
      <c r="I40" s="1717">
        <f>L40/G40</f>
        <v>108</v>
      </c>
      <c r="J40" s="1633"/>
      <c r="K40" s="1718">
        <f t="shared" ref="K40:K53" si="4">L40*0.0929</f>
        <v>80.265599999999992</v>
      </c>
      <c r="L40" s="1719">
        <f>'Interactive Worksheet'!Q138</f>
        <v>864</v>
      </c>
      <c r="M40" s="1631"/>
      <c r="N40" s="2026">
        <f>108*8</f>
        <v>864</v>
      </c>
      <c r="O40" s="1633"/>
      <c r="P40" s="1719">
        <f>N40</f>
        <v>864</v>
      </c>
      <c r="Q40" s="1719">
        <f t="shared" ref="Q40:Q41" si="5">P40-L40</f>
        <v>0</v>
      </c>
      <c r="R40" s="1720">
        <f t="shared" ref="R40:R41" si="6">IF(L40=0,0,Q40/L40)</f>
        <v>0</v>
      </c>
      <c r="S40" s="1631"/>
      <c r="T40" s="1721"/>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row>
    <row r="41" spans="1:71" s="258" customFormat="1" ht="15" outlineLevel="1" x14ac:dyDescent="0.2">
      <c r="A41" s="248"/>
      <c r="B41" s="2283" t="s">
        <v>932</v>
      </c>
      <c r="C41" s="1722" t="str">
        <f>'Space Program Data'!J63&amp;" - Female Responders"</f>
        <v>Bathrooms / Showers / Changing - Female Responders</v>
      </c>
      <c r="D41" s="1631"/>
      <c r="E41" s="1723"/>
      <c r="F41" s="1631"/>
      <c r="G41" s="1724">
        <f t="shared" ref="G41:G52" si="7">IF(I41&gt;0,1,0)</f>
        <v>1</v>
      </c>
      <c r="H41" s="1633"/>
      <c r="I41" s="1723">
        <f>Data!AJ14</f>
        <v>176</v>
      </c>
      <c r="J41" s="1633"/>
      <c r="K41" s="1725">
        <f t="shared" si="4"/>
        <v>16.3504</v>
      </c>
      <c r="L41" s="1726">
        <f>G41*I41</f>
        <v>176</v>
      </c>
      <c r="M41" s="1631"/>
      <c r="N41" s="2027">
        <v>208</v>
      </c>
      <c r="O41" s="1633"/>
      <c r="P41" s="1726">
        <f>N41</f>
        <v>208</v>
      </c>
      <c r="Q41" s="1726">
        <f t="shared" si="5"/>
        <v>32</v>
      </c>
      <c r="R41" s="1727">
        <f t="shared" si="6"/>
        <v>0.18181818181818182</v>
      </c>
      <c r="S41" s="1631"/>
      <c r="T41" s="172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37" customFormat="1" ht="15" outlineLevel="2" x14ac:dyDescent="0.2">
      <c r="A42" s="35"/>
      <c r="B42" s="2283"/>
      <c r="C42" s="1729" t="s">
        <v>747</v>
      </c>
      <c r="D42" s="1612"/>
      <c r="E42" s="1730"/>
      <c r="F42" s="1612"/>
      <c r="G42" s="1731">
        <f>'Interactive Worksheet'!J141</f>
        <v>2</v>
      </c>
      <c r="H42" s="1615"/>
      <c r="I42" s="1732"/>
      <c r="J42" s="1617"/>
      <c r="K42" s="1733">
        <f>'Interactive Worksheet'!J141</f>
        <v>2</v>
      </c>
      <c r="L42" s="1734"/>
      <c r="M42" s="1617"/>
      <c r="N42" s="1732"/>
      <c r="O42" s="1617"/>
      <c r="P42" s="1734"/>
      <c r="Q42" s="1734"/>
      <c r="R42" s="1735"/>
      <c r="S42" s="1617"/>
      <c r="T42" s="1736"/>
      <c r="U42" s="35"/>
      <c r="V42" s="36"/>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1" s="37" customFormat="1" ht="15" outlineLevel="2" x14ac:dyDescent="0.2">
      <c r="A43" s="35"/>
      <c r="B43" s="2283"/>
      <c r="C43" s="1729" t="s">
        <v>745</v>
      </c>
      <c r="D43" s="1612"/>
      <c r="E43" s="1730"/>
      <c r="F43" s="1612"/>
      <c r="G43" s="1731">
        <f>'Interactive Worksheet'!J142</f>
        <v>2</v>
      </c>
      <c r="H43" s="1615"/>
      <c r="I43" s="1732"/>
      <c r="J43" s="1617"/>
      <c r="K43" s="1733">
        <f>'Interactive Worksheet'!J142</f>
        <v>2</v>
      </c>
      <c r="L43" s="1734"/>
      <c r="M43" s="1617"/>
      <c r="N43" s="1732"/>
      <c r="O43" s="1617"/>
      <c r="P43" s="1734"/>
      <c r="Q43" s="1734"/>
      <c r="R43" s="1735"/>
      <c r="S43" s="1617"/>
      <c r="T43" s="1736"/>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2283"/>
      <c r="C44" s="1729" t="s">
        <v>748</v>
      </c>
      <c r="D44" s="1612"/>
      <c r="E44" s="1730"/>
      <c r="F44" s="1612"/>
      <c r="G44" s="1731">
        <f>'Interactive Worksheet'!J143</f>
        <v>1</v>
      </c>
      <c r="H44" s="1615"/>
      <c r="I44" s="1732"/>
      <c r="J44" s="1617"/>
      <c r="K44" s="1733">
        <f>'Interactive Worksheet'!J143</f>
        <v>1</v>
      </c>
      <c r="L44" s="1734"/>
      <c r="M44" s="1617"/>
      <c r="N44" s="1732"/>
      <c r="O44" s="1617"/>
      <c r="P44" s="1734"/>
      <c r="Q44" s="1734"/>
      <c r="R44" s="1735"/>
      <c r="S44" s="1617"/>
      <c r="T44" s="1736"/>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2283"/>
      <c r="C45" s="1729" t="s">
        <v>896</v>
      </c>
      <c r="D45" s="1612"/>
      <c r="E45" s="1730"/>
      <c r="F45" s="1612"/>
      <c r="G45" s="1731">
        <f>'Interactive Worksheet'!J144</f>
        <v>3</v>
      </c>
      <c r="H45" s="1615"/>
      <c r="I45" s="1732"/>
      <c r="J45" s="1617"/>
      <c r="K45" s="1733">
        <f>'Interactive Worksheet'!J144</f>
        <v>3</v>
      </c>
      <c r="L45" s="1734"/>
      <c r="M45" s="1617"/>
      <c r="N45" s="1732"/>
      <c r="O45" s="1617"/>
      <c r="P45" s="1734"/>
      <c r="Q45" s="1734"/>
      <c r="R45" s="1735"/>
      <c r="S45" s="1617"/>
      <c r="T45" s="1736"/>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258" customFormat="1" ht="15" outlineLevel="1" x14ac:dyDescent="0.2">
      <c r="A46" s="248"/>
      <c r="B46" s="2283"/>
      <c r="C46" s="1737" t="str">
        <f>'Space Program Data'!J63&amp;" - Male Responders"</f>
        <v>Bathrooms / Showers / Changing - Male Responders</v>
      </c>
      <c r="D46" s="1631"/>
      <c r="E46" s="1738"/>
      <c r="F46" s="1631"/>
      <c r="G46" s="1739">
        <f t="shared" ref="G46" si="8">IF(I46&gt;0,1,0)</f>
        <v>1</v>
      </c>
      <c r="H46" s="1633"/>
      <c r="I46" s="1738">
        <f>Data!AG14</f>
        <v>327</v>
      </c>
      <c r="J46" s="1633"/>
      <c r="K46" s="1740">
        <f t="shared" ref="K46" si="9">L46*0.0929</f>
        <v>30.378299999999999</v>
      </c>
      <c r="L46" s="1741">
        <f>G46*I46</f>
        <v>327</v>
      </c>
      <c r="M46" s="1631"/>
      <c r="N46" s="2023">
        <v>272</v>
      </c>
      <c r="O46" s="1633"/>
      <c r="P46" s="1741">
        <f>N46</f>
        <v>272</v>
      </c>
      <c r="Q46" s="1741">
        <f>P46-L46</f>
        <v>-55</v>
      </c>
      <c r="R46" s="1742">
        <f>IF(L46=0,0,Q46/L46)</f>
        <v>-0.16819571865443425</v>
      </c>
      <c r="S46" s="1631"/>
      <c r="T46" s="1743"/>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row>
    <row r="47" spans="1:71" s="37" customFormat="1" ht="15" outlineLevel="2" x14ac:dyDescent="0.2">
      <c r="A47" s="35"/>
      <c r="B47" s="2283"/>
      <c r="C47" s="1729" t="s">
        <v>747</v>
      </c>
      <c r="D47" s="1612"/>
      <c r="E47" s="1730"/>
      <c r="F47" s="1612"/>
      <c r="G47" s="1731">
        <f>'Interactive Worksheet'!J146</f>
        <v>3</v>
      </c>
      <c r="H47" s="1615"/>
      <c r="I47" s="1732"/>
      <c r="J47" s="1617"/>
      <c r="K47" s="1733">
        <f>'Interactive Worksheet'!J146</f>
        <v>3</v>
      </c>
      <c r="L47" s="1734"/>
      <c r="M47" s="1617"/>
      <c r="N47" s="1732"/>
      <c r="O47" s="1617"/>
      <c r="P47" s="1734"/>
      <c r="Q47" s="1734"/>
      <c r="R47" s="1735"/>
      <c r="S47" s="1617"/>
      <c r="T47" s="1736"/>
      <c r="U47" s="35"/>
      <c r="V47" s="36"/>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1" s="37" customFormat="1" ht="15" outlineLevel="2" x14ac:dyDescent="0.2">
      <c r="A48" s="35"/>
      <c r="B48" s="2283"/>
      <c r="C48" s="1729" t="s">
        <v>922</v>
      </c>
      <c r="D48" s="1612"/>
      <c r="E48" s="1730"/>
      <c r="F48" s="1612"/>
      <c r="G48" s="1731">
        <f>'Interactive Worksheet'!J147</f>
        <v>4</v>
      </c>
      <c r="H48" s="1615"/>
      <c r="I48" s="1732"/>
      <c r="J48" s="1617"/>
      <c r="K48" s="1733">
        <f>'Interactive Worksheet'!J147</f>
        <v>4</v>
      </c>
      <c r="L48" s="1734"/>
      <c r="M48" s="1617"/>
      <c r="N48" s="1732"/>
      <c r="O48" s="1617"/>
      <c r="P48" s="1734"/>
      <c r="Q48" s="1734"/>
      <c r="R48" s="1735"/>
      <c r="S48" s="1617"/>
      <c r="T48" s="1736" t="str">
        <f>"("&amp;ROUNDUP(K48/2,0)&amp;") Water Closet(s), ("&amp;ROUNDDOWN(K48/2,0)&amp;") Urinal(s)"</f>
        <v>(2) Water Closet(s), (2) Urinal(s)</v>
      </c>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2283"/>
      <c r="C49" s="1729" t="s">
        <v>748</v>
      </c>
      <c r="D49" s="1612"/>
      <c r="E49" s="1730"/>
      <c r="F49" s="1612"/>
      <c r="G49" s="1731">
        <f>'Interactive Worksheet'!J148</f>
        <v>2</v>
      </c>
      <c r="H49" s="1615"/>
      <c r="I49" s="1732"/>
      <c r="J49" s="1617"/>
      <c r="K49" s="1733">
        <f>'Interactive Worksheet'!J148</f>
        <v>2</v>
      </c>
      <c r="L49" s="1734"/>
      <c r="M49" s="1617"/>
      <c r="N49" s="1732"/>
      <c r="O49" s="1617"/>
      <c r="P49" s="1734"/>
      <c r="Q49" s="1734"/>
      <c r="R49" s="1735"/>
      <c r="S49" s="1617"/>
      <c r="T49" s="1736"/>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2283"/>
      <c r="C50" s="1744" t="s">
        <v>896</v>
      </c>
      <c r="D50" s="1612"/>
      <c r="E50" s="1745"/>
      <c r="F50" s="1612"/>
      <c r="G50" s="1746">
        <f>'Interactive Worksheet'!J149</f>
        <v>7</v>
      </c>
      <c r="H50" s="1615"/>
      <c r="I50" s="1747"/>
      <c r="J50" s="1617"/>
      <c r="K50" s="1734">
        <f>'Interactive Worksheet'!J149</f>
        <v>7</v>
      </c>
      <c r="L50" s="1734"/>
      <c r="M50" s="1617"/>
      <c r="N50" s="1747"/>
      <c r="O50" s="1617"/>
      <c r="P50" s="1734"/>
      <c r="Q50" s="1734"/>
      <c r="R50" s="1748"/>
      <c r="S50" s="1617"/>
      <c r="T50" s="1749"/>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5" customFormat="1" ht="15" outlineLevel="1" x14ac:dyDescent="0.2">
      <c r="A51" s="17"/>
      <c r="B51" s="1750" t="s">
        <v>934</v>
      </c>
      <c r="C51" s="1751" t="str">
        <f>'Space Program Data'!J65</f>
        <v>Laundry Room</v>
      </c>
      <c r="D51" s="1631"/>
      <c r="E51" s="1752"/>
      <c r="F51" s="1631"/>
      <c r="G51" s="1753">
        <f t="shared" si="7"/>
        <v>1</v>
      </c>
      <c r="H51" s="1633"/>
      <c r="I51" s="1752">
        <f>'Interactive Worksheet'!Q151</f>
        <v>96</v>
      </c>
      <c r="J51" s="1633"/>
      <c r="K51" s="1754">
        <f t="shared" si="4"/>
        <v>8.9184000000000001</v>
      </c>
      <c r="L51" s="1755">
        <f>'Interactive Worksheet'!Q151</f>
        <v>96</v>
      </c>
      <c r="M51" s="1631"/>
      <c r="N51" s="2026">
        <v>96</v>
      </c>
      <c r="O51" s="1633"/>
      <c r="P51" s="1755">
        <f>N51</f>
        <v>96</v>
      </c>
      <c r="Q51" s="1755">
        <f>P51-L51</f>
        <v>0</v>
      </c>
      <c r="R51" s="1756">
        <f>IF(L51=0,0,Q51/L51)</f>
        <v>0</v>
      </c>
      <c r="S51" s="1631"/>
      <c r="T51" s="1757"/>
      <c r="U51" s="17"/>
      <c r="V51" s="29"/>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258" customFormat="1" ht="15" outlineLevel="1" x14ac:dyDescent="0.2">
      <c r="A52" s="248"/>
      <c r="B52" s="1758" t="s">
        <v>935</v>
      </c>
      <c r="C52" s="1759" t="str">
        <f>'Space Program Data'!J64</f>
        <v>Fitness Room</v>
      </c>
      <c r="D52" s="1631"/>
      <c r="E52" s="1760"/>
      <c r="F52" s="1631"/>
      <c r="G52" s="1761">
        <f t="shared" si="7"/>
        <v>1</v>
      </c>
      <c r="H52" s="1633"/>
      <c r="I52" s="1760">
        <f>'Interactive Worksheet'!Q153</f>
        <v>480</v>
      </c>
      <c r="J52" s="1633"/>
      <c r="K52" s="1762">
        <f t="shared" si="4"/>
        <v>44.591999999999999</v>
      </c>
      <c r="L52" s="1763">
        <f>'Interactive Worksheet'!Q153</f>
        <v>480</v>
      </c>
      <c r="M52" s="1631"/>
      <c r="N52" s="2026">
        <v>465</v>
      </c>
      <c r="O52" s="1633"/>
      <c r="P52" s="1763">
        <f>N52</f>
        <v>465</v>
      </c>
      <c r="Q52" s="1763">
        <f>P52-L52</f>
        <v>-15</v>
      </c>
      <c r="R52" s="1764">
        <f>IF(L52=0,0,Q52/L52)</f>
        <v>-3.125E-2</v>
      </c>
      <c r="S52" s="1631"/>
      <c r="T52" s="1765"/>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row>
    <row r="53" spans="1:71" s="5" customFormat="1" ht="15.75" outlineLevel="1" thickBot="1" x14ac:dyDescent="0.25">
      <c r="A53" s="17"/>
      <c r="B53" s="1766" t="s">
        <v>936</v>
      </c>
      <c r="C53" s="1767" t="str">
        <f>'Space Program Data'!J67</f>
        <v>Recreation Room</v>
      </c>
      <c r="D53" s="1631"/>
      <c r="E53" s="1768"/>
      <c r="F53" s="1631"/>
      <c r="G53" s="1769">
        <f>IF('Interactive Worksheet'!L159="yes",1,0)</f>
        <v>1</v>
      </c>
      <c r="H53" s="1633"/>
      <c r="I53" s="1768">
        <f>'Interactive Worksheet'!Q159</f>
        <v>360</v>
      </c>
      <c r="J53" s="1633"/>
      <c r="K53" s="1770">
        <f t="shared" si="4"/>
        <v>33.443999999999996</v>
      </c>
      <c r="L53" s="1771">
        <f>'Interactive Worksheet'!Q159</f>
        <v>360</v>
      </c>
      <c r="M53" s="1631"/>
      <c r="N53" s="2026">
        <v>364</v>
      </c>
      <c r="O53" s="1633"/>
      <c r="P53" s="1771">
        <f>N53</f>
        <v>364</v>
      </c>
      <c r="Q53" s="1771">
        <f>P53-L53</f>
        <v>4</v>
      </c>
      <c r="R53" s="1772">
        <f>IF(L53=0,0,Q53/L53)</f>
        <v>1.1111111111111112E-2</v>
      </c>
      <c r="S53" s="1631"/>
      <c r="T53" s="1773"/>
      <c r="U53" s="17"/>
      <c r="V53" s="29"/>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s="1480" customFormat="1" ht="15.75" thickTop="1" x14ac:dyDescent="0.2">
      <c r="B54" s="2248" t="s">
        <v>398</v>
      </c>
      <c r="C54" s="2249"/>
      <c r="D54" s="1661"/>
      <c r="E54" s="1662"/>
      <c r="F54" s="1663"/>
      <c r="G54" s="1664"/>
      <c r="H54" s="1665"/>
      <c r="I54" s="1662"/>
      <c r="J54" s="1665"/>
      <c r="K54" s="1666">
        <f>L54*0.0929</f>
        <v>321.2482</v>
      </c>
      <c r="L54" s="1667">
        <f>SUM(L35:L53)</f>
        <v>3458</v>
      </c>
      <c r="M54" s="1663"/>
      <c r="N54" s="1662">
        <f>SUM(N35:N53)</f>
        <v>3516</v>
      </c>
      <c r="O54" s="1665"/>
      <c r="P54" s="1667">
        <f>SUM(P35:P53)</f>
        <v>3441</v>
      </c>
      <c r="Q54" s="1667">
        <f>SUM(Q35:Q53)</f>
        <v>-17</v>
      </c>
      <c r="R54" s="1774">
        <f>IF(L54=0,0,Q54/L54)</f>
        <v>-4.9161364950838634E-3</v>
      </c>
      <c r="S54" s="1663"/>
      <c r="T54" s="1670"/>
    </row>
    <row r="55" spans="1:71" s="59" customFormat="1" ht="6.95" customHeight="1" x14ac:dyDescent="0.2">
      <c r="B55" s="1671"/>
      <c r="C55" s="1672"/>
      <c r="D55" s="1673"/>
      <c r="E55" s="1674"/>
      <c r="F55" s="1673"/>
      <c r="G55" s="1675"/>
      <c r="H55" s="1676"/>
      <c r="I55" s="1677"/>
      <c r="J55" s="1633"/>
      <c r="K55" s="1678"/>
      <c r="L55" s="1679"/>
      <c r="M55" s="1631"/>
      <c r="N55" s="1677"/>
      <c r="O55" s="1633"/>
      <c r="P55" s="1679"/>
      <c r="Q55" s="1679"/>
      <c r="R55" s="1678"/>
      <c r="S55" s="1631"/>
      <c r="T55" s="1574"/>
      <c r="V55" s="60"/>
    </row>
    <row r="56" spans="1:71" s="5" customFormat="1" ht="15.75" customHeight="1" x14ac:dyDescent="0.25">
      <c r="A56" s="17"/>
      <c r="B56" s="2252" t="s">
        <v>273</v>
      </c>
      <c r="C56" s="2253"/>
      <c r="D56" s="1680"/>
      <c r="E56" s="1775"/>
      <c r="F56" s="1680"/>
      <c r="G56" s="1775"/>
      <c r="H56" s="1682"/>
      <c r="I56" s="1776"/>
      <c r="J56" s="1684"/>
      <c r="K56" s="1777"/>
      <c r="L56" s="1776"/>
      <c r="M56" s="1686"/>
      <c r="N56" s="1600" t="s">
        <v>955</v>
      </c>
      <c r="O56" s="1684"/>
      <c r="P56" s="1687"/>
      <c r="Q56" s="1776"/>
      <c r="R56" s="1778"/>
      <c r="S56" s="1686"/>
      <c r="T56" s="1776"/>
      <c r="U56" s="17"/>
      <c r="V56" s="29"/>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1" s="258" customFormat="1" ht="15" outlineLevel="1" x14ac:dyDescent="0.2">
      <c r="A57" s="248"/>
      <c r="B57" s="2269" t="s">
        <v>127</v>
      </c>
      <c r="C57" s="1779" t="str">
        <f>'Space Program Data'!J31</f>
        <v>Lobby Area</v>
      </c>
      <c r="D57" s="1603"/>
      <c r="E57" s="1780"/>
      <c r="F57" s="1631"/>
      <c r="G57" s="1781">
        <f>IF(I57&gt;0,1,0)</f>
        <v>1</v>
      </c>
      <c r="H57" s="1633"/>
      <c r="I57" s="1780">
        <f>'Interactive Worksheet'!Q174</f>
        <v>100</v>
      </c>
      <c r="J57" s="1633"/>
      <c r="K57" s="1782">
        <f>L57*0.0929</f>
        <v>9.2899999999999991</v>
      </c>
      <c r="L57" s="1783">
        <f>'Interactive Worksheet'!Q174</f>
        <v>100</v>
      </c>
      <c r="M57" s="1603"/>
      <c r="N57" s="2022">
        <v>0</v>
      </c>
      <c r="O57" s="1633"/>
      <c r="P57" s="1783">
        <f>N57</f>
        <v>0</v>
      </c>
      <c r="Q57" s="1783">
        <f>P57-L57</f>
        <v>-100</v>
      </c>
      <c r="R57" s="1784">
        <f>IF(L57=0,0,Q57/L57)</f>
        <v>-1</v>
      </c>
      <c r="S57" s="1603"/>
      <c r="T57" s="1785" t="s">
        <v>989</v>
      </c>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row>
    <row r="58" spans="1:71" s="364" customFormat="1" outlineLevel="1" x14ac:dyDescent="0.2">
      <c r="A58" s="350"/>
      <c r="B58" s="2270"/>
      <c r="C58" s="2033" t="str">
        <f>'Space Program Data'!J30</f>
        <v>Main Entry Vestibule</v>
      </c>
      <c r="D58" s="1631"/>
      <c r="E58" s="2034">
        <v>0</v>
      </c>
      <c r="F58" s="1631"/>
      <c r="G58" s="2035">
        <f>IF('Interactive Worksheet'!J172="Yes",1,0)</f>
        <v>1</v>
      </c>
      <c r="H58" s="1633"/>
      <c r="I58" s="2034">
        <f>'Interactive Worksheet'!Q172</f>
        <v>64</v>
      </c>
      <c r="J58" s="1633"/>
      <c r="K58" s="2036">
        <f>L58*0.0929</f>
        <v>5.9455999999999998</v>
      </c>
      <c r="L58" s="2037">
        <f>'Interactive Worksheet'!Q172</f>
        <v>64</v>
      </c>
      <c r="M58" s="1631"/>
      <c r="N58" s="2030">
        <v>95</v>
      </c>
      <c r="O58" s="1633"/>
      <c r="P58" s="2037">
        <f>N58</f>
        <v>95</v>
      </c>
      <c r="Q58" s="2037">
        <f>P58-L58</f>
        <v>31</v>
      </c>
      <c r="R58" s="2038">
        <f>IF(L58=0,0,Q58/L58)</f>
        <v>0.484375</v>
      </c>
      <c r="S58" s="1631"/>
      <c r="T58" s="2039"/>
      <c r="U58" s="350"/>
      <c r="V58" s="363"/>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row>
    <row r="59" spans="1:71" s="4" customFormat="1" outlineLevel="1" x14ac:dyDescent="0.2">
      <c r="A59" s="18"/>
      <c r="B59" s="2271" t="s">
        <v>941</v>
      </c>
      <c r="C59" s="2040" t="str">
        <f>'Space Program Data'!J76</f>
        <v>Public Toilet (ADA-compliant, unisex)</v>
      </c>
      <c r="D59" s="1603"/>
      <c r="E59" s="2041"/>
      <c r="F59" s="1631"/>
      <c r="G59" s="2042">
        <f>IF(I59&gt;0,1,0)</f>
        <v>1</v>
      </c>
      <c r="H59" s="1633"/>
      <c r="I59" s="2041">
        <f>'Interactive Worksheet'!Q176</f>
        <v>60</v>
      </c>
      <c r="J59" s="1633"/>
      <c r="K59" s="2043">
        <f>L59*0.0929</f>
        <v>5.5739999999999998</v>
      </c>
      <c r="L59" s="2043">
        <f>'Interactive Worksheet'!Q176</f>
        <v>60</v>
      </c>
      <c r="M59" s="1603"/>
      <c r="N59" s="2022">
        <v>51</v>
      </c>
      <c r="O59" s="1633"/>
      <c r="P59" s="2044">
        <f>N59</f>
        <v>51</v>
      </c>
      <c r="Q59" s="2044">
        <f>P59-L59</f>
        <v>-9</v>
      </c>
      <c r="R59" s="2045">
        <f>IF(L59=0,0,Q59/L59)</f>
        <v>-0.15</v>
      </c>
      <c r="S59" s="1603"/>
      <c r="T59" s="2046" t="s">
        <v>996</v>
      </c>
      <c r="U59" s="18"/>
      <c r="V59" s="16"/>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row>
    <row r="60" spans="1:71" s="4" customFormat="1" ht="14.25" hidden="1" customHeight="1" outlineLevel="1" x14ac:dyDescent="0.2">
      <c r="A60" s="18"/>
      <c r="B60" s="2272"/>
      <c r="C60" s="1793" t="s">
        <v>776</v>
      </c>
      <c r="D60" s="1631"/>
      <c r="E60" s="1794"/>
      <c r="F60" s="1631"/>
      <c r="G60" s="1795">
        <f>IF('Interactive Worksheet'!M225="Yes",2,0)</f>
        <v>0</v>
      </c>
      <c r="H60" s="1633"/>
      <c r="I60" s="1794" t="e">
        <f>'Interactive Worksheet'!Q225/G60</f>
        <v>#DIV/0!</v>
      </c>
      <c r="J60" s="1633"/>
      <c r="K60" s="1796">
        <f>L60*0.0929</f>
        <v>0</v>
      </c>
      <c r="L60" s="1796">
        <f>'Interactive Worksheet'!Q225</f>
        <v>0</v>
      </c>
      <c r="M60" s="1631"/>
      <c r="N60" s="2027">
        <v>0</v>
      </c>
      <c r="O60" s="1633"/>
      <c r="P60" s="1797">
        <f>N60</f>
        <v>0</v>
      </c>
      <c r="Q60" s="1797">
        <f>P60-L60</f>
        <v>0</v>
      </c>
      <c r="R60" s="1798">
        <f>IF(L60=0,0,Q60/L60)</f>
        <v>0</v>
      </c>
      <c r="S60" s="1631"/>
      <c r="T60" s="1799"/>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364" customFormat="1" hidden="1" outlineLevel="2" x14ac:dyDescent="0.2">
      <c r="A61" s="350"/>
      <c r="B61" s="2272"/>
      <c r="C61" s="2047" t="s">
        <v>923</v>
      </c>
      <c r="D61" s="1612"/>
      <c r="E61" s="1804"/>
      <c r="F61" s="1612"/>
      <c r="G61" s="1805">
        <f>'Interactive Worksheet'!J228</f>
        <v>1</v>
      </c>
      <c r="H61" s="1615"/>
      <c r="I61" s="1806"/>
      <c r="J61" s="1617"/>
      <c r="K61" s="1801"/>
      <c r="L61" s="1801"/>
      <c r="M61" s="1617"/>
      <c r="N61" s="1806"/>
      <c r="O61" s="1617"/>
      <c r="P61" s="1802"/>
      <c r="Q61" s="1802"/>
      <c r="R61" s="1803"/>
      <c r="S61" s="1617"/>
      <c r="T61" s="1807"/>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row>
    <row r="62" spans="1:71" s="258" customFormat="1" ht="15" hidden="1" customHeight="1" outlineLevel="2" x14ac:dyDescent="0.2">
      <c r="A62" s="248"/>
      <c r="B62" s="2272"/>
      <c r="C62" s="2047" t="s">
        <v>924</v>
      </c>
      <c r="D62" s="1612"/>
      <c r="E62" s="1804"/>
      <c r="F62" s="1612"/>
      <c r="G62" s="1805">
        <f>'Interactive Worksheet'!J229</f>
        <v>1</v>
      </c>
      <c r="H62" s="1615"/>
      <c r="I62" s="1806"/>
      <c r="J62" s="1617"/>
      <c r="K62" s="1801"/>
      <c r="L62" s="1801"/>
      <c r="M62" s="1617"/>
      <c r="N62" s="1806"/>
      <c r="O62" s="1617"/>
      <c r="P62" s="1802"/>
      <c r="Q62" s="1802"/>
      <c r="R62" s="1803"/>
      <c r="S62" s="1617"/>
      <c r="T62" s="1807"/>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row>
    <row r="63" spans="1:71" s="258" customFormat="1" ht="15" hidden="1" outlineLevel="2" x14ac:dyDescent="0.2">
      <c r="A63" s="248"/>
      <c r="B63" s="2272"/>
      <c r="C63" s="2047" t="s">
        <v>925</v>
      </c>
      <c r="D63" s="1612"/>
      <c r="E63" s="1804"/>
      <c r="F63" s="1612"/>
      <c r="G63" s="1805">
        <f>'Interactive Worksheet'!J231</f>
        <v>2</v>
      </c>
      <c r="H63" s="1615"/>
      <c r="I63" s="1806"/>
      <c r="J63" s="1617"/>
      <c r="K63" s="1801"/>
      <c r="L63" s="1801"/>
      <c r="M63" s="1617"/>
      <c r="N63" s="1806"/>
      <c r="O63" s="1617"/>
      <c r="P63" s="1802"/>
      <c r="Q63" s="1802"/>
      <c r="R63" s="1803"/>
      <c r="S63" s="1617"/>
      <c r="T63" s="1807"/>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4" customFormat="1" hidden="1" outlineLevel="2" x14ac:dyDescent="0.2">
      <c r="A64" s="18"/>
      <c r="B64" s="2272"/>
      <c r="C64" s="2047" t="s">
        <v>926</v>
      </c>
      <c r="D64" s="1612"/>
      <c r="E64" s="1804"/>
      <c r="F64" s="1612"/>
      <c r="G64" s="1805">
        <f>'Interactive Worksheet'!J232</f>
        <v>2</v>
      </c>
      <c r="H64" s="1615"/>
      <c r="I64" s="1806"/>
      <c r="J64" s="1617"/>
      <c r="K64" s="1801"/>
      <c r="L64" s="1801"/>
      <c r="M64" s="1617"/>
      <c r="N64" s="1806"/>
      <c r="O64" s="1617"/>
      <c r="P64" s="1802"/>
      <c r="Q64" s="1802"/>
      <c r="R64" s="1803"/>
      <c r="S64" s="1617"/>
      <c r="T64" s="1807"/>
      <c r="U64" s="18"/>
      <c r="V64" s="16"/>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row>
    <row r="65" spans="1:71" s="4" customFormat="1" outlineLevel="1" collapsed="1" x14ac:dyDescent="0.2">
      <c r="A65" s="18"/>
      <c r="B65" s="2272"/>
      <c r="C65" s="1800" t="str">
        <f>'Space Program Data'!J43</f>
        <v>Administration &amp; Training Break Room</v>
      </c>
      <c r="D65" s="1631"/>
      <c r="E65" s="1808"/>
      <c r="F65" s="1631"/>
      <c r="G65" s="1809">
        <f>IF('Interactive Worksheet'!M223="Yes",1,0)</f>
        <v>1</v>
      </c>
      <c r="H65" s="1633"/>
      <c r="I65" s="1808">
        <f>'Space Program Data'!H43</f>
        <v>100</v>
      </c>
      <c r="J65" s="1633"/>
      <c r="K65" s="1801">
        <f t="shared" ref="K65:K70" si="10">L65*0.0929</f>
        <v>9.2899999999999991</v>
      </c>
      <c r="L65" s="1801">
        <f>G65*I65</f>
        <v>100</v>
      </c>
      <c r="M65" s="1631"/>
      <c r="N65" s="2023">
        <v>98</v>
      </c>
      <c r="O65" s="1633"/>
      <c r="P65" s="1802">
        <f>N65</f>
        <v>98</v>
      </c>
      <c r="Q65" s="1802">
        <f t="shared" ref="Q65:Q84" si="11">P65-L65</f>
        <v>-2</v>
      </c>
      <c r="R65" s="1803">
        <f t="shared" ref="R65:R84" si="12">IF(L65=0,0,Q65/L65)</f>
        <v>-0.02</v>
      </c>
      <c r="S65" s="1631"/>
      <c r="T65" s="1810"/>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ht="15" customHeight="1" outlineLevel="1" x14ac:dyDescent="0.2">
      <c r="A66" s="18"/>
      <c r="B66" s="2272"/>
      <c r="C66" s="1800" t="str">
        <f>'Space Program Data'!J32</f>
        <v>Administration Assistant</v>
      </c>
      <c r="D66" s="1603"/>
      <c r="E66" s="1808">
        <f>G66</f>
        <v>0</v>
      </c>
      <c r="F66" s="1631"/>
      <c r="G66" s="1809">
        <f>IF(I66&gt;0,1,0)</f>
        <v>0</v>
      </c>
      <c r="H66" s="1633"/>
      <c r="I66" s="1808">
        <f>'Interactive Worksheet'!Q187</f>
        <v>0</v>
      </c>
      <c r="J66" s="1633"/>
      <c r="K66" s="1801">
        <f t="shared" si="10"/>
        <v>0</v>
      </c>
      <c r="L66" s="1802">
        <f>'Interactive Worksheet'!Q187</f>
        <v>0</v>
      </c>
      <c r="M66" s="1603"/>
      <c r="N66" s="2023">
        <v>0</v>
      </c>
      <c r="O66" s="1633"/>
      <c r="P66" s="1802">
        <f t="shared" ref="P66:P80" si="13">N66</f>
        <v>0</v>
      </c>
      <c r="Q66" s="1802">
        <f t="shared" si="11"/>
        <v>0</v>
      </c>
      <c r="R66" s="1811">
        <f t="shared" si="12"/>
        <v>0</v>
      </c>
      <c r="S66" s="1603"/>
      <c r="T66" s="1810"/>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2272"/>
      <c r="C67" s="1800" t="str">
        <f>'Space Program Data'!J33</f>
        <v>Assistant Chief / Shift Supervisor</v>
      </c>
      <c r="D67" s="1603"/>
      <c r="E67" s="1808">
        <f>IF('Interactive Worksheet'!J189="yes",1,0)</f>
        <v>1</v>
      </c>
      <c r="F67" s="1631"/>
      <c r="G67" s="1809">
        <f>IF('Interactive Worksheet'!J189="yes",1,0)</f>
        <v>1</v>
      </c>
      <c r="H67" s="1633"/>
      <c r="I67" s="1808">
        <f>'Interactive Worksheet'!Q189</f>
        <v>120</v>
      </c>
      <c r="J67" s="1633"/>
      <c r="K67" s="1801">
        <f t="shared" si="10"/>
        <v>11.148</v>
      </c>
      <c r="L67" s="1802">
        <f>'Interactive Worksheet'!Q189</f>
        <v>120</v>
      </c>
      <c r="M67" s="1603"/>
      <c r="N67" s="2023">
        <v>120</v>
      </c>
      <c r="O67" s="1633"/>
      <c r="P67" s="1802">
        <f t="shared" si="13"/>
        <v>120</v>
      </c>
      <c r="Q67" s="1802">
        <f t="shared" si="11"/>
        <v>0</v>
      </c>
      <c r="R67" s="1811">
        <f t="shared" si="12"/>
        <v>0</v>
      </c>
      <c r="S67" s="1603"/>
      <c r="T67" s="1812" t="s">
        <v>802</v>
      </c>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2272"/>
      <c r="C68" s="1800" t="str">
        <f>'Space Program Data'!J34</f>
        <v>Assistant Chief of Fire Prevention</v>
      </c>
      <c r="D68" s="1603"/>
      <c r="E68" s="1808">
        <f>IF('Interactive Worksheet'!J192="yes",1,0)</f>
        <v>0</v>
      </c>
      <c r="F68" s="1631"/>
      <c r="G68" s="1808">
        <f>IF('Interactive Worksheet'!J192="yes",1,0)</f>
        <v>0</v>
      </c>
      <c r="H68" s="1633"/>
      <c r="I68" s="1808">
        <f>'Interactive Worksheet'!Q192</f>
        <v>0</v>
      </c>
      <c r="J68" s="1633"/>
      <c r="K68" s="1801">
        <f t="shared" si="10"/>
        <v>0</v>
      </c>
      <c r="L68" s="1802">
        <f>'Interactive Worksheet'!Q192</f>
        <v>0</v>
      </c>
      <c r="M68" s="1603"/>
      <c r="N68" s="2023">
        <v>0</v>
      </c>
      <c r="O68" s="1633"/>
      <c r="P68" s="1802">
        <f t="shared" si="13"/>
        <v>0</v>
      </c>
      <c r="Q68" s="1802">
        <f t="shared" si="11"/>
        <v>0</v>
      </c>
      <c r="R68" s="1811">
        <f t="shared" si="12"/>
        <v>0</v>
      </c>
      <c r="S68" s="1603"/>
      <c r="T68" s="1810"/>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2272"/>
      <c r="C69" s="1800" t="s">
        <v>838</v>
      </c>
      <c r="D69" s="1603"/>
      <c r="E69" s="1808"/>
      <c r="F69" s="1631"/>
      <c r="G69" s="1809"/>
      <c r="H69" s="1633"/>
      <c r="I69" s="1808">
        <f>'Interactive Worksheet'!Q190</f>
        <v>0</v>
      </c>
      <c r="J69" s="1633"/>
      <c r="K69" s="1801">
        <f t="shared" si="10"/>
        <v>0</v>
      </c>
      <c r="L69" s="1802">
        <f>'Interactive Worksheet'!Q190</f>
        <v>0</v>
      </c>
      <c r="M69" s="1603"/>
      <c r="N69" s="2023">
        <v>0</v>
      </c>
      <c r="O69" s="1633"/>
      <c r="P69" s="1802">
        <f t="shared" si="13"/>
        <v>0</v>
      </c>
      <c r="Q69" s="1802">
        <f t="shared" si="11"/>
        <v>0</v>
      </c>
      <c r="R69" s="1811">
        <f t="shared" si="12"/>
        <v>0</v>
      </c>
      <c r="S69" s="1603"/>
      <c r="T69" s="1812"/>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5" customFormat="1" ht="15" hidden="1" customHeight="1" outlineLevel="1" x14ac:dyDescent="0.2">
      <c r="A70" s="17"/>
      <c r="B70" s="2272"/>
      <c r="C70" s="1800" t="s">
        <v>905</v>
      </c>
      <c r="D70" s="1631"/>
      <c r="E70" s="1808"/>
      <c r="F70" s="1631"/>
      <c r="G70" s="1808">
        <f>IF('Interactive Worksheet'!J183="Yes",1,0)</f>
        <v>0</v>
      </c>
      <c r="H70" s="1633"/>
      <c r="I70" s="1808">
        <f>'Interactive Worksheet'!Q183</f>
        <v>0</v>
      </c>
      <c r="J70" s="1633"/>
      <c r="K70" s="1801">
        <f t="shared" si="10"/>
        <v>0</v>
      </c>
      <c r="L70" s="1802">
        <f>'Interactive Worksheet'!Q183</f>
        <v>0</v>
      </c>
      <c r="M70" s="1631"/>
      <c r="N70" s="2023">
        <v>0</v>
      </c>
      <c r="O70" s="1633"/>
      <c r="P70" s="1802">
        <f t="shared" si="13"/>
        <v>0</v>
      </c>
      <c r="Q70" s="1802">
        <f t="shared" si="11"/>
        <v>0</v>
      </c>
      <c r="R70" s="1811">
        <f t="shared" si="12"/>
        <v>0</v>
      </c>
      <c r="S70" s="1631"/>
      <c r="T70" s="1810" t="s">
        <v>997</v>
      </c>
      <c r="U70" s="17"/>
      <c r="V70" s="29"/>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258" customFormat="1" ht="15" hidden="1" customHeight="1" outlineLevel="1" x14ac:dyDescent="0.2">
      <c r="A71" s="248"/>
      <c r="B71" s="2272"/>
      <c r="C71" s="1800" t="str">
        <f>'Space Program Data'!J28</f>
        <v>Chief's Conference Room</v>
      </c>
      <c r="D71" s="1603"/>
      <c r="E71" s="1808"/>
      <c r="F71" s="1631"/>
      <c r="G71" s="1809">
        <f>IF(I71&gt;0,1,0)</f>
        <v>0</v>
      </c>
      <c r="H71" s="1633"/>
      <c r="I71" s="1808">
        <f>'Interactive Worksheet'!Q181</f>
        <v>0</v>
      </c>
      <c r="J71" s="1633"/>
      <c r="K71" s="1801">
        <f t="shared" ref="K71:K91" si="14">L71*0.0929</f>
        <v>0</v>
      </c>
      <c r="L71" s="1802">
        <f>'Interactive Worksheet'!Q181</f>
        <v>0</v>
      </c>
      <c r="M71" s="1603"/>
      <c r="N71" s="2023">
        <v>0</v>
      </c>
      <c r="O71" s="1633"/>
      <c r="P71" s="1802">
        <f t="shared" si="13"/>
        <v>0</v>
      </c>
      <c r="Q71" s="1802">
        <f t="shared" si="11"/>
        <v>0</v>
      </c>
      <c r="R71" s="1811">
        <f t="shared" si="12"/>
        <v>0</v>
      </c>
      <c r="S71" s="1603"/>
      <c r="T71" s="1810"/>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row>
    <row r="72" spans="1:71" s="258" customFormat="1" ht="15" hidden="1" customHeight="1" outlineLevel="1" x14ac:dyDescent="0.2">
      <c r="A72" s="248"/>
      <c r="B72" s="2272"/>
      <c r="C72" s="1800" t="str">
        <f>'Space Program Data'!J29</f>
        <v>Deputy Chief's Office</v>
      </c>
      <c r="D72" s="1631"/>
      <c r="E72" s="1808">
        <f>G72</f>
        <v>0</v>
      </c>
      <c r="F72" s="1631"/>
      <c r="G72" s="1809">
        <f>IF('Interactive Worksheet'!J185="yes",1,0)</f>
        <v>0</v>
      </c>
      <c r="H72" s="1633"/>
      <c r="I72" s="1808">
        <f>'Interactive Worksheet'!Q185</f>
        <v>0</v>
      </c>
      <c r="J72" s="1633"/>
      <c r="K72" s="1801">
        <f t="shared" si="14"/>
        <v>0</v>
      </c>
      <c r="L72" s="1802">
        <f>'Interactive Worksheet'!Q185</f>
        <v>0</v>
      </c>
      <c r="M72" s="1631"/>
      <c r="N72" s="2023">
        <v>0</v>
      </c>
      <c r="O72" s="1633"/>
      <c r="P72" s="1802">
        <f t="shared" si="13"/>
        <v>0</v>
      </c>
      <c r="Q72" s="1802">
        <f t="shared" si="11"/>
        <v>0</v>
      </c>
      <c r="R72" s="1811">
        <f t="shared" si="12"/>
        <v>0</v>
      </c>
      <c r="S72" s="1631"/>
      <c r="T72" s="1810"/>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4" customFormat="1" hidden="1" outlineLevel="1" x14ac:dyDescent="0.2">
      <c r="A73" s="18"/>
      <c r="B73" s="2272"/>
      <c r="C73" s="1800" t="str">
        <f>'Space Program Data'!J36</f>
        <v>EMS Office</v>
      </c>
      <c r="D73" s="1603"/>
      <c r="E73" s="1808"/>
      <c r="F73" s="1631"/>
      <c r="G73" s="1809">
        <f>IF('Interactive Worksheet'!J196="yes",1,0)</f>
        <v>0</v>
      </c>
      <c r="H73" s="1633"/>
      <c r="I73" s="1808">
        <f>'Interactive Worksheet'!Q196</f>
        <v>0</v>
      </c>
      <c r="J73" s="1633"/>
      <c r="K73" s="1801">
        <f t="shared" si="14"/>
        <v>0</v>
      </c>
      <c r="L73" s="1802">
        <f>'Interactive Worksheet'!Q196</f>
        <v>0</v>
      </c>
      <c r="M73" s="1603"/>
      <c r="N73" s="2023">
        <v>0</v>
      </c>
      <c r="O73" s="1633"/>
      <c r="P73" s="1802">
        <f t="shared" si="13"/>
        <v>0</v>
      </c>
      <c r="Q73" s="1802">
        <f t="shared" si="11"/>
        <v>0</v>
      </c>
      <c r="R73" s="1811">
        <f t="shared" si="12"/>
        <v>0</v>
      </c>
      <c r="S73" s="1603"/>
      <c r="T73" s="1810"/>
      <c r="U73" s="18"/>
      <c r="V73" s="16"/>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row>
    <row r="74" spans="1:71" s="5" customFormat="1" ht="15" hidden="1" customHeight="1" outlineLevel="1" x14ac:dyDescent="0.2">
      <c r="A74" s="17"/>
      <c r="B74" s="2272"/>
      <c r="C74" s="1800" t="s">
        <v>772</v>
      </c>
      <c r="D74" s="1631"/>
      <c r="E74" s="1808"/>
      <c r="F74" s="1631"/>
      <c r="G74" s="1808">
        <f>IF('Interactive Worksheet'!J178="Yes",1,0)</f>
        <v>0</v>
      </c>
      <c r="H74" s="1633"/>
      <c r="I74" s="1808">
        <f>'Interactive Worksheet'!Q179</f>
        <v>0</v>
      </c>
      <c r="J74" s="1633"/>
      <c r="K74" s="1801">
        <f t="shared" si="14"/>
        <v>0</v>
      </c>
      <c r="L74" s="1802">
        <f>'Interactive Worksheet'!Q179</f>
        <v>0</v>
      </c>
      <c r="M74" s="1631"/>
      <c r="N74" s="2023">
        <v>0</v>
      </c>
      <c r="O74" s="1633"/>
      <c r="P74" s="1802">
        <f t="shared" si="13"/>
        <v>0</v>
      </c>
      <c r="Q74" s="1802">
        <f t="shared" si="11"/>
        <v>0</v>
      </c>
      <c r="R74" s="1811">
        <f t="shared" si="12"/>
        <v>0</v>
      </c>
      <c r="S74" s="1631"/>
      <c r="T74" s="1810"/>
      <c r="U74" s="17"/>
      <c r="V74" s="29"/>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row>
    <row r="75" spans="1:71" s="37" customFormat="1" ht="15" hidden="1" outlineLevel="1" x14ac:dyDescent="0.2">
      <c r="A75" s="35"/>
      <c r="B75" s="2272"/>
      <c r="C75" s="1793" t="str">
        <f>'Space Program Data'!J27</f>
        <v>Fire Chief's Office</v>
      </c>
      <c r="D75" s="1631"/>
      <c r="E75" s="1794">
        <f>G75</f>
        <v>0</v>
      </c>
      <c r="F75" s="1631"/>
      <c r="G75" s="1794">
        <f>IF(I75&gt;0,1,0)</f>
        <v>0</v>
      </c>
      <c r="H75" s="1633"/>
      <c r="I75" s="1794">
        <f>'Interactive Worksheet'!Q178</f>
        <v>0</v>
      </c>
      <c r="J75" s="1633"/>
      <c r="K75" s="1801">
        <f t="shared" si="14"/>
        <v>0</v>
      </c>
      <c r="L75" s="1802">
        <f>'Interactive Worksheet'!Q178</f>
        <v>0</v>
      </c>
      <c r="M75" s="1631"/>
      <c r="N75" s="2027">
        <v>0</v>
      </c>
      <c r="O75" s="1633"/>
      <c r="P75" s="1802">
        <f t="shared" si="13"/>
        <v>0</v>
      </c>
      <c r="Q75" s="1802">
        <f t="shared" si="11"/>
        <v>0</v>
      </c>
      <c r="R75" s="1811">
        <f t="shared" si="12"/>
        <v>0</v>
      </c>
      <c r="S75" s="1631"/>
      <c r="T75" s="1799"/>
      <c r="U75" s="35"/>
      <c r="V75" s="36"/>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row>
    <row r="76" spans="1:71" s="37" customFormat="1" ht="15" outlineLevel="1" x14ac:dyDescent="0.2">
      <c r="A76" s="35"/>
      <c r="B76" s="2272"/>
      <c r="C76" s="1793" t="str">
        <f>'Space Program Data'!J49</f>
        <v>General Administration Storage</v>
      </c>
      <c r="D76" s="1631"/>
      <c r="E76" s="1794"/>
      <c r="F76" s="1631"/>
      <c r="G76" s="1795">
        <f>IF(I76&gt;0,1,0)</f>
        <v>1</v>
      </c>
      <c r="H76" s="1633"/>
      <c r="I76" s="1813">
        <f>'Interactive Worksheet'!Q203</f>
        <v>80</v>
      </c>
      <c r="J76" s="1633"/>
      <c r="K76" s="1801">
        <f t="shared" si="14"/>
        <v>7.4319999999999995</v>
      </c>
      <c r="L76" s="1802">
        <f>'Interactive Worksheet'!Q203</f>
        <v>80</v>
      </c>
      <c r="M76" s="1631"/>
      <c r="N76" s="2028">
        <v>70</v>
      </c>
      <c r="O76" s="1633"/>
      <c r="P76" s="1802">
        <f t="shared" si="13"/>
        <v>70</v>
      </c>
      <c r="Q76" s="1802">
        <f t="shared" si="11"/>
        <v>-10</v>
      </c>
      <c r="R76" s="1811">
        <f t="shared" si="12"/>
        <v>-0.125</v>
      </c>
      <c r="S76" s="1631"/>
      <c r="T76" s="1799"/>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hidden="1" outlineLevel="1" x14ac:dyDescent="0.2">
      <c r="A77" s="35"/>
      <c r="B77" s="2272"/>
      <c r="C77" s="1793" t="str">
        <f>'Space Program Data'!J37</f>
        <v>HAZMAT / Safety Office</v>
      </c>
      <c r="D77" s="1603"/>
      <c r="E77" s="1794"/>
      <c r="F77" s="1631"/>
      <c r="G77" s="1795">
        <f>IF('Interactive Worksheet'!J198="yes",1,0)</f>
        <v>0</v>
      </c>
      <c r="H77" s="1633"/>
      <c r="I77" s="1794">
        <f>'Interactive Worksheet'!Q198</f>
        <v>0</v>
      </c>
      <c r="J77" s="1633"/>
      <c r="K77" s="1801">
        <f t="shared" si="14"/>
        <v>0</v>
      </c>
      <c r="L77" s="1802">
        <f>'Interactive Worksheet'!Q198</f>
        <v>0</v>
      </c>
      <c r="M77" s="1603"/>
      <c r="N77" s="2027">
        <v>0</v>
      </c>
      <c r="O77" s="1633"/>
      <c r="P77" s="1802">
        <f t="shared" si="13"/>
        <v>0</v>
      </c>
      <c r="Q77" s="1802">
        <f t="shared" si="11"/>
        <v>0</v>
      </c>
      <c r="R77" s="1811">
        <f t="shared" si="12"/>
        <v>0</v>
      </c>
      <c r="S77" s="1603"/>
      <c r="T77" s="1799"/>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2272"/>
      <c r="C78" s="1793" t="str">
        <f>'Space Program Data'!J35</f>
        <v>Inspector's Office(s) / Workstation(s)</v>
      </c>
      <c r="D78" s="1603"/>
      <c r="E78" s="1794">
        <f>'Interactive Worksheet'!J194</f>
        <v>0</v>
      </c>
      <c r="F78" s="1631"/>
      <c r="G78" s="1795">
        <f>IF(E78&gt;0,1,0)</f>
        <v>0</v>
      </c>
      <c r="H78" s="1633"/>
      <c r="I78" s="1794">
        <f>'Interactive Worksheet'!Q194</f>
        <v>0</v>
      </c>
      <c r="J78" s="1633"/>
      <c r="K78" s="1801">
        <f t="shared" si="14"/>
        <v>0</v>
      </c>
      <c r="L78" s="1802">
        <f>'Interactive Worksheet'!Q194</f>
        <v>0</v>
      </c>
      <c r="M78" s="1603"/>
      <c r="N78" s="2027">
        <v>0</v>
      </c>
      <c r="O78" s="1633"/>
      <c r="P78" s="1802">
        <f t="shared" si="13"/>
        <v>0</v>
      </c>
      <c r="Q78" s="1802">
        <f t="shared" si="11"/>
        <v>0</v>
      </c>
      <c r="R78" s="1811">
        <f t="shared" si="12"/>
        <v>0</v>
      </c>
      <c r="S78" s="1603"/>
      <c r="T78" s="1799"/>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5" customFormat="1" ht="15" customHeight="1" outlineLevel="1" x14ac:dyDescent="0.2">
      <c r="A79" s="17"/>
      <c r="B79" s="2272"/>
      <c r="C79" s="1800" t="str">
        <f>'Space Program Data'!J26</f>
        <v>Station Chief Office / Watch Desk</v>
      </c>
      <c r="D79" s="1631"/>
      <c r="E79" s="1808"/>
      <c r="F79" s="1631"/>
      <c r="G79" s="1809">
        <f>IF(I79&gt;0,1,0)</f>
        <v>1</v>
      </c>
      <c r="H79" s="1633"/>
      <c r="I79" s="1808">
        <f>'Interactive Worksheet'!Q170</f>
        <v>120</v>
      </c>
      <c r="J79" s="1633"/>
      <c r="K79" s="1814">
        <f t="shared" si="14"/>
        <v>11.148</v>
      </c>
      <c r="L79" s="1802">
        <f>'Interactive Worksheet'!Q170</f>
        <v>120</v>
      </c>
      <c r="M79" s="1631"/>
      <c r="N79" s="2023">
        <v>120</v>
      </c>
      <c r="O79" s="1633"/>
      <c r="P79" s="1802">
        <f t="shared" si="13"/>
        <v>120</v>
      </c>
      <c r="Q79" s="1802">
        <f t="shared" si="11"/>
        <v>0</v>
      </c>
      <c r="R79" s="1811">
        <f t="shared" si="12"/>
        <v>0</v>
      </c>
      <c r="S79" s="1631"/>
      <c r="T79" s="1812" t="s">
        <v>994</v>
      </c>
      <c r="U79" s="17"/>
      <c r="V79" s="29"/>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row>
    <row r="80" spans="1:71" s="258" customFormat="1" ht="15" hidden="1" outlineLevel="1" x14ac:dyDescent="0.2">
      <c r="A80" s="248"/>
      <c r="B80" s="2272"/>
      <c r="C80" s="1815" t="str">
        <f>'Space Program Data'!J40&amp;" - "&amp;'Interactive Worksheet'!F205</f>
        <v>Union Representative - None</v>
      </c>
      <c r="D80" s="1631"/>
      <c r="E80" s="1816"/>
      <c r="F80" s="1631"/>
      <c r="G80" s="1817"/>
      <c r="H80" s="1633"/>
      <c r="I80" s="1816">
        <f>'Interactive Worksheet'!Q205</f>
        <v>0</v>
      </c>
      <c r="J80" s="1633"/>
      <c r="K80" s="1814">
        <f t="shared" si="14"/>
        <v>0</v>
      </c>
      <c r="L80" s="1802">
        <f>'Interactive Worksheet'!Q205</f>
        <v>0</v>
      </c>
      <c r="M80" s="1631"/>
      <c r="N80" s="2030">
        <v>0</v>
      </c>
      <c r="O80" s="1633"/>
      <c r="P80" s="1802">
        <f t="shared" si="13"/>
        <v>0</v>
      </c>
      <c r="Q80" s="1802">
        <f t="shared" si="11"/>
        <v>0</v>
      </c>
      <c r="R80" s="1818">
        <f t="shared" si="12"/>
        <v>0</v>
      </c>
      <c r="S80" s="1631"/>
      <c r="T80" s="1819"/>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row>
    <row r="81" spans="1:71" s="168" customFormat="1" ht="15" customHeight="1" outlineLevel="1" x14ac:dyDescent="0.2">
      <c r="A81" s="166"/>
      <c r="B81" s="2264" t="s">
        <v>940</v>
      </c>
      <c r="C81" s="1820" t="str">
        <f>'Space Program Data'!J47</f>
        <v>Computer Training / Testing Room</v>
      </c>
      <c r="D81" s="1631"/>
      <c r="E81" s="1821"/>
      <c r="F81" s="1603"/>
      <c r="G81" s="1822">
        <f>IF(I81&gt;0,1,0)</f>
        <v>1</v>
      </c>
      <c r="H81" s="1605"/>
      <c r="I81" s="1823">
        <f>'Interactive Worksheet'!Q215</f>
        <v>140</v>
      </c>
      <c r="J81" s="1605"/>
      <c r="K81" s="1824">
        <f t="shared" si="14"/>
        <v>13.006</v>
      </c>
      <c r="L81" s="1825">
        <f>'Interactive Worksheet'!Q215</f>
        <v>140</v>
      </c>
      <c r="M81" s="1631"/>
      <c r="N81" s="2022">
        <v>140</v>
      </c>
      <c r="O81" s="1605"/>
      <c r="P81" s="1825">
        <f t="shared" ref="P81:P90" si="15">N81</f>
        <v>140</v>
      </c>
      <c r="Q81" s="1825">
        <f t="shared" si="11"/>
        <v>0</v>
      </c>
      <c r="R81" s="1826">
        <f t="shared" si="12"/>
        <v>0</v>
      </c>
      <c r="S81" s="1631"/>
      <c r="T81" s="1827"/>
      <c r="U81" s="166"/>
      <c r="V81" s="167"/>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row>
    <row r="82" spans="1:71" s="5" customFormat="1" ht="15" hidden="1" outlineLevel="1" x14ac:dyDescent="0.2">
      <c r="A82" s="17"/>
      <c r="B82" s="2265"/>
      <c r="C82" s="1828" t="str">
        <f>'Space Program Data'!J46</f>
        <v>Training Officer Office</v>
      </c>
      <c r="D82" s="1829"/>
      <c r="E82" s="1830"/>
      <c r="F82" s="1829"/>
      <c r="G82" s="1831">
        <f>IF('Interactive Worksheet'!J209="yes",1,0)</f>
        <v>0</v>
      </c>
      <c r="H82" s="1633"/>
      <c r="I82" s="1830">
        <f>'Interactive Worksheet'!Q209</f>
        <v>0</v>
      </c>
      <c r="J82" s="1832"/>
      <c r="K82" s="1833">
        <f t="shared" si="14"/>
        <v>0</v>
      </c>
      <c r="L82" s="1834">
        <f>'Interactive Worksheet'!Q209</f>
        <v>0</v>
      </c>
      <c r="M82" s="1835"/>
      <c r="N82" s="2023">
        <v>0</v>
      </c>
      <c r="O82" s="1832"/>
      <c r="P82" s="1836">
        <f t="shared" si="15"/>
        <v>0</v>
      </c>
      <c r="Q82" s="1836">
        <f t="shared" si="11"/>
        <v>0</v>
      </c>
      <c r="R82" s="1837">
        <f t="shared" si="12"/>
        <v>0</v>
      </c>
      <c r="S82" s="1835"/>
      <c r="T82" s="1838" t="s">
        <v>803</v>
      </c>
      <c r="U82" s="17"/>
      <c r="V82" s="29" t="s">
        <v>447</v>
      </c>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row>
    <row r="83" spans="1:71" s="258" customFormat="1" ht="15" customHeight="1" outlineLevel="1" x14ac:dyDescent="0.2">
      <c r="A83" s="248"/>
      <c r="B83" s="2265"/>
      <c r="C83" s="1839" t="str">
        <f>'Space Program Data'!J44</f>
        <v>Training Room</v>
      </c>
      <c r="D83" s="1631"/>
      <c r="E83" s="1830">
        <f>'Interactive Worksheet'!M211</f>
        <v>12</v>
      </c>
      <c r="F83" s="1631"/>
      <c r="G83" s="1831">
        <f>IF(E83&gt;0,1,0)</f>
        <v>1</v>
      </c>
      <c r="H83" s="1633"/>
      <c r="I83" s="1830">
        <f>'Interactive Worksheet'!Q211</f>
        <v>336</v>
      </c>
      <c r="J83" s="1633"/>
      <c r="K83" s="1840">
        <f t="shared" si="14"/>
        <v>31.214399999999998</v>
      </c>
      <c r="L83" s="1836">
        <f>'Interactive Worksheet'!Q211</f>
        <v>336</v>
      </c>
      <c r="M83" s="1631"/>
      <c r="N83" s="2023">
        <v>345</v>
      </c>
      <c r="O83" s="1633"/>
      <c r="P83" s="1836">
        <f t="shared" si="15"/>
        <v>345</v>
      </c>
      <c r="Q83" s="1836">
        <f t="shared" si="11"/>
        <v>9</v>
      </c>
      <c r="R83" s="1837">
        <f t="shared" si="12"/>
        <v>2.6785714285714284E-2</v>
      </c>
      <c r="S83" s="1631"/>
      <c r="T83" s="1841"/>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row>
    <row r="84" spans="1:71" s="258" customFormat="1" ht="15.75" outlineLevel="1" thickBot="1" x14ac:dyDescent="0.25">
      <c r="A84" s="248"/>
      <c r="B84" s="2266"/>
      <c r="C84" s="1842" t="str">
        <f>'Space Program Data'!J45</f>
        <v>Training Room Storage</v>
      </c>
      <c r="D84" s="1631"/>
      <c r="E84" s="1843"/>
      <c r="F84" s="1631"/>
      <c r="G84" s="1844">
        <f>IF(I84&gt;0,1,0)</f>
        <v>1</v>
      </c>
      <c r="H84" s="1633"/>
      <c r="I84" s="1843">
        <f>'Interactive Worksheet'!Q213</f>
        <v>80</v>
      </c>
      <c r="J84" s="1633"/>
      <c r="K84" s="1845">
        <f t="shared" si="14"/>
        <v>7.4319999999999995</v>
      </c>
      <c r="L84" s="1846">
        <f>'Interactive Worksheet'!Q213</f>
        <v>80</v>
      </c>
      <c r="M84" s="1631"/>
      <c r="N84" s="2024">
        <v>85</v>
      </c>
      <c r="O84" s="1633"/>
      <c r="P84" s="1846">
        <f t="shared" si="15"/>
        <v>85</v>
      </c>
      <c r="Q84" s="1846">
        <f t="shared" si="11"/>
        <v>5</v>
      </c>
      <c r="R84" s="1847">
        <f t="shared" si="12"/>
        <v>6.25E-2</v>
      </c>
      <c r="S84" s="1631"/>
      <c r="T84" s="18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5" customFormat="1" ht="15" hidden="1" customHeight="1" outlineLevel="1" x14ac:dyDescent="0.2">
      <c r="A85" s="17"/>
      <c r="B85" s="2267" t="s">
        <v>939</v>
      </c>
      <c r="C85" s="1849" t="str">
        <f>'Space Program Data'!J38</f>
        <v>Logistics Office</v>
      </c>
      <c r="D85" s="1631"/>
      <c r="E85" s="1850"/>
      <c r="F85" s="1631"/>
      <c r="G85" s="1851">
        <f>IF('Interactive Worksheet'!J200="yes",1,0)</f>
        <v>0</v>
      </c>
      <c r="H85" s="1633"/>
      <c r="I85" s="1850">
        <f>'Interactive Worksheet'!Q200</f>
        <v>0</v>
      </c>
      <c r="J85" s="1633"/>
      <c r="K85" s="1852">
        <f t="shared" si="14"/>
        <v>0</v>
      </c>
      <c r="L85" s="1853">
        <f>'Interactive Worksheet'!Q200</f>
        <v>0</v>
      </c>
      <c r="M85" s="1631"/>
      <c r="N85" s="2022">
        <v>0</v>
      </c>
      <c r="O85" s="1633"/>
      <c r="P85" s="1853">
        <f t="shared" si="15"/>
        <v>0</v>
      </c>
      <c r="Q85" s="1853">
        <f t="shared" ref="Q85:Q86" si="16">P85-L85</f>
        <v>0</v>
      </c>
      <c r="R85" s="1854">
        <f t="shared" ref="R85" si="17">IF(L85=0,0,Q85/L85)</f>
        <v>0</v>
      </c>
      <c r="S85" s="1631"/>
      <c r="T85" s="1855"/>
      <c r="U85" s="17"/>
      <c r="V85" s="29"/>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row>
    <row r="86" spans="1:71" s="5" customFormat="1" ht="15" hidden="1" customHeight="1" outlineLevel="1" x14ac:dyDescent="0.2">
      <c r="A86" s="17"/>
      <c r="B86" s="2268"/>
      <c r="C86" s="1856" t="str">
        <f>'Space Program Data'!J39</f>
        <v>Logistics Storage</v>
      </c>
      <c r="D86" s="1631"/>
      <c r="E86" s="1857"/>
      <c r="F86" s="1631"/>
      <c r="G86" s="1858"/>
      <c r="H86" s="1633"/>
      <c r="I86" s="1857">
        <f>'Interactive Worksheet'!Q201</f>
        <v>0</v>
      </c>
      <c r="J86" s="1633"/>
      <c r="K86" s="1859">
        <f t="shared" si="14"/>
        <v>0</v>
      </c>
      <c r="L86" s="1860">
        <f>'Interactive Worksheet'!Q201</f>
        <v>0</v>
      </c>
      <c r="M86" s="1631"/>
      <c r="N86" s="2024">
        <v>0</v>
      </c>
      <c r="O86" s="1633"/>
      <c r="P86" s="1860">
        <f t="shared" si="15"/>
        <v>0</v>
      </c>
      <c r="Q86" s="1860">
        <f t="shared" si="16"/>
        <v>0</v>
      </c>
      <c r="R86" s="1861" t="e">
        <f>IF(L6=85,0,Q86/L86)</f>
        <v>#DIV/0!</v>
      </c>
      <c r="S86" s="1631"/>
      <c r="T86" s="1862"/>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outlineLevel="1" x14ac:dyDescent="0.2">
      <c r="A87" s="17"/>
      <c r="B87" s="2259" t="s">
        <v>938</v>
      </c>
      <c r="C87" s="1863" t="str">
        <f>'Space Program Data'!J73</f>
        <v>Air Force Reserve and Active Duty Mobility / Deployment Gear Stor.</v>
      </c>
      <c r="D87" s="1631"/>
      <c r="E87" s="1864"/>
      <c r="F87" s="1631"/>
      <c r="G87" s="1865">
        <f>IF('Interactive Worksheet'!L256="yes",1,0)</f>
        <v>0</v>
      </c>
      <c r="H87" s="1633"/>
      <c r="I87" s="1864">
        <f>'Interactive Worksheet'!Q256</f>
        <v>0</v>
      </c>
      <c r="J87" s="1633"/>
      <c r="K87" s="1866">
        <f t="shared" si="14"/>
        <v>0</v>
      </c>
      <c r="L87" s="1867">
        <f>'Interactive Worksheet'!Q256</f>
        <v>0</v>
      </c>
      <c r="M87" s="1631"/>
      <c r="N87" s="2027">
        <v>0</v>
      </c>
      <c r="O87" s="1633"/>
      <c r="P87" s="1867">
        <f t="shared" si="15"/>
        <v>0</v>
      </c>
      <c r="Q87" s="1867">
        <f>P87-L87</f>
        <v>0</v>
      </c>
      <c r="R87" s="1868">
        <f>IF(L87=0,0,Q87/L87)</f>
        <v>0</v>
      </c>
      <c r="S87" s="1631"/>
      <c r="T87" s="1869"/>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2259"/>
      <c r="C88" s="1870" t="str">
        <f>'Space Program Data'!J74</f>
        <v>Air Force Reserve Firefighter PPE Gear</v>
      </c>
      <c r="D88" s="1631"/>
      <c r="E88" s="1871">
        <f>IF('Interactive Worksheet'!M254="12 reservists",12,(IF('Interactive Worksheet'!M254="24 reservists",24,(IF('Interactive Worksheet'!M254="36 reservists",36,0)))))</f>
        <v>0</v>
      </c>
      <c r="F88" s="1631"/>
      <c r="G88" s="1872">
        <f>IF(I88&gt;0,1,0)</f>
        <v>0</v>
      </c>
      <c r="H88" s="1633"/>
      <c r="I88" s="1871">
        <f>'Interactive Worksheet'!Q254</f>
        <v>0</v>
      </c>
      <c r="J88" s="1633"/>
      <c r="K88" s="1873">
        <f t="shared" si="14"/>
        <v>0</v>
      </c>
      <c r="L88" s="1874">
        <f>'Interactive Worksheet'!Q254</f>
        <v>0</v>
      </c>
      <c r="M88" s="1631"/>
      <c r="N88" s="2023">
        <v>0</v>
      </c>
      <c r="O88" s="1633"/>
      <c r="P88" s="1874">
        <f t="shared" si="15"/>
        <v>0</v>
      </c>
      <c r="Q88" s="1874">
        <f>P88-L88</f>
        <v>0</v>
      </c>
      <c r="R88" s="1875">
        <f>IF(L88=0,0,Q88/L88)</f>
        <v>0</v>
      </c>
      <c r="S88" s="1631"/>
      <c r="T88" s="1876" t="s">
        <v>951</v>
      </c>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2259"/>
      <c r="C89" s="1870" t="str">
        <f>'Space Program Data'!J71</f>
        <v>Air Force Reserve Supervisor</v>
      </c>
      <c r="D89" s="1631"/>
      <c r="E89" s="1871">
        <f>'Interactive Worksheet'!I250</f>
        <v>0</v>
      </c>
      <c r="F89" s="1631"/>
      <c r="G89" s="1872">
        <f>'Interactive Worksheet'!I250</f>
        <v>0</v>
      </c>
      <c r="H89" s="1633"/>
      <c r="I89" s="1871">
        <f>'Interactive Worksheet'!Q250</f>
        <v>0</v>
      </c>
      <c r="J89" s="1633"/>
      <c r="K89" s="1873">
        <f t="shared" si="14"/>
        <v>0</v>
      </c>
      <c r="L89" s="1874">
        <f>'Interactive Worksheet'!Q250</f>
        <v>0</v>
      </c>
      <c r="M89" s="1631"/>
      <c r="N89" s="2023">
        <v>0</v>
      </c>
      <c r="O89" s="1633"/>
      <c r="P89" s="1874">
        <f t="shared" si="15"/>
        <v>0</v>
      </c>
      <c r="Q89" s="1874">
        <f>P89-L89</f>
        <v>0</v>
      </c>
      <c r="R89" s="1875">
        <f>IF(L89=0,0,Q89/L89)</f>
        <v>0</v>
      </c>
      <c r="S89" s="1631"/>
      <c r="T89" s="1876"/>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75" hidden="1" outlineLevel="1" thickBot="1" x14ac:dyDescent="0.25">
      <c r="A90" s="17"/>
      <c r="B90" s="2259"/>
      <c r="C90" s="1870" t="str">
        <f>'Space Program Data'!J72</f>
        <v>Air Force Reserve Workstations</v>
      </c>
      <c r="D90" s="1631"/>
      <c r="E90" s="1877">
        <f>'Interactive Worksheet'!I252</f>
        <v>0</v>
      </c>
      <c r="F90" s="1631"/>
      <c r="G90" s="1878">
        <f>'Interactive Worksheet'!I252</f>
        <v>0</v>
      </c>
      <c r="H90" s="1633"/>
      <c r="I90" s="1877">
        <f>'Space Program Data'!H72</f>
        <v>64</v>
      </c>
      <c r="J90" s="1633"/>
      <c r="K90" s="1879">
        <f t="shared" si="14"/>
        <v>0</v>
      </c>
      <c r="L90" s="1874">
        <f>'Interactive Worksheet'!Q252</f>
        <v>0</v>
      </c>
      <c r="M90" s="1631"/>
      <c r="N90" s="2030">
        <v>0</v>
      </c>
      <c r="O90" s="1633"/>
      <c r="P90" s="1874">
        <f t="shared" si="15"/>
        <v>0</v>
      </c>
      <c r="Q90" s="1874">
        <f>P90-L90</f>
        <v>0</v>
      </c>
      <c r="R90" s="1880">
        <f>IF(L90=0,0,Q90/L90)</f>
        <v>0</v>
      </c>
      <c r="S90" s="1631"/>
      <c r="T90" s="1881"/>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1480" customFormat="1" ht="15.75" collapsed="1" thickTop="1" x14ac:dyDescent="0.2">
      <c r="B91" s="2248" t="s">
        <v>400</v>
      </c>
      <c r="C91" s="2249"/>
      <c r="D91" s="1661"/>
      <c r="E91" s="1662"/>
      <c r="F91" s="1663"/>
      <c r="G91" s="1664"/>
      <c r="H91" s="1665"/>
      <c r="I91" s="1662"/>
      <c r="J91" s="1665"/>
      <c r="K91" s="1666">
        <f t="shared" si="14"/>
        <v>111.47999999999999</v>
      </c>
      <c r="L91" s="1667">
        <f>SUM(L57:L90)</f>
        <v>1200</v>
      </c>
      <c r="M91" s="1663"/>
      <c r="N91" s="1662">
        <f>SUM(N57:N90)</f>
        <v>1124</v>
      </c>
      <c r="O91" s="1665"/>
      <c r="P91" s="1667">
        <f>SUM(P57:P90)</f>
        <v>1124</v>
      </c>
      <c r="Q91" s="1667">
        <f>SUM(Q57:Q90)</f>
        <v>-76</v>
      </c>
      <c r="R91" s="1774">
        <f>IF(L91=0,0,Q91/L91)</f>
        <v>-6.3333333333333339E-2</v>
      </c>
      <c r="S91" s="1663"/>
      <c r="T91" s="1670"/>
    </row>
    <row r="92" spans="1:71" s="123" customFormat="1" ht="6.95" customHeight="1" x14ac:dyDescent="0.2">
      <c r="B92" s="1631"/>
      <c r="C92" s="1882"/>
      <c r="D92" s="1673"/>
      <c r="E92" s="1883"/>
      <c r="F92" s="1673"/>
      <c r="G92" s="1884"/>
      <c r="H92" s="1676"/>
      <c r="I92" s="1883"/>
      <c r="J92" s="1676"/>
      <c r="K92" s="1885"/>
      <c r="L92" s="1605"/>
      <c r="M92" s="1673"/>
      <c r="N92" s="1883"/>
      <c r="O92" s="1676"/>
      <c r="P92" s="1605"/>
      <c r="Q92" s="1605"/>
      <c r="R92" s="1885"/>
      <c r="S92" s="1673"/>
      <c r="T92" s="1886"/>
      <c r="V92" s="132"/>
    </row>
    <row r="93" spans="1:71" s="296" customFormat="1" ht="15.75" hidden="1" x14ac:dyDescent="0.25">
      <c r="A93" s="291"/>
      <c r="B93" s="2252" t="s">
        <v>775</v>
      </c>
      <c r="C93" s="2253"/>
      <c r="D93" s="1680"/>
      <c r="E93" s="1681"/>
      <c r="F93" s="1680"/>
      <c r="G93" s="1681"/>
      <c r="H93" s="1682"/>
      <c r="I93" s="1681"/>
      <c r="J93" s="1682"/>
      <c r="K93" s="1887"/>
      <c r="L93" s="1681"/>
      <c r="M93" s="1680"/>
      <c r="N93" s="1600" t="s">
        <v>955</v>
      </c>
      <c r="O93" s="1682"/>
      <c r="P93" s="1600"/>
      <c r="Q93" s="1681"/>
      <c r="R93" s="1888"/>
      <c r="S93" s="1680"/>
      <c r="T93" s="1681"/>
      <c r="U93" s="291"/>
      <c r="V93" s="295"/>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row>
    <row r="94" spans="1:71" s="258" customFormat="1" ht="15" hidden="1" outlineLevel="1" x14ac:dyDescent="0.2">
      <c r="A94" s="248"/>
      <c r="B94" s="2263" t="s">
        <v>378</v>
      </c>
      <c r="C94" s="1889" t="str">
        <f>'Space Program Data'!J53</f>
        <v>ECC Dispatcher</v>
      </c>
      <c r="D94" s="1631"/>
      <c r="E94" s="1890">
        <f>'Interactive Worksheet'!J239</f>
        <v>0</v>
      </c>
      <c r="F94" s="1631"/>
      <c r="G94" s="1891">
        <f>IF(E94&gt;0,1,0)</f>
        <v>0</v>
      </c>
      <c r="H94" s="1633"/>
      <c r="I94" s="1890">
        <f>'Interactive Worksheet'!Q239</f>
        <v>0</v>
      </c>
      <c r="J94" s="1633"/>
      <c r="K94" s="1892">
        <f t="shared" ref="K94:K99" si="18">L94*0.0929</f>
        <v>0</v>
      </c>
      <c r="L94" s="1893">
        <f>'Interactive Worksheet'!Q239</f>
        <v>0</v>
      </c>
      <c r="M94" s="1631"/>
      <c r="N94" s="2030">
        <v>0</v>
      </c>
      <c r="O94" s="1633"/>
      <c r="P94" s="1894">
        <f>N94</f>
        <v>0</v>
      </c>
      <c r="Q94" s="1895">
        <f>P94-L94</f>
        <v>0</v>
      </c>
      <c r="R94" s="1896">
        <f>IF(L94=0,0,Q94/L94)</f>
        <v>0</v>
      </c>
      <c r="S94" s="1631"/>
      <c r="T94" s="1897"/>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row>
    <row r="95" spans="1:71" s="258" customFormat="1" ht="15" hidden="1" outlineLevel="1" x14ac:dyDescent="0.2">
      <c r="A95" s="248"/>
      <c r="B95" s="2263"/>
      <c r="C95" s="1898" t="str">
        <f>'Space Program Data'!J56</f>
        <v>ECC IT Room</v>
      </c>
      <c r="D95" s="1631"/>
      <c r="E95" s="1899"/>
      <c r="F95" s="1631"/>
      <c r="G95" s="1900">
        <f>IF(I95&gt;0,1,0)</f>
        <v>0</v>
      </c>
      <c r="H95" s="1633"/>
      <c r="I95" s="1899">
        <f>'Interactive Worksheet'!Q245</f>
        <v>0</v>
      </c>
      <c r="J95" s="1633"/>
      <c r="K95" s="1892">
        <f t="shared" si="18"/>
        <v>0</v>
      </c>
      <c r="L95" s="1893">
        <f>'Interactive Worksheet'!Q245</f>
        <v>0</v>
      </c>
      <c r="M95" s="1631"/>
      <c r="N95" s="2023">
        <v>0</v>
      </c>
      <c r="O95" s="1633"/>
      <c r="P95" s="1893">
        <f>N95</f>
        <v>0</v>
      </c>
      <c r="Q95" s="1895">
        <f>P95-L95</f>
        <v>0</v>
      </c>
      <c r="R95" s="1896">
        <f>IF(L95=0,0,Q95/L95)</f>
        <v>0</v>
      </c>
      <c r="S95" s="1631"/>
      <c r="T95" s="1901"/>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2263"/>
      <c r="C96" s="1898" t="str">
        <f>'Space Program Data'!J55</f>
        <v>ECC Kitchenette</v>
      </c>
      <c r="D96" s="1631"/>
      <c r="E96" s="1899"/>
      <c r="F96" s="1631"/>
      <c r="G96" s="1900">
        <f>IF(I96&gt;0,1,0)</f>
        <v>0</v>
      </c>
      <c r="H96" s="1633"/>
      <c r="I96" s="1899">
        <f>'Interactive Worksheet'!Q243</f>
        <v>0</v>
      </c>
      <c r="J96" s="1633"/>
      <c r="K96" s="1892">
        <f t="shared" si="18"/>
        <v>0</v>
      </c>
      <c r="L96" s="1893">
        <f>'Interactive Worksheet'!Q243</f>
        <v>0</v>
      </c>
      <c r="M96" s="1631"/>
      <c r="N96" s="2023">
        <v>0</v>
      </c>
      <c r="O96" s="1633"/>
      <c r="P96" s="1893">
        <f>N96</f>
        <v>0</v>
      </c>
      <c r="Q96" s="1895">
        <f>P96-L96</f>
        <v>0</v>
      </c>
      <c r="R96" s="1896">
        <f>IF(L96=0,0,Q96/L96)</f>
        <v>0</v>
      </c>
      <c r="S96" s="1631"/>
      <c r="T96" s="1901"/>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2263"/>
      <c r="C97" s="1898" t="str">
        <f>'Space Program Data'!J54</f>
        <v>ECC Restroom</v>
      </c>
      <c r="D97" s="1631"/>
      <c r="E97" s="1899"/>
      <c r="F97" s="1631"/>
      <c r="G97" s="1900">
        <f>IF(I97&gt;0,1,0)</f>
        <v>0</v>
      </c>
      <c r="H97" s="1633"/>
      <c r="I97" s="1899">
        <f>'Interactive Worksheet'!Q241</f>
        <v>0</v>
      </c>
      <c r="J97" s="1633"/>
      <c r="K97" s="1892">
        <f t="shared" si="18"/>
        <v>0</v>
      </c>
      <c r="L97" s="1893">
        <f>'Interactive Worksheet'!Q241</f>
        <v>0</v>
      </c>
      <c r="M97" s="1631"/>
      <c r="N97" s="2023">
        <v>0</v>
      </c>
      <c r="O97" s="1633"/>
      <c r="P97" s="1893">
        <f>N97</f>
        <v>0</v>
      </c>
      <c r="Q97" s="1895">
        <f>P97-L97</f>
        <v>0</v>
      </c>
      <c r="R97" s="1896">
        <f>IF(L97=0,0,Q97/L97)</f>
        <v>0</v>
      </c>
      <c r="S97" s="1631"/>
      <c r="T97" s="1901"/>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hidden="1" outlineLevel="1" thickBot="1" x14ac:dyDescent="0.25">
      <c r="A98" s="248"/>
      <c r="B98" s="2263"/>
      <c r="C98" s="1902" t="str">
        <f>'Space Program Data'!J52</f>
        <v>ECC Supervisor</v>
      </c>
      <c r="D98" s="1631"/>
      <c r="E98" s="1890">
        <f>IF('Interactive Worksheet'!J237="yes",1,0)</f>
        <v>0</v>
      </c>
      <c r="F98" s="1631"/>
      <c r="G98" s="1891">
        <f>IF('Interactive Worksheet'!J237="yes",1,0)</f>
        <v>0</v>
      </c>
      <c r="H98" s="1633"/>
      <c r="I98" s="1890">
        <f>'Interactive Worksheet'!Q237</f>
        <v>0</v>
      </c>
      <c r="J98" s="1633"/>
      <c r="K98" s="1903">
        <f t="shared" si="18"/>
        <v>0</v>
      </c>
      <c r="L98" s="1893">
        <f>'Interactive Worksheet'!Q237</f>
        <v>0</v>
      </c>
      <c r="M98" s="1631"/>
      <c r="N98" s="2030">
        <v>0</v>
      </c>
      <c r="O98" s="1633"/>
      <c r="P98" s="1904">
        <f>N98</f>
        <v>0</v>
      </c>
      <c r="Q98" s="1895">
        <f>P98-L98</f>
        <v>0</v>
      </c>
      <c r="R98" s="1905">
        <f>IF(L98=0,0,Q98/L98)</f>
        <v>0</v>
      </c>
      <c r="S98" s="1631"/>
      <c r="T98" s="1906"/>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1480" customFormat="1" ht="15.75" hidden="1" thickTop="1" x14ac:dyDescent="0.2">
      <c r="B99" s="2248" t="s">
        <v>944</v>
      </c>
      <c r="C99" s="2249"/>
      <c r="D99" s="1661"/>
      <c r="E99" s="1662"/>
      <c r="F99" s="1663"/>
      <c r="G99" s="1664"/>
      <c r="H99" s="1665"/>
      <c r="I99" s="1662"/>
      <c r="J99" s="1665"/>
      <c r="K99" s="1666">
        <f t="shared" si="18"/>
        <v>0</v>
      </c>
      <c r="L99" s="1667">
        <f>SUM(L94:L98)</f>
        <v>0</v>
      </c>
      <c r="M99" s="1663"/>
      <c r="N99" s="1662">
        <f>SUM(N94:N98)</f>
        <v>0</v>
      </c>
      <c r="O99" s="1665"/>
      <c r="P99" s="1907">
        <f>SUM(P94:P98)</f>
        <v>0</v>
      </c>
      <c r="Q99" s="1667">
        <f>SUM(Q94:Q98)</f>
        <v>0</v>
      </c>
      <c r="R99" s="1774">
        <f t="shared" ref="R99" si="19">IF(L99=0,0,Q99/L99)</f>
        <v>0</v>
      </c>
      <c r="S99" s="1663"/>
      <c r="T99" s="1670"/>
      <c r="U99" s="1483"/>
      <c r="V99" s="1483"/>
      <c r="W99" s="1483"/>
      <c r="X99" s="1483"/>
      <c r="Y99" s="1483"/>
      <c r="Z99" s="1483"/>
      <c r="AA99" s="1483"/>
      <c r="AB99" s="1483"/>
      <c r="AC99" s="1483"/>
      <c r="AD99" s="1483"/>
      <c r="AE99" s="1483"/>
      <c r="AF99" s="1483"/>
      <c r="AG99" s="1483"/>
      <c r="AH99" s="1483"/>
      <c r="AI99" s="1483"/>
      <c r="AJ99" s="1483"/>
      <c r="AK99" s="1483"/>
      <c r="AL99" s="1483"/>
      <c r="AM99" s="1483"/>
      <c r="AN99" s="1483"/>
      <c r="AO99" s="1483"/>
      <c r="AP99" s="1483"/>
      <c r="AQ99" s="1483"/>
      <c r="AR99" s="1483"/>
      <c r="AS99" s="1483"/>
      <c r="AT99" s="1483"/>
      <c r="AU99" s="1483"/>
      <c r="AV99" s="1483"/>
      <c r="AW99" s="1483"/>
      <c r="AX99" s="1483"/>
      <c r="AY99" s="1483"/>
      <c r="AZ99" s="1483"/>
      <c r="BA99" s="1483"/>
      <c r="BB99" s="1483"/>
      <c r="BC99" s="1483"/>
      <c r="BD99" s="1483"/>
      <c r="BE99" s="1483"/>
      <c r="BF99" s="1483"/>
      <c r="BG99" s="1483"/>
      <c r="BH99" s="1483"/>
    </row>
    <row r="100" spans="1:71" s="123" customFormat="1" ht="6.95" customHeight="1" x14ac:dyDescent="0.2">
      <c r="B100" s="1631"/>
      <c r="C100" s="1882"/>
      <c r="D100" s="1673"/>
      <c r="E100" s="1883"/>
      <c r="F100" s="1673"/>
      <c r="G100" s="1884"/>
      <c r="H100" s="1676"/>
      <c r="I100" s="1883"/>
      <c r="J100" s="1676"/>
      <c r="K100" s="1885"/>
      <c r="L100" s="1605"/>
      <c r="M100" s="1673"/>
      <c r="N100" s="1883"/>
      <c r="O100" s="1676"/>
      <c r="P100" s="1605"/>
      <c r="Q100" s="1605"/>
      <c r="R100" s="1885"/>
      <c r="S100" s="1673"/>
      <c r="T100" s="1886"/>
      <c r="V100" s="132"/>
    </row>
    <row r="101" spans="1:71" s="39" customFormat="1" ht="19.5" customHeight="1" x14ac:dyDescent="0.2">
      <c r="A101" s="38"/>
      <c r="B101" s="2250" t="s">
        <v>968</v>
      </c>
      <c r="C101" s="2251"/>
      <c r="D101" s="1908"/>
      <c r="E101" s="1909"/>
      <c r="F101" s="1910"/>
      <c r="G101" s="1909"/>
      <c r="H101" s="1910"/>
      <c r="I101" s="1909"/>
      <c r="J101" s="1911"/>
      <c r="K101" s="1912">
        <f>L101*0.0929</f>
        <v>689.50379999999996</v>
      </c>
      <c r="L101" s="1913">
        <f>SUM(L99,L91,L54,L32)</f>
        <v>7422</v>
      </c>
      <c r="M101" s="1914"/>
      <c r="N101" s="1913">
        <f>SUM(N32,N54,N91,N99)</f>
        <v>7926</v>
      </c>
      <c r="O101" s="1911"/>
      <c r="P101" s="1913">
        <f>SUM(P32,P54,P91,P99)</f>
        <v>7851</v>
      </c>
      <c r="Q101" s="1913">
        <f>SUM(Q99,Q91,Q54,Q32)</f>
        <v>429</v>
      </c>
      <c r="R101" s="1915">
        <f>Q101/L101</f>
        <v>5.7801131770412288E-2</v>
      </c>
      <c r="S101" s="1914"/>
      <c r="T101" s="1916"/>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8"/>
      <c r="BJ101" s="38"/>
      <c r="BK101" s="38"/>
      <c r="BL101" s="38"/>
      <c r="BM101" s="38"/>
      <c r="BN101" s="38"/>
      <c r="BO101" s="38"/>
      <c r="BP101" s="38"/>
      <c r="BQ101" s="38"/>
      <c r="BR101" s="38"/>
      <c r="BS101" s="38"/>
    </row>
    <row r="102" spans="1:71" s="123" customFormat="1" ht="6.95" customHeight="1" x14ac:dyDescent="0.2">
      <c r="B102" s="1631"/>
      <c r="C102" s="1882"/>
      <c r="D102" s="1673"/>
      <c r="E102" s="1883"/>
      <c r="F102" s="1673"/>
      <c r="G102" s="1884"/>
      <c r="H102" s="1676"/>
      <c r="I102" s="1883"/>
      <c r="J102" s="1676"/>
      <c r="K102" s="1885"/>
      <c r="L102" s="1605"/>
      <c r="M102" s="1673"/>
      <c r="N102" s="1883"/>
      <c r="O102" s="1676"/>
      <c r="P102" s="1605"/>
      <c r="Q102" s="1605"/>
      <c r="R102" s="1885"/>
      <c r="S102" s="1673"/>
      <c r="T102" s="1886"/>
      <c r="V102" s="132"/>
    </row>
    <row r="103" spans="1:71" s="296" customFormat="1" ht="15.75" x14ac:dyDescent="0.25">
      <c r="A103" s="291"/>
      <c r="B103" s="2257" t="s">
        <v>948</v>
      </c>
      <c r="C103" s="2258"/>
      <c r="D103" s="1680"/>
      <c r="E103" s="1775"/>
      <c r="F103" s="1680"/>
      <c r="G103" s="1775"/>
      <c r="H103" s="1682"/>
      <c r="I103" s="1775"/>
      <c r="J103" s="1682"/>
      <c r="K103" s="1917"/>
      <c r="L103" s="1775"/>
      <c r="M103" s="1680"/>
      <c r="N103" s="1918" t="s">
        <v>955</v>
      </c>
      <c r="O103" s="1682"/>
      <c r="P103" s="1687"/>
      <c r="Q103" s="1775"/>
      <c r="R103" s="1919"/>
      <c r="S103" s="1680"/>
      <c r="T103" s="1775"/>
      <c r="U103" s="291"/>
      <c r="V103" s="295"/>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row>
    <row r="104" spans="1:71" s="296" customFormat="1" ht="15.75" x14ac:dyDescent="0.2">
      <c r="A104" s="291"/>
      <c r="B104" s="1920" t="s">
        <v>960</v>
      </c>
      <c r="C104" s="1921" t="s">
        <v>961</v>
      </c>
      <c r="D104" s="1631"/>
      <c r="E104" s="1922"/>
      <c r="F104" s="1631"/>
      <c r="G104" s="1923" t="str">
        <f>'Pre-Design Area Matrix'!G103</f>
        <v>Multiple</v>
      </c>
      <c r="H104" s="1633"/>
      <c r="I104" s="1922">
        <f>'Pre-Design Area Matrix'!I103</f>
        <v>37.244999999999997</v>
      </c>
      <c r="J104" s="1633"/>
      <c r="K104" s="1924">
        <f t="shared" ref="K104:K111" si="20">L104*0.0929</f>
        <v>3.4600604999999995</v>
      </c>
      <c r="L104" s="1925">
        <f>I104</f>
        <v>37.244999999999997</v>
      </c>
      <c r="M104" s="1631"/>
      <c r="N104" s="2026">
        <v>53</v>
      </c>
      <c r="O104" s="1633"/>
      <c r="P104" s="1925">
        <f t="shared" ref="P104:P108" si="21">N104</f>
        <v>53</v>
      </c>
      <c r="Q104" s="1925">
        <f t="shared" ref="Q104:Q110" si="22">P104-L104</f>
        <v>15.755000000000003</v>
      </c>
      <c r="R104" s="1926">
        <f t="shared" ref="R104:R111" si="23">IF(L104=0,0,Q104/L104)</f>
        <v>0.42300979997315086</v>
      </c>
      <c r="S104" s="1631"/>
      <c r="T104" s="1927" t="str">
        <f>'Pre-Design Area Matrix'!N103</f>
        <v>1/2% of Net Assigned Area</v>
      </c>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2260" t="s">
        <v>962</v>
      </c>
      <c r="C105" s="1928" t="s">
        <v>963</v>
      </c>
      <c r="D105" s="1631"/>
      <c r="E105" s="1929"/>
      <c r="F105" s="1631"/>
      <c r="G105" s="1930" t="str">
        <f>'Pre-Design Area Matrix'!G104</f>
        <v>Multiple</v>
      </c>
      <c r="H105" s="1633"/>
      <c r="I105" s="1929">
        <f>'Pre-Design Area Matrix'!I104</f>
        <v>149</v>
      </c>
      <c r="J105" s="1633"/>
      <c r="K105" s="1931">
        <f t="shared" si="20"/>
        <v>13.8421</v>
      </c>
      <c r="L105" s="1932">
        <f>I105</f>
        <v>149</v>
      </c>
      <c r="M105" s="1631"/>
      <c r="N105" s="1568">
        <f>143+138</f>
        <v>281</v>
      </c>
      <c r="O105" s="1633"/>
      <c r="P105" s="1932">
        <f t="shared" si="21"/>
        <v>281</v>
      </c>
      <c r="Q105" s="1932">
        <f t="shared" si="22"/>
        <v>132</v>
      </c>
      <c r="R105" s="1933">
        <f t="shared" si="23"/>
        <v>0.88590604026845643</v>
      </c>
      <c r="S105" s="1631"/>
      <c r="T105" s="1934" t="str">
        <f>'Pre-Design Area Matrix'!N104</f>
        <v>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2262"/>
      <c r="C106" s="1935" t="s">
        <v>970</v>
      </c>
      <c r="D106" s="1631"/>
      <c r="E106" s="1936"/>
      <c r="F106" s="1631"/>
      <c r="G106" s="1937">
        <f>'Pre-Design Area Matrix'!G105</f>
        <v>1</v>
      </c>
      <c r="H106" s="1633"/>
      <c r="I106" s="1936">
        <f>'Pre-Design Area Matrix'!I105</f>
        <v>168</v>
      </c>
      <c r="J106" s="1633"/>
      <c r="K106" s="1938">
        <f t="shared" si="20"/>
        <v>15.607199999999999</v>
      </c>
      <c r="L106" s="1939">
        <f>G106*I106</f>
        <v>168</v>
      </c>
      <c r="M106" s="1631"/>
      <c r="N106" s="2023">
        <v>170</v>
      </c>
      <c r="O106" s="1633"/>
      <c r="P106" s="1939">
        <f t="shared" si="21"/>
        <v>170</v>
      </c>
      <c r="Q106" s="1939">
        <f t="shared" si="22"/>
        <v>2</v>
      </c>
      <c r="R106" s="1940">
        <f t="shared" si="23"/>
        <v>1.1904761904761904E-2</v>
      </c>
      <c r="S106" s="1631"/>
      <c r="T106" s="1941" t="str">
        <f>'Pre-Design Area Matrix'!N105</f>
        <v>Based upon Conditioned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2261"/>
      <c r="C107" s="1942" t="s">
        <v>971</v>
      </c>
      <c r="D107" s="1631"/>
      <c r="E107" s="1943"/>
      <c r="F107" s="1631"/>
      <c r="G107" s="1944">
        <f>'Pre-Design Area Matrix'!G106</f>
        <v>1</v>
      </c>
      <c r="H107" s="1633"/>
      <c r="I107" s="1943">
        <f>'Pre-Design Area Matrix'!I106</f>
        <v>336</v>
      </c>
      <c r="J107" s="1633"/>
      <c r="K107" s="1945">
        <f t="shared" si="20"/>
        <v>31.214399999999998</v>
      </c>
      <c r="L107" s="1946">
        <f>G107*I107</f>
        <v>336</v>
      </c>
      <c r="M107" s="1631"/>
      <c r="N107" s="2029">
        <v>261</v>
      </c>
      <c r="O107" s="1633"/>
      <c r="P107" s="1946">
        <f t="shared" si="21"/>
        <v>261</v>
      </c>
      <c r="Q107" s="1946">
        <f t="shared" si="22"/>
        <v>-75</v>
      </c>
      <c r="R107" s="1947">
        <f t="shared" si="23"/>
        <v>-0.22321428571428573</v>
      </c>
      <c r="S107" s="1631"/>
      <c r="T107" s="1941" t="str">
        <f>'Pre-Design Area Matrix'!N106</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58" customFormat="1" ht="15" outlineLevel="1" x14ac:dyDescent="0.2">
      <c r="A108" s="248"/>
      <c r="B108" s="2260" t="s">
        <v>958</v>
      </c>
      <c r="C108" s="1948" t="str">
        <f>'Space Program Data'!J50</f>
        <v>Base IT / Comms Room(s)</v>
      </c>
      <c r="D108" s="1631"/>
      <c r="E108" s="1949"/>
      <c r="F108" s="1631"/>
      <c r="G108" s="1950">
        <f>'Interactive Worksheet'!M219</f>
        <v>2</v>
      </c>
      <c r="H108" s="1633"/>
      <c r="I108" s="1951">
        <f>'Space Program Data'!H50</f>
        <v>60</v>
      </c>
      <c r="J108" s="1633"/>
      <c r="K108" s="1952">
        <f t="shared" si="20"/>
        <v>11.148</v>
      </c>
      <c r="L108" s="1953">
        <f>G108*I108</f>
        <v>120</v>
      </c>
      <c r="M108" s="1631"/>
      <c r="N108" s="2028">
        <f>120+88</f>
        <v>208</v>
      </c>
      <c r="O108" s="1633"/>
      <c r="P108" s="1932">
        <f t="shared" si="21"/>
        <v>208</v>
      </c>
      <c r="Q108" s="1954">
        <f t="shared" si="22"/>
        <v>88</v>
      </c>
      <c r="R108" s="1955">
        <f t="shared" si="23"/>
        <v>0.73333333333333328</v>
      </c>
      <c r="S108" s="1631"/>
      <c r="T108" s="1934"/>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row>
    <row r="109" spans="1:71" s="5" customFormat="1" ht="15" outlineLevel="1" x14ac:dyDescent="0.2">
      <c r="A109" s="17"/>
      <c r="B109" s="2261"/>
      <c r="C109" s="1956" t="str">
        <f>'Space Program Data'!J51</f>
        <v xml:space="preserve">IT / Comms </v>
      </c>
      <c r="D109" s="1631"/>
      <c r="E109" s="1957"/>
      <c r="F109" s="1631"/>
      <c r="G109" s="1958">
        <f>'Interactive Worksheet'!M221</f>
        <v>1</v>
      </c>
      <c r="H109" s="1633"/>
      <c r="I109" s="1957">
        <f>'Space Program Data'!H51</f>
        <v>60</v>
      </c>
      <c r="J109" s="1633"/>
      <c r="K109" s="1959">
        <f t="shared" si="20"/>
        <v>5.5739999999999998</v>
      </c>
      <c r="L109" s="1960">
        <f>G109*I109</f>
        <v>60</v>
      </c>
      <c r="M109" s="1631"/>
      <c r="N109" s="2024">
        <v>51</v>
      </c>
      <c r="O109" s="1633"/>
      <c r="P109" s="1960">
        <f>N109</f>
        <v>51</v>
      </c>
      <c r="Q109" s="1960">
        <f t="shared" si="22"/>
        <v>-9</v>
      </c>
      <c r="R109" s="1961">
        <f t="shared" si="23"/>
        <v>-0.15</v>
      </c>
      <c r="S109" s="1631"/>
      <c r="T109" s="1941"/>
      <c r="U109" s="17"/>
      <c r="V109" s="29"/>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s="5" customFormat="1" ht="15" customHeight="1" outlineLevel="1" thickBot="1" x14ac:dyDescent="0.25">
      <c r="A110" s="17"/>
      <c r="B110" s="1962" t="s">
        <v>654</v>
      </c>
      <c r="C110" s="1963" t="str">
        <f>'Space Program Data'!J70</f>
        <v>Vending / Recycling</v>
      </c>
      <c r="D110" s="1631"/>
      <c r="E110" s="1949">
        <v>0</v>
      </c>
      <c r="F110" s="1631"/>
      <c r="G110" s="1950">
        <f>IF(I110&gt;0,1,0)</f>
        <v>1</v>
      </c>
      <c r="H110" s="1633"/>
      <c r="I110" s="1949">
        <f>'Interactive Worksheet'!Q155</f>
        <v>40</v>
      </c>
      <c r="J110" s="1633"/>
      <c r="K110" s="1952">
        <f t="shared" si="20"/>
        <v>3.7159999999999997</v>
      </c>
      <c r="L110" s="1953">
        <f>G110*I110</f>
        <v>40</v>
      </c>
      <c r="M110" s="1631"/>
      <c r="N110" s="2027">
        <v>41</v>
      </c>
      <c r="O110" s="1633"/>
      <c r="P110" s="1964">
        <f>N110</f>
        <v>41</v>
      </c>
      <c r="Q110" s="1965">
        <f t="shared" si="22"/>
        <v>1</v>
      </c>
      <c r="R110" s="1966">
        <f t="shared" si="23"/>
        <v>2.5000000000000001E-2</v>
      </c>
      <c r="S110" s="1631"/>
      <c r="T110" s="1967" t="s">
        <v>952</v>
      </c>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1480" customFormat="1" ht="15.75" thickTop="1" x14ac:dyDescent="0.2">
      <c r="B111" s="2248" t="s">
        <v>959</v>
      </c>
      <c r="C111" s="2249"/>
      <c r="D111" s="1661"/>
      <c r="E111" s="1662"/>
      <c r="F111" s="1663"/>
      <c r="G111" s="1664"/>
      <c r="H111" s="1665"/>
      <c r="I111" s="1662"/>
      <c r="J111" s="1665"/>
      <c r="K111" s="1666">
        <f t="shared" si="20"/>
        <v>84.561760499999991</v>
      </c>
      <c r="L111" s="1667">
        <f>SUM(L104:L110)</f>
        <v>910.245</v>
      </c>
      <c r="M111" s="1663"/>
      <c r="N111" s="1662">
        <f>SUM(N104:N110)</f>
        <v>1065</v>
      </c>
      <c r="O111" s="1665"/>
      <c r="P111" s="1907">
        <f>SUM(P104:P110)</f>
        <v>1065</v>
      </c>
      <c r="Q111" s="1667">
        <f>SUM(Q104:Q110)</f>
        <v>154.755</v>
      </c>
      <c r="R111" s="1774">
        <f t="shared" si="23"/>
        <v>0.17001466638102927</v>
      </c>
      <c r="S111" s="1663"/>
      <c r="T111" s="1670"/>
      <c r="U111" s="1483"/>
      <c r="V111" s="1483"/>
      <c r="W111" s="1483"/>
      <c r="X111" s="1483"/>
      <c r="Y111" s="1483"/>
      <c r="Z111" s="1483"/>
      <c r="AA111" s="1483"/>
      <c r="AB111" s="1483"/>
      <c r="AC111" s="1483"/>
      <c r="AD111" s="1483"/>
      <c r="AE111" s="1483"/>
      <c r="AF111" s="1483"/>
      <c r="AG111" s="1483"/>
      <c r="AH111" s="1483"/>
      <c r="AI111" s="1483"/>
      <c r="AJ111" s="1483"/>
      <c r="AK111" s="1483"/>
      <c r="AL111" s="1483"/>
      <c r="AM111" s="1483"/>
      <c r="AN111" s="1483"/>
      <c r="AO111" s="1483"/>
      <c r="AP111" s="1483"/>
      <c r="AQ111" s="1483"/>
      <c r="AR111" s="1483"/>
      <c r="AS111" s="1483"/>
      <c r="AT111" s="1483"/>
      <c r="AU111" s="1483"/>
      <c r="AV111" s="1483"/>
      <c r="AW111" s="1483"/>
      <c r="AX111" s="1483"/>
      <c r="AY111" s="1483"/>
      <c r="AZ111" s="1483"/>
      <c r="BA111" s="1483"/>
      <c r="BB111" s="1483"/>
      <c r="BC111" s="1483"/>
      <c r="BD111" s="1483"/>
      <c r="BE111" s="1483"/>
      <c r="BF111" s="1483"/>
      <c r="BG111" s="1483"/>
      <c r="BH111" s="1483"/>
    </row>
    <row r="112" spans="1:71" s="123" customFormat="1" ht="6.75" customHeight="1" x14ac:dyDescent="0.2">
      <c r="B112" s="1631"/>
      <c r="C112" s="1882"/>
      <c r="D112" s="1673"/>
      <c r="E112" s="1883"/>
      <c r="F112" s="1673"/>
      <c r="G112" s="1884"/>
      <c r="H112" s="1676"/>
      <c r="I112" s="1883"/>
      <c r="J112" s="1676"/>
      <c r="K112" s="1885"/>
      <c r="L112" s="1605"/>
      <c r="M112" s="1673"/>
      <c r="N112" s="1883"/>
      <c r="O112" s="1676"/>
      <c r="P112" s="1605"/>
      <c r="Q112" s="1605"/>
      <c r="R112" s="1885"/>
      <c r="S112" s="1673"/>
      <c r="T112" s="1886"/>
      <c r="V112" s="132"/>
    </row>
    <row r="113" spans="1:71" s="123" customFormat="1" ht="18" x14ac:dyDescent="0.2">
      <c r="B113" s="2250" t="s">
        <v>967</v>
      </c>
      <c r="C113" s="2251"/>
      <c r="D113" s="1908"/>
      <c r="E113" s="1910"/>
      <c r="F113" s="1910"/>
      <c r="G113" s="1910"/>
      <c r="H113" s="1910"/>
      <c r="I113" s="1910"/>
      <c r="J113" s="1676"/>
      <c r="K113" s="1912">
        <f>L113*0.0929</f>
        <v>774.06556050000006</v>
      </c>
      <c r="L113" s="1913">
        <f>SUM(L101,L111)</f>
        <v>8332.2450000000008</v>
      </c>
      <c r="M113" s="1968"/>
      <c r="N113" s="1913">
        <f>N101+N111</f>
        <v>8991</v>
      </c>
      <c r="O113" s="1676"/>
      <c r="P113" s="1913">
        <f>P101+P111</f>
        <v>8916</v>
      </c>
      <c r="Q113" s="1913">
        <f>SUM(Q99,Q91,Q54,Q32,Q111)</f>
        <v>583.755</v>
      </c>
      <c r="R113" s="1915">
        <f>Q113/L113</f>
        <v>7.00597498033243E-2</v>
      </c>
      <c r="S113" s="1968"/>
      <c r="T113" s="1969"/>
      <c r="U113" s="1536"/>
      <c r="V113" s="1270"/>
    </row>
    <row r="114" spans="1:71" s="123" customFormat="1" ht="6.75" customHeight="1" x14ac:dyDescent="0.2">
      <c r="B114" s="1631"/>
      <c r="C114" s="1882"/>
      <c r="D114" s="1673"/>
      <c r="E114" s="1883"/>
      <c r="F114" s="1673"/>
      <c r="G114" s="1884"/>
      <c r="H114" s="1676"/>
      <c r="I114" s="1883"/>
      <c r="J114" s="1676"/>
      <c r="K114" s="1885"/>
      <c r="L114" s="1605"/>
      <c r="M114" s="1673"/>
      <c r="N114" s="1883"/>
      <c r="O114" s="1676"/>
      <c r="P114" s="1605"/>
      <c r="Q114" s="1605"/>
      <c r="R114" s="1885"/>
      <c r="S114" s="1673"/>
      <c r="T114" s="1886"/>
      <c r="V114" s="132"/>
    </row>
    <row r="115" spans="1:71" s="296" customFormat="1" ht="15.75" x14ac:dyDescent="0.25">
      <c r="A115" s="291"/>
      <c r="B115" s="2257" t="s">
        <v>975</v>
      </c>
      <c r="C115" s="2258"/>
      <c r="D115" s="1680"/>
      <c r="E115" s="1775"/>
      <c r="F115" s="1680"/>
      <c r="G115" s="1775"/>
      <c r="H115" s="1682"/>
      <c r="I115" s="1775"/>
      <c r="J115" s="1682"/>
      <c r="K115" s="1917"/>
      <c r="L115" s="1775"/>
      <c r="M115" s="1680"/>
      <c r="N115" s="1918" t="s">
        <v>955</v>
      </c>
      <c r="O115" s="1682"/>
      <c r="P115" s="1687"/>
      <c r="Q115" s="1775"/>
      <c r="R115" s="1919"/>
      <c r="S115" s="1680"/>
      <c r="T115" s="1775"/>
      <c r="U115" s="291"/>
      <c r="V115" s="295"/>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row>
    <row r="116" spans="1:71" s="296" customFormat="1" ht="15.75" x14ac:dyDescent="0.2">
      <c r="A116" s="291"/>
      <c r="B116" s="1920" t="s">
        <v>965</v>
      </c>
      <c r="C116" s="1921" t="s">
        <v>966</v>
      </c>
      <c r="D116" s="1631"/>
      <c r="E116" s="1922"/>
      <c r="F116" s="1631"/>
      <c r="G116" s="1970"/>
      <c r="H116" s="1633"/>
      <c r="I116" s="1922">
        <f>L101*0.15</f>
        <v>1113.3</v>
      </c>
      <c r="J116" s="1633"/>
      <c r="K116" s="1924">
        <f>L116*0.0929</f>
        <v>103.42556999999999</v>
      </c>
      <c r="L116" s="1925">
        <f>I116</f>
        <v>1113.3</v>
      </c>
      <c r="M116" s="1631"/>
      <c r="N116" s="2026">
        <v>1453</v>
      </c>
      <c r="O116" s="1633"/>
      <c r="P116" s="1925">
        <f>N116</f>
        <v>1453</v>
      </c>
      <c r="Q116" s="1925">
        <f>P116-L116</f>
        <v>339.70000000000005</v>
      </c>
      <c r="R116" s="1926">
        <f>IF(L116=0,0,Q116/L116)</f>
        <v>0.30512889607473281</v>
      </c>
      <c r="S116" s="1631"/>
      <c r="T116" s="1927" t="s">
        <v>977</v>
      </c>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971" t="s">
        <v>998</v>
      </c>
      <c r="C117" s="1921" t="s">
        <v>999</v>
      </c>
      <c r="D117" s="1631"/>
      <c r="E117" s="1922"/>
      <c r="F117" s="1631"/>
      <c r="G117" s="1970"/>
      <c r="H117" s="1633"/>
      <c r="I117" s="1922"/>
      <c r="J117" s="1633"/>
      <c r="K117" s="1924"/>
      <c r="L117" s="1925"/>
      <c r="M117" s="1631"/>
      <c r="N117" s="1568">
        <v>212</v>
      </c>
      <c r="O117" s="1633"/>
      <c r="P117" s="1932">
        <f>N117*0.5</f>
        <v>106</v>
      </c>
      <c r="Q117" s="1925">
        <f>P117-L117</f>
        <v>106</v>
      </c>
      <c r="R117" s="1926">
        <f>IF(L117=0,0,Q117/L117)</f>
        <v>0</v>
      </c>
      <c r="S117" s="1631"/>
      <c r="T117" s="1927" t="s">
        <v>1000</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6.5" thickBot="1" x14ac:dyDescent="0.25">
      <c r="A118" s="291"/>
      <c r="B118" s="1971" t="s">
        <v>964</v>
      </c>
      <c r="C118" s="1921" t="s">
        <v>969</v>
      </c>
      <c r="D118" s="1631"/>
      <c r="E118" s="1922"/>
      <c r="F118" s="1631"/>
      <c r="G118" s="1970"/>
      <c r="H118" s="1633"/>
      <c r="I118" s="1922">
        <f>L101*0.08</f>
        <v>593.76</v>
      </c>
      <c r="J118" s="1633"/>
      <c r="K118" s="1924">
        <f>L118*0.0929</f>
        <v>55.160303999999996</v>
      </c>
      <c r="L118" s="1925">
        <f>I118</f>
        <v>593.76</v>
      </c>
      <c r="M118" s="1631"/>
      <c r="N118" s="1932">
        <f>N121-N117-N116-N113</f>
        <v>1458.3799999999992</v>
      </c>
      <c r="O118" s="1633"/>
      <c r="P118" s="1932">
        <f>N118</f>
        <v>1458.3799999999992</v>
      </c>
      <c r="Q118" s="1925">
        <f>P118-L118</f>
        <v>864.61999999999921</v>
      </c>
      <c r="R118" s="1926">
        <f>IF(L118=0,0,Q118/L118)</f>
        <v>1.4561775801670696</v>
      </c>
      <c r="S118" s="1631"/>
      <c r="T118" s="1927" t="s">
        <v>978</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1480" customFormat="1" ht="15.75" thickTop="1" x14ac:dyDescent="0.2">
      <c r="B119" s="2248" t="s">
        <v>976</v>
      </c>
      <c r="C119" s="2249"/>
      <c r="D119" s="1661"/>
      <c r="E119" s="1662"/>
      <c r="F119" s="1663"/>
      <c r="G119" s="1664"/>
      <c r="H119" s="1665"/>
      <c r="I119" s="1662"/>
      <c r="J119" s="1665"/>
      <c r="K119" s="1666">
        <f>L119*0.0929</f>
        <v>158.58587399999999</v>
      </c>
      <c r="L119" s="1667">
        <f>SUM(L116:L118)</f>
        <v>1707.06</v>
      </c>
      <c r="M119" s="1663"/>
      <c r="N119" s="1662"/>
      <c r="O119" s="1665"/>
      <c r="P119" s="1667">
        <f>SUM(P116:P118)</f>
        <v>3017.3799999999992</v>
      </c>
      <c r="Q119" s="1667">
        <f>SUM(Q116:Q118)</f>
        <v>1310.3199999999993</v>
      </c>
      <c r="R119" s="1774">
        <f>IF(L119=0,0,Q119/L119)</f>
        <v>0.76758871978723608</v>
      </c>
      <c r="S119" s="1663"/>
      <c r="T119" s="1670"/>
      <c r="U119" s="1483"/>
      <c r="V119" s="1483"/>
      <c r="W119" s="1483"/>
      <c r="X119" s="1483"/>
      <c r="Y119" s="1483"/>
      <c r="Z119" s="1483"/>
      <c r="AA119" s="1483"/>
      <c r="AB119" s="1483"/>
      <c r="AC119" s="1483"/>
      <c r="AD119" s="1483"/>
      <c r="AE119" s="1483"/>
      <c r="AF119" s="1483"/>
      <c r="AG119" s="1483"/>
      <c r="AH119" s="1483"/>
      <c r="AI119" s="1483"/>
      <c r="AJ119" s="1483"/>
      <c r="AK119" s="1483"/>
      <c r="AL119" s="1483"/>
      <c r="AM119" s="1483"/>
      <c r="AN119" s="1483"/>
      <c r="AO119" s="1483"/>
      <c r="AP119" s="1483"/>
      <c r="AQ119" s="1483"/>
      <c r="AR119" s="1483"/>
      <c r="AS119" s="1483"/>
      <c r="AT119" s="1483"/>
      <c r="AU119" s="1483"/>
      <c r="AV119" s="1483"/>
      <c r="AW119" s="1483"/>
      <c r="AX119" s="1483"/>
      <c r="AY119" s="1483"/>
      <c r="AZ119" s="1483"/>
      <c r="BA119" s="1483"/>
      <c r="BB119" s="1483"/>
      <c r="BC119" s="1483"/>
      <c r="BD119" s="1483"/>
      <c r="BE119" s="1483"/>
      <c r="BF119" s="1483"/>
      <c r="BG119" s="1483"/>
      <c r="BH119" s="1483"/>
    </row>
    <row r="120" spans="1:71" s="123" customFormat="1" ht="6.75" customHeight="1" x14ac:dyDescent="0.2">
      <c r="B120" s="1631"/>
      <c r="C120" s="1882"/>
      <c r="D120" s="1673"/>
      <c r="E120" s="1883"/>
      <c r="F120" s="1673"/>
      <c r="G120" s="1884"/>
      <c r="H120" s="1676"/>
      <c r="I120" s="1883"/>
      <c r="J120" s="1676"/>
      <c r="K120" s="1885"/>
      <c r="L120" s="1605"/>
      <c r="M120" s="1673"/>
      <c r="N120" s="1883"/>
      <c r="O120" s="1676"/>
      <c r="P120" s="1605"/>
      <c r="Q120" s="1605"/>
      <c r="R120" s="1885"/>
      <c r="S120" s="1673"/>
      <c r="T120" s="1886"/>
      <c r="V120" s="132"/>
    </row>
    <row r="121" spans="1:71" s="59" customFormat="1" ht="18" x14ac:dyDescent="0.2">
      <c r="B121" s="2250" t="s">
        <v>308</v>
      </c>
      <c r="C121" s="2251"/>
      <c r="D121" s="1908"/>
      <c r="E121" s="1909"/>
      <c r="F121" s="1910"/>
      <c r="G121" s="1909"/>
      <c r="H121" s="1910"/>
      <c r="I121" s="1909"/>
      <c r="J121" s="1676"/>
      <c r="K121" s="1912">
        <f>L121*0.0929</f>
        <v>932.65143449999994</v>
      </c>
      <c r="L121" s="1913">
        <f>L113+L119</f>
        <v>10039.305</v>
      </c>
      <c r="M121" s="1968"/>
      <c r="N121" s="2026">
        <v>12114.38</v>
      </c>
      <c r="O121" s="1676"/>
      <c r="P121" s="1913">
        <f>P113+P119</f>
        <v>11933.38</v>
      </c>
      <c r="Q121" s="1913">
        <f>Q113+Q119</f>
        <v>1894.0749999999994</v>
      </c>
      <c r="R121" s="1915">
        <f>Q121/L121</f>
        <v>0.18866594848946211</v>
      </c>
      <c r="S121" s="1968"/>
      <c r="T121" s="1969"/>
      <c r="U121" s="770"/>
      <c r="V121" s="303"/>
    </row>
    <row r="122" spans="1:71" s="123" customFormat="1" ht="6.75" customHeight="1" x14ac:dyDescent="0.2">
      <c r="B122" s="1631"/>
      <c r="C122" s="1882"/>
      <c r="D122" s="1673"/>
      <c r="E122" s="1883"/>
      <c r="F122" s="1673"/>
      <c r="G122" s="1884"/>
      <c r="H122" s="1676"/>
      <c r="I122" s="1883"/>
      <c r="J122" s="1676"/>
      <c r="K122" s="1885"/>
      <c r="L122" s="1605"/>
      <c r="M122" s="1673"/>
      <c r="N122" s="1883"/>
      <c r="O122" s="1676"/>
      <c r="P122" s="1605"/>
      <c r="Q122" s="1605"/>
      <c r="R122" s="1885"/>
      <c r="S122" s="1673"/>
      <c r="T122" s="1886"/>
      <c r="V122" s="132"/>
    </row>
    <row r="123" spans="1:71" s="59" customFormat="1" ht="18" x14ac:dyDescent="0.2">
      <c r="B123" s="2250" t="s">
        <v>979</v>
      </c>
      <c r="C123" s="2251"/>
      <c r="D123" s="1908"/>
      <c r="E123" s="1909"/>
      <c r="F123" s="1910"/>
      <c r="G123" s="1909"/>
      <c r="H123" s="1910"/>
      <c r="I123" s="1909"/>
      <c r="J123" s="1676"/>
      <c r="K123" s="1909"/>
      <c r="L123" s="1972">
        <f>L101/L121</f>
        <v>0.73929420413066438</v>
      </c>
      <c r="M123" s="1968"/>
      <c r="N123" s="1909"/>
      <c r="O123" s="1676"/>
      <c r="P123" s="1972">
        <f>IF(P121=0,0,P101/P121)</f>
        <v>0.65790245513006373</v>
      </c>
      <c r="Q123" s="1909"/>
      <c r="R123" s="1909"/>
      <c r="S123" s="1968"/>
      <c r="T123" s="1969"/>
      <c r="U123" s="770"/>
      <c r="V123" s="303"/>
    </row>
    <row r="124" spans="1:71" s="123" customFormat="1" ht="6.75" customHeight="1" x14ac:dyDescent="0.2">
      <c r="B124" s="1631"/>
      <c r="C124" s="1882"/>
      <c r="D124" s="1673"/>
      <c r="E124" s="1883"/>
      <c r="F124" s="1673"/>
      <c r="G124" s="1884"/>
      <c r="H124" s="1676"/>
      <c r="I124" s="1883"/>
      <c r="J124" s="1676"/>
      <c r="K124" s="1885"/>
      <c r="L124" s="1605"/>
      <c r="M124" s="1673"/>
      <c r="N124" s="1883"/>
      <c r="O124" s="1676"/>
      <c r="P124" s="1605"/>
      <c r="Q124" s="1605"/>
      <c r="R124" s="1885"/>
      <c r="S124" s="1673"/>
      <c r="T124" s="1886"/>
      <c r="V124" s="132"/>
    </row>
    <row r="125" spans="1:71" s="296" customFormat="1" ht="15.75" hidden="1" x14ac:dyDescent="0.25">
      <c r="A125" s="291"/>
      <c r="B125" s="2252" t="s">
        <v>336</v>
      </c>
      <c r="C125" s="2253"/>
      <c r="D125" s="1680"/>
      <c r="E125" s="1775"/>
      <c r="F125" s="1680"/>
      <c r="G125" s="1775"/>
      <c r="H125" s="1682"/>
      <c r="I125" s="1775"/>
      <c r="J125" s="1682"/>
      <c r="K125" s="1917"/>
      <c r="L125" s="1775"/>
      <c r="M125" s="1680"/>
      <c r="N125" s="1600" t="s">
        <v>955</v>
      </c>
      <c r="O125" s="1682"/>
      <c r="P125" s="1973"/>
      <c r="Q125" s="1775"/>
      <c r="R125" s="1919"/>
      <c r="S125" s="1680"/>
      <c r="T125" s="1775"/>
      <c r="U125" s="291"/>
      <c r="V125" s="295"/>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row>
    <row r="126" spans="1:71" s="258" customFormat="1" ht="15" hidden="1" outlineLevel="1" x14ac:dyDescent="0.2">
      <c r="A126" s="248"/>
      <c r="B126" s="2254" t="s">
        <v>945</v>
      </c>
      <c r="C126" s="1974" t="str">
        <f>'Space Program Data'!J77</f>
        <v>Staff Parking</v>
      </c>
      <c r="D126" s="1629"/>
      <c r="E126" s="1975">
        <f>'Space Program Data'!L84</f>
        <v>12</v>
      </c>
      <c r="F126" s="1631"/>
      <c r="G126" s="1975">
        <f>E126</f>
        <v>12</v>
      </c>
      <c r="H126" s="1633"/>
      <c r="I126" s="1975">
        <f>'Space Program Data'!H77</f>
        <v>315</v>
      </c>
      <c r="J126" s="1633"/>
      <c r="K126" s="1976">
        <f t="shared" ref="K126:K129" si="24">L126*0.0929</f>
        <v>351.16199999999998</v>
      </c>
      <c r="L126" s="1977">
        <f>'Interactive Worksheet'!Q279</f>
        <v>3780</v>
      </c>
      <c r="M126" s="1631"/>
      <c r="N126" s="2022"/>
      <c r="O126" s="1633"/>
      <c r="P126" s="1977">
        <f t="shared" ref="P126:P129" si="25">N126</f>
        <v>0</v>
      </c>
      <c r="Q126" s="1977">
        <f t="shared" ref="Q126:Q129" si="26">P126-L126</f>
        <v>-3780</v>
      </c>
      <c r="R126" s="1978">
        <f t="shared" ref="R126:R130" si="27">IF(L126=0,0,Q126/L126)</f>
        <v>-1</v>
      </c>
      <c r="S126" s="1631"/>
      <c r="T126" s="1979" t="s">
        <v>956</v>
      </c>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row>
    <row r="127" spans="1:71" s="258" customFormat="1" ht="15" hidden="1" customHeight="1" outlineLevel="1" x14ac:dyDescent="0.2">
      <c r="A127" s="248"/>
      <c r="B127" s="2255"/>
      <c r="C127" s="1980" t="str">
        <f>'Space Program Data'!J78</f>
        <v>Visitor Parking</v>
      </c>
      <c r="D127" s="1629"/>
      <c r="E127" s="1981"/>
      <c r="F127" s="1631"/>
      <c r="G127" s="1982">
        <f>'Interactive Worksheet'!K281</f>
        <v>2</v>
      </c>
      <c r="H127" s="1633"/>
      <c r="I127" s="1981">
        <f>'Space Program Data'!H78</f>
        <v>315</v>
      </c>
      <c r="J127" s="1633"/>
      <c r="K127" s="1983">
        <f t="shared" si="24"/>
        <v>58.527000000000001</v>
      </c>
      <c r="L127" s="1984">
        <f>'Interactive Worksheet'!Q281</f>
        <v>630</v>
      </c>
      <c r="M127" s="1631"/>
      <c r="N127" s="2023"/>
      <c r="O127" s="1633"/>
      <c r="P127" s="1984">
        <f t="shared" si="25"/>
        <v>0</v>
      </c>
      <c r="Q127" s="1984">
        <f t="shared" si="26"/>
        <v>-630</v>
      </c>
      <c r="R127" s="1985">
        <f t="shared" si="27"/>
        <v>-1</v>
      </c>
      <c r="S127" s="1631"/>
      <c r="T127" s="1986" t="s">
        <v>990</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outlineLevel="1" x14ac:dyDescent="0.2">
      <c r="A128" s="248"/>
      <c r="B128" s="2256"/>
      <c r="C128" s="1987" t="str">
        <f>'Space Program Data'!J79</f>
        <v>Bicycle Rack Area</v>
      </c>
      <c r="D128" s="1629"/>
      <c r="E128" s="1988"/>
      <c r="F128" s="1631"/>
      <c r="G128" s="1989">
        <f>IF('Interactive Worksheet'!K283&gt;0,1,0)</f>
        <v>1</v>
      </c>
      <c r="H128" s="1633"/>
      <c r="I128" s="1988">
        <f>'Interactive Worksheet'!Q283</f>
        <v>160</v>
      </c>
      <c r="J128" s="1633"/>
      <c r="K128" s="1990">
        <f t="shared" si="24"/>
        <v>14.863999999999999</v>
      </c>
      <c r="L128" s="1991">
        <f>'Interactive Worksheet'!Q283</f>
        <v>160</v>
      </c>
      <c r="M128" s="1631"/>
      <c r="N128" s="2024"/>
      <c r="O128" s="1633"/>
      <c r="P128" s="1991">
        <f>N128</f>
        <v>0</v>
      </c>
      <c r="Q128" s="1991">
        <f t="shared" si="26"/>
        <v>-160</v>
      </c>
      <c r="R128" s="1992">
        <f t="shared" si="27"/>
        <v>-1</v>
      </c>
      <c r="S128" s="1631"/>
      <c r="T128" s="1993" t="s">
        <v>991</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customHeight="1" outlineLevel="1" thickBot="1" x14ac:dyDescent="0.25">
      <c r="A129" s="248"/>
      <c r="B129" s="1994" t="s">
        <v>947</v>
      </c>
      <c r="C129" s="1995" t="str">
        <f>'Space Program Data'!J80</f>
        <v>Site Approach to Apparatus Bays</v>
      </c>
      <c r="D129" s="1629"/>
      <c r="E129" s="1996"/>
      <c r="F129" s="1631"/>
      <c r="G129" s="1997">
        <v>1</v>
      </c>
      <c r="H129" s="1633"/>
      <c r="I129" s="1996">
        <f>'Interactive Worksheet'!Q285</f>
        <v>4000</v>
      </c>
      <c r="J129" s="1633"/>
      <c r="K129" s="1998">
        <f t="shared" si="24"/>
        <v>371.59999999999997</v>
      </c>
      <c r="L129" s="1999">
        <f>'Interactive Worksheet'!Q285</f>
        <v>4000</v>
      </c>
      <c r="M129" s="1631"/>
      <c r="N129" s="2025"/>
      <c r="O129" s="1633"/>
      <c r="P129" s="1999">
        <f t="shared" si="25"/>
        <v>0</v>
      </c>
      <c r="Q129" s="1999">
        <f t="shared" si="26"/>
        <v>-4000</v>
      </c>
      <c r="R129" s="2000">
        <f t="shared" si="27"/>
        <v>-1</v>
      </c>
      <c r="S129" s="1631"/>
      <c r="T129" s="2001"/>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1490" customFormat="1" ht="15.75" hidden="1" outlineLevel="1" thickTop="1" x14ac:dyDescent="0.2">
      <c r="A130" s="1489"/>
      <c r="B130" s="2248" t="s">
        <v>335</v>
      </c>
      <c r="C130" s="2249"/>
      <c r="D130" s="1661"/>
      <c r="E130" s="1662"/>
      <c r="F130" s="1663"/>
      <c r="G130" s="1664"/>
      <c r="H130" s="1665"/>
      <c r="I130" s="1662"/>
      <c r="J130" s="1665"/>
      <c r="K130" s="1666">
        <f>L130*0.0929</f>
        <v>796.15300000000002</v>
      </c>
      <c r="L130" s="1667">
        <f>SUM(L126:L129)</f>
        <v>8570</v>
      </c>
      <c r="M130" s="1661"/>
      <c r="N130" s="1662"/>
      <c r="O130" s="1665"/>
      <c r="P130" s="1667">
        <f>SUM(P126:P129)</f>
        <v>0</v>
      </c>
      <c r="Q130" s="1667">
        <f>SUM(Q126:Q129)</f>
        <v>-8570</v>
      </c>
      <c r="R130" s="1774">
        <f t="shared" si="27"/>
        <v>-1</v>
      </c>
      <c r="S130" s="1661"/>
      <c r="T130" s="1670"/>
      <c r="U130" s="1489"/>
      <c r="V130" s="1489"/>
      <c r="W130" s="1489"/>
      <c r="X130" s="1489"/>
      <c r="Y130" s="1489"/>
      <c r="Z130" s="1489"/>
      <c r="AA130" s="1489"/>
      <c r="AB130" s="1489"/>
      <c r="AC130" s="1489"/>
      <c r="AD130" s="1489"/>
      <c r="AE130" s="1489"/>
      <c r="AF130" s="1489"/>
      <c r="AG130" s="1489"/>
      <c r="AH130" s="1489"/>
      <c r="AI130" s="1489"/>
      <c r="AJ130" s="1489"/>
      <c r="AK130" s="1489"/>
      <c r="AL130" s="1489"/>
      <c r="AM130" s="1489"/>
      <c r="AN130" s="1489"/>
      <c r="AO130" s="1489"/>
      <c r="AP130" s="1489"/>
      <c r="AQ130" s="1489"/>
      <c r="AR130" s="1489"/>
      <c r="AS130" s="1489"/>
      <c r="AT130" s="1489"/>
      <c r="AU130" s="1489"/>
      <c r="AV130" s="1489"/>
      <c r="AW130" s="1489"/>
      <c r="AX130" s="1489"/>
      <c r="AY130" s="1489"/>
      <c r="AZ130" s="1489"/>
      <c r="BA130" s="1489"/>
      <c r="BB130" s="1489"/>
      <c r="BC130" s="1489"/>
      <c r="BD130" s="1489"/>
      <c r="BE130" s="1489"/>
      <c r="BF130" s="1489"/>
      <c r="BG130" s="1489"/>
      <c r="BH130" s="1489"/>
      <c r="BI130" s="1489"/>
      <c r="BJ130" s="1489"/>
      <c r="BK130" s="1489"/>
      <c r="BL130" s="1489"/>
      <c r="BM130" s="1489"/>
      <c r="BN130" s="1489"/>
      <c r="BO130" s="1489"/>
      <c r="BP130" s="1489"/>
      <c r="BQ130" s="1489"/>
      <c r="BR130" s="1489"/>
      <c r="BS130" s="1489"/>
    </row>
    <row r="131" spans="1:71" s="123" customFormat="1" ht="6.75" hidden="1" customHeight="1" x14ac:dyDescent="0.2">
      <c r="B131" s="1631"/>
      <c r="C131" s="1882"/>
      <c r="D131" s="1673"/>
      <c r="E131" s="1883"/>
      <c r="F131" s="1673"/>
      <c r="G131" s="1884"/>
      <c r="H131" s="1676"/>
      <c r="I131" s="1883"/>
      <c r="J131" s="1676"/>
      <c r="K131" s="1885"/>
      <c r="L131" s="1605"/>
      <c r="M131" s="1673"/>
      <c r="N131" s="1883"/>
      <c r="O131" s="1676"/>
      <c r="P131" s="1605"/>
      <c r="Q131" s="1605"/>
      <c r="R131" s="1885"/>
      <c r="S131" s="1673"/>
      <c r="T131" s="1886"/>
      <c r="V131" s="132"/>
    </row>
    <row r="132" spans="1:71" s="39" customFormat="1" ht="18" hidden="1" x14ac:dyDescent="0.2">
      <c r="A132" s="38"/>
      <c r="B132" s="2250" t="s">
        <v>337</v>
      </c>
      <c r="C132" s="2251"/>
      <c r="D132" s="1908"/>
      <c r="E132" s="1910"/>
      <c r="F132" s="1910"/>
      <c r="G132" s="1910"/>
      <c r="H132" s="1910"/>
      <c r="I132" s="1910"/>
      <c r="J132" s="2002"/>
      <c r="K132" s="2003">
        <f>L132*0.0929</f>
        <v>1728.8044345000001</v>
      </c>
      <c r="L132" s="2004">
        <f>SUM(L121,L130)</f>
        <v>18609.305</v>
      </c>
      <c r="M132" s="1914"/>
      <c r="N132" s="1910"/>
      <c r="O132" s="2002"/>
      <c r="P132" s="2005">
        <f>P121+P130</f>
        <v>11933.38</v>
      </c>
      <c r="Q132" s="1913">
        <f>P132-L132</f>
        <v>-6675.9250000000011</v>
      </c>
      <c r="R132" s="2006">
        <f>Q132/L132</f>
        <v>-0.35874123187297974</v>
      </c>
      <c r="S132" s="1914"/>
      <c r="T132" s="1916"/>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8"/>
      <c r="BJ132" s="38"/>
      <c r="BK132" s="38"/>
      <c r="BL132" s="38"/>
      <c r="BM132" s="38"/>
      <c r="BN132" s="38"/>
      <c r="BO132" s="38"/>
      <c r="BP132" s="38"/>
      <c r="BQ132" s="38"/>
      <c r="BR132" s="38"/>
      <c r="BS132" s="38"/>
    </row>
    <row r="133" spans="1:71" s="119" customFormat="1" x14ac:dyDescent="0.2">
      <c r="A133" s="78"/>
      <c r="B133" s="2007"/>
      <c r="C133" s="2008"/>
      <c r="D133" s="2009"/>
      <c r="E133" s="2010"/>
      <c r="F133" s="1968"/>
      <c r="G133" s="2010"/>
      <c r="H133" s="2011"/>
      <c r="I133" s="2012"/>
      <c r="J133" s="1968"/>
      <c r="K133" s="2013"/>
      <c r="L133" s="2010"/>
      <c r="M133" s="1968"/>
      <c r="N133" s="2012"/>
      <c r="O133" s="1968"/>
      <c r="P133" s="2010"/>
      <c r="Q133" s="2010"/>
      <c r="R133" s="2013"/>
      <c r="S133" s="1968"/>
      <c r="T133" s="2014"/>
      <c r="U133" s="78"/>
      <c r="V133" s="30"/>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row>
    <row r="134" spans="1:71" s="119" customFormat="1" x14ac:dyDescent="0.2">
      <c r="A134" s="78"/>
      <c r="B134" s="2007"/>
      <c r="C134" s="2010"/>
      <c r="D134" s="1968"/>
      <c r="E134" s="2010"/>
      <c r="F134" s="2011"/>
      <c r="G134" s="2012"/>
      <c r="H134" s="1968"/>
      <c r="I134" s="2010"/>
      <c r="J134" s="2011"/>
      <c r="K134" s="2015"/>
      <c r="L134" s="2012"/>
      <c r="M134" s="2011"/>
      <c r="N134" s="2010"/>
      <c r="O134" s="2011"/>
      <c r="P134" s="2012"/>
      <c r="Q134" s="2012"/>
      <c r="R134" s="2015"/>
      <c r="S134" s="2011"/>
      <c r="T134" s="2016"/>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ht="12.75" customHeight="1" x14ac:dyDescent="0.2">
      <c r="A135" s="78"/>
      <c r="B135" s="2007"/>
      <c r="C135" s="2012"/>
      <c r="D135" s="2011"/>
      <c r="E135" s="2010"/>
      <c r="F135" s="1968"/>
      <c r="G135" s="2010"/>
      <c r="H135" s="1968"/>
      <c r="I135" s="2010"/>
      <c r="J135" s="1968"/>
      <c r="K135" s="2013"/>
      <c r="L135" s="2010"/>
      <c r="M135" s="1968"/>
      <c r="N135" s="2010"/>
      <c r="O135" s="1968"/>
      <c r="P135" s="2010"/>
      <c r="Q135" s="2010"/>
      <c r="R135" s="2013"/>
      <c r="S135" s="1968"/>
      <c r="T135" s="2014"/>
      <c r="U135" s="121"/>
      <c r="V135" s="121"/>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x14ac:dyDescent="0.2">
      <c r="A136" s="78"/>
      <c r="B136" s="2007"/>
      <c r="C136" s="2010"/>
      <c r="D136" s="1968"/>
      <c r="E136" s="2010"/>
      <c r="F136" s="1968"/>
      <c r="G136" s="2010"/>
      <c r="H136" s="1968"/>
      <c r="I136" s="2010"/>
      <c r="J136" s="1968"/>
      <c r="K136" s="2013"/>
      <c r="L136" s="2010"/>
      <c r="M136" s="1968"/>
      <c r="N136" s="2010"/>
      <c r="O136" s="1968"/>
      <c r="P136" s="2010"/>
      <c r="Q136" s="2010"/>
      <c r="R136" s="2013"/>
      <c r="S136" s="1968"/>
      <c r="T136" s="2014"/>
      <c r="U136" s="78"/>
      <c r="V136" s="30"/>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2007"/>
      <c r="C137" s="2010"/>
      <c r="D137" s="1968"/>
      <c r="E137" s="2010"/>
      <c r="F137" s="1968"/>
      <c r="G137" s="2010"/>
      <c r="H137" s="1968"/>
      <c r="I137" s="2010"/>
      <c r="J137" s="1968"/>
      <c r="K137" s="2013"/>
      <c r="L137" s="2010"/>
      <c r="M137" s="1968"/>
      <c r="N137" s="2010"/>
      <c r="O137" s="1968"/>
      <c r="P137" s="2010"/>
      <c r="Q137" s="2010"/>
      <c r="R137" s="2013"/>
      <c r="S137" s="1968"/>
      <c r="T137" s="2014"/>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2007"/>
      <c r="C138" s="2010"/>
      <c r="D138" s="1968"/>
      <c r="E138" s="2010"/>
      <c r="F138" s="1968"/>
      <c r="G138" s="2010"/>
      <c r="H138" s="1968"/>
      <c r="I138" s="2010"/>
      <c r="J138" s="1968"/>
      <c r="K138" s="2013"/>
      <c r="L138" s="2010"/>
      <c r="M138" s="1968"/>
      <c r="N138" s="2010"/>
      <c r="O138" s="1968"/>
      <c r="P138" s="2010"/>
      <c r="Q138" s="2010"/>
      <c r="R138" s="2013"/>
      <c r="S138" s="1968"/>
      <c r="T138" s="2014"/>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2007"/>
      <c r="C139" s="2010"/>
      <c r="D139" s="1968"/>
      <c r="E139" s="2010"/>
      <c r="F139" s="1968"/>
      <c r="G139" s="2010"/>
      <c r="H139" s="1968"/>
      <c r="I139" s="2010"/>
      <c r="J139" s="1968"/>
      <c r="K139" s="2013"/>
      <c r="L139" s="2010"/>
      <c r="M139" s="1968"/>
      <c r="N139" s="2010"/>
      <c r="O139" s="1968"/>
      <c r="P139" s="2010"/>
      <c r="Q139" s="2010"/>
      <c r="R139" s="2013"/>
      <c r="S139" s="1968"/>
      <c r="T139" s="2014"/>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2007"/>
      <c r="C140" s="2010"/>
      <c r="D140" s="1968"/>
      <c r="E140" s="2010"/>
      <c r="F140" s="1968"/>
      <c r="G140" s="2010"/>
      <c r="H140" s="1968"/>
      <c r="I140" s="2010"/>
      <c r="J140" s="1968"/>
      <c r="K140" s="2013"/>
      <c r="L140" s="2010"/>
      <c r="M140" s="1968"/>
      <c r="N140" s="2010"/>
      <c r="O140" s="1968"/>
      <c r="P140" s="2010"/>
      <c r="Q140" s="2010"/>
      <c r="R140" s="2013"/>
      <c r="S140" s="1968"/>
      <c r="T140" s="2014"/>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2007"/>
      <c r="C141" s="2010"/>
      <c r="D141" s="1968"/>
      <c r="E141" s="2010"/>
      <c r="F141" s="1968"/>
      <c r="G141" s="2010"/>
      <c r="H141" s="1968"/>
      <c r="I141" s="2010"/>
      <c r="J141" s="1968"/>
      <c r="K141" s="2013"/>
      <c r="L141" s="2010"/>
      <c r="M141" s="1968"/>
      <c r="N141" s="2010"/>
      <c r="O141" s="1968"/>
      <c r="P141" s="2010"/>
      <c r="Q141" s="2010"/>
      <c r="R141" s="2013"/>
      <c r="S141" s="1968"/>
      <c r="T141" s="2014"/>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2007"/>
      <c r="C142" s="2010"/>
      <c r="D142" s="1968"/>
      <c r="E142" s="2010"/>
      <c r="F142" s="1968"/>
      <c r="G142" s="2010"/>
      <c r="H142" s="1968"/>
      <c r="I142" s="2010"/>
      <c r="J142" s="1968"/>
      <c r="K142" s="2013"/>
      <c r="L142" s="2010"/>
      <c r="M142" s="1968"/>
      <c r="N142" s="2010"/>
      <c r="O142" s="1968"/>
      <c r="P142" s="2010"/>
      <c r="Q142" s="2010"/>
      <c r="R142" s="2013"/>
      <c r="S142" s="1968"/>
      <c r="T142" s="2014"/>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2007"/>
      <c r="C143" s="2010"/>
      <c r="D143" s="1968"/>
      <c r="E143" s="2010"/>
      <c r="F143" s="1968"/>
      <c r="G143" s="2010"/>
      <c r="H143" s="1968"/>
      <c r="I143" s="2010"/>
      <c r="J143" s="1968"/>
      <c r="K143" s="2013"/>
      <c r="L143" s="2010"/>
      <c r="M143" s="1968"/>
      <c r="N143" s="2010"/>
      <c r="O143" s="1968"/>
      <c r="P143" s="2010"/>
      <c r="Q143" s="2010"/>
      <c r="R143" s="2013"/>
      <c r="S143" s="1968"/>
      <c r="T143" s="2014"/>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2007"/>
      <c r="C144" s="2010"/>
      <c r="D144" s="1968"/>
      <c r="E144" s="2010"/>
      <c r="F144" s="1968"/>
      <c r="G144" s="2010"/>
      <c r="H144" s="1968"/>
      <c r="I144" s="2010"/>
      <c r="J144" s="1968"/>
      <c r="K144" s="2013"/>
      <c r="L144" s="2010"/>
      <c r="M144" s="1968"/>
      <c r="N144" s="2010"/>
      <c r="O144" s="1968"/>
      <c r="P144" s="2010"/>
      <c r="Q144" s="2010"/>
      <c r="R144" s="2013"/>
      <c r="S144" s="1968"/>
      <c r="T144" s="2014"/>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2007"/>
      <c r="C145" s="2010"/>
      <c r="D145" s="1968"/>
      <c r="E145" s="2010"/>
      <c r="F145" s="1968"/>
      <c r="G145" s="2010"/>
      <c r="H145" s="1968"/>
      <c r="I145" s="2010"/>
      <c r="J145" s="1968"/>
      <c r="K145" s="2013"/>
      <c r="L145" s="2010"/>
      <c r="M145" s="1968"/>
      <c r="N145" s="2010"/>
      <c r="O145" s="1968"/>
      <c r="P145" s="2010"/>
      <c r="Q145" s="2010"/>
      <c r="R145" s="2013"/>
      <c r="S145" s="1968"/>
      <c r="T145" s="2014"/>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2007"/>
      <c r="C146" s="2010"/>
      <c r="D146" s="1968"/>
      <c r="E146" s="2010"/>
      <c r="F146" s="1968"/>
      <c r="G146" s="2010"/>
      <c r="H146" s="1968"/>
      <c r="I146" s="2010"/>
      <c r="J146" s="1968"/>
      <c r="K146" s="2013"/>
      <c r="L146" s="2010"/>
      <c r="M146" s="1968"/>
      <c r="N146" s="2010"/>
      <c r="O146" s="1968"/>
      <c r="P146" s="2010"/>
      <c r="Q146" s="2010"/>
      <c r="R146" s="2013"/>
      <c r="S146" s="1968"/>
      <c r="T146" s="2014"/>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2007"/>
      <c r="C147" s="2010"/>
      <c r="D147" s="1968"/>
      <c r="E147" s="2010"/>
      <c r="F147" s="1968"/>
      <c r="G147" s="2010"/>
      <c r="H147" s="1968"/>
      <c r="I147" s="2010"/>
      <c r="J147" s="1968"/>
      <c r="K147" s="2013"/>
      <c r="L147" s="2010"/>
      <c r="M147" s="1968"/>
      <c r="N147" s="2010"/>
      <c r="O147" s="1968"/>
      <c r="P147" s="2010"/>
      <c r="Q147" s="2010"/>
      <c r="R147" s="2013"/>
      <c r="S147" s="1968"/>
      <c r="T147" s="2014"/>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2007"/>
      <c r="C148" s="2010"/>
      <c r="D148" s="1968"/>
      <c r="E148" s="2010"/>
      <c r="F148" s="1968"/>
      <c r="G148" s="2010"/>
      <c r="H148" s="1968"/>
      <c r="I148" s="2010"/>
      <c r="J148" s="1968"/>
      <c r="K148" s="2013"/>
      <c r="L148" s="2010"/>
      <c r="M148" s="1968"/>
      <c r="N148" s="2010"/>
      <c r="O148" s="1968"/>
      <c r="P148" s="2010"/>
      <c r="Q148" s="2010"/>
      <c r="R148" s="2013"/>
      <c r="S148" s="1968"/>
      <c r="T148" s="2014"/>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2007"/>
      <c r="C149" s="2010"/>
      <c r="D149" s="1968"/>
      <c r="E149" s="2010"/>
      <c r="F149" s="1968"/>
      <c r="G149" s="2010"/>
      <c r="H149" s="1968"/>
      <c r="I149" s="2010"/>
      <c r="J149" s="1968"/>
      <c r="K149" s="2013"/>
      <c r="L149" s="2010"/>
      <c r="M149" s="1968"/>
      <c r="N149" s="2010"/>
      <c r="O149" s="1968"/>
      <c r="P149" s="2010"/>
      <c r="Q149" s="2010"/>
      <c r="R149" s="2013"/>
      <c r="S149" s="1968"/>
      <c r="T149" s="2014"/>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2007"/>
      <c r="C150" s="2010"/>
      <c r="D150" s="1968"/>
      <c r="E150" s="2010"/>
      <c r="F150" s="1968"/>
      <c r="G150" s="2010"/>
      <c r="H150" s="1968"/>
      <c r="I150" s="2010"/>
      <c r="J150" s="1968"/>
      <c r="K150" s="2013"/>
      <c r="L150" s="2010"/>
      <c r="M150" s="1968"/>
      <c r="N150" s="2010"/>
      <c r="O150" s="1968"/>
      <c r="P150" s="2010"/>
      <c r="Q150" s="2010"/>
      <c r="R150" s="2013"/>
      <c r="S150" s="1968"/>
      <c r="T150" s="2014"/>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2007"/>
      <c r="C151" s="2010"/>
      <c r="D151" s="1968"/>
      <c r="E151" s="2010"/>
      <c r="F151" s="1968"/>
      <c r="G151" s="2010"/>
      <c r="H151" s="1968"/>
      <c r="I151" s="2010"/>
      <c r="J151" s="1968"/>
      <c r="K151" s="2013"/>
      <c r="L151" s="2010"/>
      <c r="M151" s="1968"/>
      <c r="N151" s="2010"/>
      <c r="O151" s="1968"/>
      <c r="P151" s="2010"/>
      <c r="Q151" s="2010"/>
      <c r="R151" s="2013"/>
      <c r="S151" s="1968"/>
      <c r="T151" s="2014"/>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2007"/>
      <c r="C152" s="2010"/>
      <c r="D152" s="1968"/>
      <c r="E152" s="2010"/>
      <c r="F152" s="1968"/>
      <c r="G152" s="2010"/>
      <c r="H152" s="1968"/>
      <c r="I152" s="2010"/>
      <c r="J152" s="1968"/>
      <c r="K152" s="2013"/>
      <c r="L152" s="2010"/>
      <c r="M152" s="1968"/>
      <c r="N152" s="2010"/>
      <c r="O152" s="1968"/>
      <c r="P152" s="2010"/>
      <c r="Q152" s="2010"/>
      <c r="R152" s="2013"/>
      <c r="S152" s="1968"/>
      <c r="T152" s="2014"/>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2007"/>
      <c r="C153" s="2010"/>
      <c r="D153" s="1968"/>
      <c r="E153" s="2010"/>
      <c r="F153" s="1968"/>
      <c r="G153" s="2010"/>
      <c r="H153" s="1968"/>
      <c r="I153" s="2010"/>
      <c r="J153" s="1968"/>
      <c r="K153" s="2013"/>
      <c r="L153" s="2010"/>
      <c r="M153" s="1968"/>
      <c r="N153" s="2010"/>
      <c r="O153" s="1968"/>
      <c r="P153" s="2010"/>
      <c r="Q153" s="2010"/>
      <c r="R153" s="2013"/>
      <c r="S153" s="1968"/>
      <c r="T153" s="2014"/>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2007"/>
      <c r="C154" s="2010"/>
      <c r="D154" s="1968"/>
      <c r="E154" s="2010"/>
      <c r="F154" s="1968"/>
      <c r="G154" s="2010"/>
      <c r="H154" s="1968"/>
      <c r="I154" s="2010"/>
      <c r="J154" s="1968"/>
      <c r="K154" s="2013"/>
      <c r="L154" s="2010"/>
      <c r="M154" s="1968"/>
      <c r="N154" s="2010"/>
      <c r="O154" s="1968"/>
      <c r="P154" s="2010"/>
      <c r="Q154" s="2010"/>
      <c r="R154" s="2013"/>
      <c r="S154" s="1968"/>
      <c r="T154" s="2014"/>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2007"/>
      <c r="C155" s="2010"/>
      <c r="D155" s="1968"/>
      <c r="E155" s="2010"/>
      <c r="F155" s="1968"/>
      <c r="G155" s="2010"/>
      <c r="H155" s="1968"/>
      <c r="I155" s="2010"/>
      <c r="J155" s="1968"/>
      <c r="K155" s="2013"/>
      <c r="L155" s="2010"/>
      <c r="M155" s="1968"/>
      <c r="N155" s="2010"/>
      <c r="O155" s="1968"/>
      <c r="P155" s="2010"/>
      <c r="Q155" s="2010"/>
      <c r="R155" s="2013"/>
      <c r="S155" s="1968"/>
      <c r="T155" s="2014"/>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2007"/>
      <c r="C156" s="2010"/>
      <c r="D156" s="1968"/>
      <c r="E156" s="2010"/>
      <c r="F156" s="1968"/>
      <c r="G156" s="2010"/>
      <c r="H156" s="1968"/>
      <c r="I156" s="2010"/>
      <c r="J156" s="1968"/>
      <c r="K156" s="2013"/>
      <c r="L156" s="2010"/>
      <c r="M156" s="1968"/>
      <c r="N156" s="2010"/>
      <c r="O156" s="1968"/>
      <c r="P156" s="2010"/>
      <c r="Q156" s="2010"/>
      <c r="R156" s="2013"/>
      <c r="S156" s="1968"/>
      <c r="T156" s="2014"/>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2007"/>
      <c r="C157" s="2010"/>
      <c r="D157" s="1968"/>
      <c r="E157" s="2010"/>
      <c r="F157" s="1968"/>
      <c r="G157" s="2010"/>
      <c r="H157" s="1968"/>
      <c r="I157" s="2010"/>
      <c r="J157" s="1968"/>
      <c r="K157" s="2013"/>
      <c r="L157" s="2010"/>
      <c r="M157" s="1968"/>
      <c r="N157" s="2010"/>
      <c r="O157" s="1968"/>
      <c r="P157" s="2010"/>
      <c r="Q157" s="2010"/>
      <c r="R157" s="2013"/>
      <c r="S157" s="1968"/>
      <c r="T157" s="2014"/>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2007"/>
      <c r="C158" s="2010"/>
      <c r="D158" s="1968"/>
      <c r="E158" s="2010"/>
      <c r="F158" s="1968"/>
      <c r="G158" s="2010"/>
      <c r="H158" s="1968"/>
      <c r="I158" s="2010"/>
      <c r="J158" s="1968"/>
      <c r="K158" s="2013"/>
      <c r="L158" s="2010"/>
      <c r="M158" s="1968"/>
      <c r="N158" s="2010"/>
      <c r="O158" s="1968"/>
      <c r="P158" s="2010"/>
      <c r="Q158" s="2010"/>
      <c r="R158" s="2013"/>
      <c r="S158" s="1968"/>
      <c r="T158" s="2014"/>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2007"/>
      <c r="C159" s="2010"/>
      <c r="D159" s="1968"/>
      <c r="E159" s="2010"/>
      <c r="F159" s="1968"/>
      <c r="G159" s="2010"/>
      <c r="H159" s="1968"/>
      <c r="I159" s="2010"/>
      <c r="J159" s="1968"/>
      <c r="K159" s="2013"/>
      <c r="L159" s="2010"/>
      <c r="M159" s="1968"/>
      <c r="N159" s="2010"/>
      <c r="O159" s="1968"/>
      <c r="P159" s="2010"/>
      <c r="Q159" s="2010"/>
      <c r="R159" s="2013"/>
      <c r="S159" s="1968"/>
      <c r="T159" s="2014"/>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2007"/>
      <c r="C160" s="2010"/>
      <c r="D160" s="1968"/>
      <c r="E160" s="2010"/>
      <c r="F160" s="1968"/>
      <c r="G160" s="2010"/>
      <c r="H160" s="1968"/>
      <c r="I160" s="2010"/>
      <c r="J160" s="1968"/>
      <c r="K160" s="2013"/>
      <c r="L160" s="2010"/>
      <c r="M160" s="1968"/>
      <c r="N160" s="2010"/>
      <c r="O160" s="1968"/>
      <c r="P160" s="2010"/>
      <c r="Q160" s="2010"/>
      <c r="R160" s="2013"/>
      <c r="S160" s="1968"/>
      <c r="T160" s="2014"/>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2007"/>
      <c r="C161" s="2010"/>
      <c r="D161" s="1968"/>
      <c r="E161" s="2010"/>
      <c r="F161" s="1968"/>
      <c r="G161" s="2010"/>
      <c r="H161" s="1968"/>
      <c r="I161" s="2010"/>
      <c r="J161" s="1968"/>
      <c r="K161" s="2013"/>
      <c r="L161" s="2010"/>
      <c r="M161" s="1968"/>
      <c r="N161" s="2010"/>
      <c r="O161" s="1968"/>
      <c r="P161" s="2010"/>
      <c r="Q161" s="2010"/>
      <c r="R161" s="2013"/>
      <c r="S161" s="1968"/>
      <c r="T161" s="2014"/>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2007"/>
      <c r="C162" s="2010"/>
      <c r="D162" s="1968"/>
      <c r="E162" s="2010"/>
      <c r="F162" s="1968"/>
      <c r="G162" s="2010"/>
      <c r="H162" s="1968"/>
      <c r="I162" s="2010"/>
      <c r="J162" s="1968"/>
      <c r="K162" s="2013"/>
      <c r="L162" s="2010"/>
      <c r="M162" s="1968"/>
      <c r="N162" s="2010"/>
      <c r="O162" s="1968"/>
      <c r="P162" s="2010"/>
      <c r="Q162" s="2010"/>
      <c r="R162" s="2013"/>
      <c r="S162" s="1968"/>
      <c r="T162" s="2014"/>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2007"/>
      <c r="C163" s="2010"/>
      <c r="D163" s="1968"/>
      <c r="E163" s="2010"/>
      <c r="F163" s="1968"/>
      <c r="G163" s="2010"/>
      <c r="H163" s="1968"/>
      <c r="I163" s="2010"/>
      <c r="J163" s="1968"/>
      <c r="K163" s="2013"/>
      <c r="L163" s="2010"/>
      <c r="M163" s="1968"/>
      <c r="N163" s="2010"/>
      <c r="O163" s="1968"/>
      <c r="P163" s="2010"/>
      <c r="Q163" s="2010"/>
      <c r="R163" s="2013"/>
      <c r="S163" s="1968"/>
      <c r="T163" s="2014"/>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2007"/>
      <c r="C164" s="2010"/>
      <c r="D164" s="1968"/>
      <c r="E164" s="2010"/>
      <c r="F164" s="1968"/>
      <c r="G164" s="2010"/>
      <c r="H164" s="1968"/>
      <c r="I164" s="2010"/>
      <c r="J164" s="1968"/>
      <c r="K164" s="2013"/>
      <c r="L164" s="2010"/>
      <c r="M164" s="1968"/>
      <c r="N164" s="2010"/>
      <c r="O164" s="1968"/>
      <c r="P164" s="2010"/>
      <c r="Q164" s="2010"/>
      <c r="R164" s="2013"/>
      <c r="S164" s="1968"/>
      <c r="T164" s="2014"/>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2007"/>
      <c r="C165" s="2010"/>
      <c r="D165" s="1968"/>
      <c r="E165" s="2010"/>
      <c r="F165" s="1968"/>
      <c r="G165" s="2010"/>
      <c r="H165" s="1968"/>
      <c r="I165" s="2010"/>
      <c r="J165" s="1968"/>
      <c r="K165" s="2013"/>
      <c r="L165" s="2010"/>
      <c r="M165" s="1968"/>
      <c r="N165" s="2010"/>
      <c r="O165" s="1968"/>
      <c r="P165" s="2010"/>
      <c r="Q165" s="2010"/>
      <c r="R165" s="2013"/>
      <c r="S165" s="1968"/>
      <c r="T165" s="2014"/>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2007"/>
      <c r="C166" s="2010"/>
      <c r="D166" s="1968"/>
      <c r="E166" s="2010"/>
      <c r="F166" s="1968"/>
      <c r="G166" s="2010"/>
      <c r="H166" s="1968"/>
      <c r="I166" s="2010"/>
      <c r="J166" s="1968"/>
      <c r="K166" s="2013"/>
      <c r="L166" s="2010"/>
      <c r="M166" s="1968"/>
      <c r="N166" s="2010"/>
      <c r="O166" s="1968"/>
      <c r="P166" s="2010"/>
      <c r="Q166" s="2010"/>
      <c r="R166" s="2013"/>
      <c r="S166" s="1968"/>
      <c r="T166" s="2014"/>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2007"/>
      <c r="C167" s="2010"/>
      <c r="D167" s="1968"/>
      <c r="E167" s="2010"/>
      <c r="F167" s="1968"/>
      <c r="G167" s="2010"/>
      <c r="H167" s="1968"/>
      <c r="I167" s="2010"/>
      <c r="J167" s="1968"/>
      <c r="K167" s="2013"/>
      <c r="L167" s="2010"/>
      <c r="M167" s="1968"/>
      <c r="N167" s="2010"/>
      <c r="O167" s="1968"/>
      <c r="P167" s="2010"/>
      <c r="Q167" s="2010"/>
      <c r="R167" s="2013"/>
      <c r="S167" s="1968"/>
      <c r="T167" s="2014"/>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2007"/>
      <c r="C168" s="2010"/>
      <c r="D168" s="1968"/>
      <c r="E168" s="2010"/>
      <c r="F168" s="1968"/>
      <c r="G168" s="2010"/>
      <c r="H168" s="1968"/>
      <c r="I168" s="2010"/>
      <c r="J168" s="1968"/>
      <c r="K168" s="2013"/>
      <c r="L168" s="2010"/>
      <c r="M168" s="1968"/>
      <c r="N168" s="2010"/>
      <c r="O168" s="1968"/>
      <c r="P168" s="2010"/>
      <c r="Q168" s="2010"/>
      <c r="R168" s="2013"/>
      <c r="S168" s="1968"/>
      <c r="T168" s="2014"/>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2007"/>
      <c r="C169" s="2010"/>
      <c r="D169" s="1968"/>
      <c r="E169" s="2010"/>
      <c r="F169" s="1968"/>
      <c r="G169" s="2010"/>
      <c r="H169" s="1968"/>
      <c r="I169" s="2010"/>
      <c r="J169" s="1968"/>
      <c r="K169" s="2013"/>
      <c r="L169" s="2010"/>
      <c r="M169" s="1968"/>
      <c r="N169" s="2010"/>
      <c r="O169" s="1968"/>
      <c r="P169" s="2010"/>
      <c r="Q169" s="2010"/>
      <c r="R169" s="2013"/>
      <c r="S169" s="1968"/>
      <c r="T169" s="2014"/>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2007"/>
      <c r="C170" s="2010"/>
      <c r="D170" s="1968"/>
      <c r="E170" s="2010"/>
      <c r="F170" s="1968"/>
      <c r="G170" s="2010"/>
      <c r="H170" s="1968"/>
      <c r="I170" s="2010"/>
      <c r="J170" s="1968"/>
      <c r="K170" s="2013"/>
      <c r="L170" s="2010"/>
      <c r="M170" s="1968"/>
      <c r="N170" s="2010"/>
      <c r="O170" s="1968"/>
      <c r="P170" s="2010"/>
      <c r="Q170" s="2010"/>
      <c r="R170" s="2013"/>
      <c r="S170" s="1968"/>
      <c r="T170" s="2014"/>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2007"/>
      <c r="C171" s="2010"/>
      <c r="D171" s="1968"/>
      <c r="E171" s="2010"/>
      <c r="F171" s="1968"/>
      <c r="G171" s="2010"/>
      <c r="H171" s="1968"/>
      <c r="I171" s="2010"/>
      <c r="J171" s="1968"/>
      <c r="K171" s="2013"/>
      <c r="L171" s="2010"/>
      <c r="M171" s="1968"/>
      <c r="N171" s="2010"/>
      <c r="O171" s="1968"/>
      <c r="P171" s="2010"/>
      <c r="Q171" s="2010"/>
      <c r="R171" s="2013"/>
      <c r="S171" s="1968"/>
      <c r="T171" s="2014"/>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2007"/>
      <c r="C172" s="2010"/>
      <c r="D172" s="1968"/>
      <c r="E172" s="2010"/>
      <c r="F172" s="1968"/>
      <c r="G172" s="2010"/>
      <c r="H172" s="1968"/>
      <c r="I172" s="2010"/>
      <c r="J172" s="1968"/>
      <c r="K172" s="2013"/>
      <c r="L172" s="2010"/>
      <c r="M172" s="1968"/>
      <c r="N172" s="2010"/>
      <c r="O172" s="1968"/>
      <c r="P172" s="2010"/>
      <c r="Q172" s="2010"/>
      <c r="R172" s="2013"/>
      <c r="S172" s="1968"/>
      <c r="T172" s="2014"/>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2007"/>
      <c r="C173" s="2010"/>
      <c r="D173" s="1968"/>
      <c r="E173" s="2010"/>
      <c r="F173" s="1968"/>
      <c r="G173" s="2010"/>
      <c r="H173" s="1968"/>
      <c r="I173" s="2010"/>
      <c r="J173" s="1968"/>
      <c r="K173" s="2013"/>
      <c r="L173" s="2010"/>
      <c r="M173" s="1968"/>
      <c r="N173" s="2010"/>
      <c r="O173" s="1968"/>
      <c r="P173" s="2010"/>
      <c r="Q173" s="2010"/>
      <c r="R173" s="2013"/>
      <c r="S173" s="1968"/>
      <c r="T173" s="2014"/>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2007"/>
      <c r="C174" s="2010"/>
      <c r="D174" s="1968"/>
      <c r="E174" s="2010"/>
      <c r="F174" s="1968"/>
      <c r="G174" s="2010"/>
      <c r="H174" s="1968"/>
      <c r="I174" s="2010"/>
      <c r="J174" s="1968"/>
      <c r="K174" s="2013"/>
      <c r="L174" s="2010"/>
      <c r="M174" s="1968"/>
      <c r="N174" s="2010"/>
      <c r="O174" s="1968"/>
      <c r="P174" s="2010"/>
      <c r="Q174" s="2010"/>
      <c r="R174" s="2013"/>
      <c r="S174" s="1968"/>
      <c r="T174" s="2014"/>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2007"/>
      <c r="C175" s="2010"/>
      <c r="D175" s="1968"/>
      <c r="E175" s="2010"/>
      <c r="F175" s="1968"/>
      <c r="G175" s="2010"/>
      <c r="H175" s="1968"/>
      <c r="I175" s="2010"/>
      <c r="J175" s="1968"/>
      <c r="K175" s="2013"/>
      <c r="L175" s="2010"/>
      <c r="M175" s="1968"/>
      <c r="N175" s="2010"/>
      <c r="O175" s="1968"/>
      <c r="P175" s="2010"/>
      <c r="Q175" s="2010"/>
      <c r="R175" s="2013"/>
      <c r="S175" s="1968"/>
      <c r="T175" s="2014"/>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2007"/>
      <c r="C176" s="2010"/>
      <c r="D176" s="1968"/>
      <c r="E176" s="2010"/>
      <c r="F176" s="1968"/>
      <c r="G176" s="2010"/>
      <c r="H176" s="1968"/>
      <c r="I176" s="2010"/>
      <c r="J176" s="1968"/>
      <c r="K176" s="2013"/>
      <c r="L176" s="2010"/>
      <c r="M176" s="1968"/>
      <c r="N176" s="2010"/>
      <c r="O176" s="1968"/>
      <c r="P176" s="2010"/>
      <c r="Q176" s="2010"/>
      <c r="R176" s="2013"/>
      <c r="S176" s="1968"/>
      <c r="T176" s="2014"/>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2007"/>
      <c r="C177" s="2010"/>
      <c r="D177" s="1968"/>
      <c r="E177" s="2010"/>
      <c r="F177" s="1968"/>
      <c r="G177" s="2010"/>
      <c r="H177" s="1968"/>
      <c r="I177" s="2010"/>
      <c r="J177" s="1968"/>
      <c r="K177" s="2013"/>
      <c r="L177" s="2010"/>
      <c r="M177" s="1968"/>
      <c r="N177" s="2010"/>
      <c r="O177" s="1968"/>
      <c r="P177" s="2010"/>
      <c r="Q177" s="2010"/>
      <c r="R177" s="2013"/>
      <c r="S177" s="1968"/>
      <c r="T177" s="2014"/>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2007"/>
      <c r="C178" s="2010"/>
      <c r="D178" s="1968"/>
      <c r="E178" s="2010"/>
      <c r="F178" s="1968"/>
      <c r="G178" s="2010"/>
      <c r="H178" s="1968"/>
      <c r="I178" s="2010"/>
      <c r="J178" s="1968"/>
      <c r="K178" s="2013"/>
      <c r="L178" s="2010"/>
      <c r="M178" s="1968"/>
      <c r="N178" s="2010"/>
      <c r="O178" s="1968"/>
      <c r="P178" s="2010"/>
      <c r="Q178" s="2010"/>
      <c r="R178" s="2013"/>
      <c r="S178" s="1968"/>
      <c r="T178" s="2014"/>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2007"/>
      <c r="C179" s="2010"/>
      <c r="D179" s="1968"/>
      <c r="E179" s="2010"/>
      <c r="F179" s="1968"/>
      <c r="G179" s="2010"/>
      <c r="H179" s="1968"/>
      <c r="I179" s="2010"/>
      <c r="J179" s="1968"/>
      <c r="K179" s="2013"/>
      <c r="L179" s="2010"/>
      <c r="M179" s="1968"/>
      <c r="N179" s="2010"/>
      <c r="O179" s="1968"/>
      <c r="P179" s="2010"/>
      <c r="Q179" s="2010"/>
      <c r="R179" s="2013"/>
      <c r="S179" s="1968"/>
      <c r="T179" s="2014"/>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2007"/>
      <c r="C180" s="2010"/>
      <c r="D180" s="1968"/>
      <c r="E180" s="2010"/>
      <c r="F180" s="1968"/>
      <c r="G180" s="2010"/>
      <c r="H180" s="1968"/>
      <c r="I180" s="2010"/>
      <c r="J180" s="1968"/>
      <c r="K180" s="2013"/>
      <c r="L180" s="2010"/>
      <c r="M180" s="1968"/>
      <c r="N180" s="2010"/>
      <c r="O180" s="1968"/>
      <c r="P180" s="2010"/>
      <c r="Q180" s="2010"/>
      <c r="R180" s="2013"/>
      <c r="S180" s="1968"/>
      <c r="T180" s="2014"/>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2007"/>
      <c r="C181" s="2010"/>
      <c r="D181" s="1968"/>
      <c r="E181" s="2010"/>
      <c r="F181" s="1968"/>
      <c r="G181" s="2010"/>
      <c r="H181" s="1968"/>
      <c r="I181" s="2010"/>
      <c r="J181" s="1968"/>
      <c r="K181" s="2013"/>
      <c r="L181" s="2010"/>
      <c r="M181" s="1968"/>
      <c r="N181" s="2010"/>
      <c r="O181" s="1968"/>
      <c r="P181" s="2010"/>
      <c r="Q181" s="2010"/>
      <c r="R181" s="2013"/>
      <c r="S181" s="1968"/>
      <c r="T181" s="2014"/>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2007"/>
      <c r="C182" s="2010"/>
      <c r="D182" s="1968"/>
      <c r="E182" s="2010"/>
      <c r="F182" s="1968"/>
      <c r="G182" s="2010"/>
      <c r="H182" s="1968"/>
      <c r="I182" s="2010"/>
      <c r="J182" s="1968"/>
      <c r="K182" s="2013"/>
      <c r="L182" s="2010"/>
      <c r="M182" s="1968"/>
      <c r="N182" s="2010"/>
      <c r="O182" s="1968"/>
      <c r="P182" s="2010"/>
      <c r="Q182" s="2010"/>
      <c r="R182" s="2013"/>
      <c r="S182" s="1968"/>
      <c r="T182" s="2014"/>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2007"/>
      <c r="C183" s="2010"/>
      <c r="D183" s="1968"/>
      <c r="E183" s="2010"/>
      <c r="F183" s="1968"/>
      <c r="G183" s="2010"/>
      <c r="H183" s="1968"/>
      <c r="I183" s="2010"/>
      <c r="J183" s="1968"/>
      <c r="K183" s="2013"/>
      <c r="L183" s="2010"/>
      <c r="M183" s="1968"/>
      <c r="N183" s="2010"/>
      <c r="O183" s="1968"/>
      <c r="P183" s="2010"/>
      <c r="Q183" s="2010"/>
      <c r="R183" s="2013"/>
      <c r="S183" s="1968"/>
      <c r="T183" s="2014"/>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2007"/>
      <c r="C184" s="2010"/>
      <c r="D184" s="1968"/>
      <c r="E184" s="2010"/>
      <c r="F184" s="1968"/>
      <c r="G184" s="2010"/>
      <c r="H184" s="1968"/>
      <c r="I184" s="2010"/>
      <c r="J184" s="1968"/>
      <c r="K184" s="2013"/>
      <c r="L184" s="2010"/>
      <c r="M184" s="1968"/>
      <c r="N184" s="2010"/>
      <c r="O184" s="1968"/>
      <c r="P184" s="2010"/>
      <c r="Q184" s="2010"/>
      <c r="R184" s="2013"/>
      <c r="S184" s="1968"/>
      <c r="T184" s="2014"/>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2007"/>
      <c r="C185" s="2010"/>
      <c r="D185" s="1968"/>
      <c r="E185" s="2010"/>
      <c r="F185" s="1968"/>
      <c r="G185" s="2010"/>
      <c r="H185" s="1968"/>
      <c r="I185" s="2010"/>
      <c r="J185" s="1968"/>
      <c r="K185" s="2013"/>
      <c r="L185" s="2010"/>
      <c r="M185" s="1968"/>
      <c r="N185" s="2010"/>
      <c r="O185" s="1968"/>
      <c r="P185" s="2010"/>
      <c r="Q185" s="2010"/>
      <c r="R185" s="2013"/>
      <c r="S185" s="1968"/>
      <c r="T185" s="2014"/>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2007"/>
      <c r="C186" s="2010"/>
      <c r="D186" s="1968"/>
      <c r="E186" s="2010"/>
      <c r="F186" s="1968"/>
      <c r="G186" s="2010"/>
      <c r="H186" s="1968"/>
      <c r="I186" s="2010"/>
      <c r="J186" s="1968"/>
      <c r="K186" s="2013"/>
      <c r="L186" s="2010"/>
      <c r="M186" s="1968"/>
      <c r="N186" s="2010"/>
      <c r="O186" s="1968"/>
      <c r="P186" s="2010"/>
      <c r="Q186" s="2010"/>
      <c r="R186" s="2013"/>
      <c r="S186" s="1968"/>
      <c r="T186" s="2014"/>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2007"/>
      <c r="C187" s="2010"/>
      <c r="D187" s="1968"/>
      <c r="E187" s="2010"/>
      <c r="F187" s="1968"/>
      <c r="G187" s="2010"/>
      <c r="H187" s="1968"/>
      <c r="I187" s="2010"/>
      <c r="J187" s="1968"/>
      <c r="K187" s="2013"/>
      <c r="L187" s="2010"/>
      <c r="M187" s="1968"/>
      <c r="N187" s="2010"/>
      <c r="O187" s="1968"/>
      <c r="P187" s="2010"/>
      <c r="Q187" s="2010"/>
      <c r="R187" s="2013"/>
      <c r="S187" s="1968"/>
      <c r="T187" s="2014"/>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2007"/>
      <c r="C188" s="2010"/>
      <c r="D188" s="1968"/>
      <c r="E188" s="2010"/>
      <c r="F188" s="1968"/>
      <c r="G188" s="2010"/>
      <c r="H188" s="1968"/>
      <c r="I188" s="2010"/>
      <c r="J188" s="1968"/>
      <c r="K188" s="2013"/>
      <c r="L188" s="2010"/>
      <c r="M188" s="1968"/>
      <c r="N188" s="2010"/>
      <c r="O188" s="1968"/>
      <c r="P188" s="2010"/>
      <c r="Q188" s="2010"/>
      <c r="R188" s="2013"/>
      <c r="S188" s="1968"/>
      <c r="T188" s="2014"/>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2007"/>
      <c r="C189" s="2010"/>
      <c r="D189" s="1968"/>
      <c r="E189" s="2010"/>
      <c r="F189" s="1968"/>
      <c r="G189" s="2010"/>
      <c r="H189" s="1968"/>
      <c r="I189" s="2010"/>
      <c r="J189" s="1968"/>
      <c r="K189" s="2013"/>
      <c r="L189" s="2010"/>
      <c r="M189" s="1968"/>
      <c r="N189" s="2010"/>
      <c r="O189" s="1968"/>
      <c r="P189" s="2010"/>
      <c r="Q189" s="2010"/>
      <c r="R189" s="2013"/>
      <c r="S189" s="1968"/>
      <c r="T189" s="2014"/>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2007"/>
      <c r="C190" s="2010"/>
      <c r="D190" s="1968"/>
      <c r="E190" s="2010"/>
      <c r="F190" s="1968"/>
      <c r="G190" s="2010"/>
      <c r="H190" s="1968"/>
      <c r="I190" s="2010"/>
      <c r="J190" s="1968"/>
      <c r="K190" s="2013"/>
      <c r="L190" s="2010"/>
      <c r="M190" s="1968"/>
      <c r="N190" s="2010"/>
      <c r="O190" s="1968"/>
      <c r="P190" s="2010"/>
      <c r="Q190" s="2010"/>
      <c r="R190" s="2013"/>
      <c r="S190" s="1968"/>
      <c r="T190" s="2014"/>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2007"/>
      <c r="C191" s="2010"/>
      <c r="D191" s="1968"/>
      <c r="E191" s="2010"/>
      <c r="F191" s="1968"/>
      <c r="G191" s="2010"/>
      <c r="H191" s="1968"/>
      <c r="I191" s="2010"/>
      <c r="J191" s="1968"/>
      <c r="K191" s="2013"/>
      <c r="L191" s="2010"/>
      <c r="M191" s="1968"/>
      <c r="N191" s="2010"/>
      <c r="O191" s="1968"/>
      <c r="P191" s="2010"/>
      <c r="Q191" s="2010"/>
      <c r="R191" s="2013"/>
      <c r="S191" s="1968"/>
      <c r="T191" s="2014"/>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2007"/>
      <c r="C192" s="2010"/>
      <c r="D192" s="1968"/>
      <c r="E192" s="2010"/>
      <c r="F192" s="1968"/>
      <c r="G192" s="2010"/>
      <c r="H192" s="1968"/>
      <c r="I192" s="2010"/>
      <c r="J192" s="1968"/>
      <c r="K192" s="2013"/>
      <c r="L192" s="2010"/>
      <c r="M192" s="1968"/>
      <c r="N192" s="2010"/>
      <c r="O192" s="1968"/>
      <c r="P192" s="2010"/>
      <c r="Q192" s="2010"/>
      <c r="R192" s="2013"/>
      <c r="S192" s="1968"/>
      <c r="T192" s="2014"/>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2007"/>
      <c r="C193" s="2010"/>
      <c r="D193" s="1968"/>
      <c r="E193" s="2010"/>
      <c r="F193" s="1968"/>
      <c r="G193" s="2010"/>
      <c r="H193" s="1968"/>
      <c r="I193" s="2010"/>
      <c r="J193" s="1968"/>
      <c r="K193" s="2013"/>
      <c r="L193" s="2010"/>
      <c r="M193" s="1968"/>
      <c r="N193" s="2010"/>
      <c r="O193" s="1968"/>
      <c r="P193" s="2010"/>
      <c r="Q193" s="2010"/>
      <c r="R193" s="2013"/>
      <c r="S193" s="1968"/>
      <c r="T193" s="2014"/>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2007"/>
      <c r="C194" s="2010"/>
      <c r="D194" s="1968"/>
      <c r="E194" s="2010"/>
      <c r="F194" s="1968"/>
      <c r="G194" s="2010"/>
      <c r="H194" s="1968"/>
      <c r="I194" s="2010"/>
      <c r="J194" s="1968"/>
      <c r="K194" s="2013"/>
      <c r="L194" s="2010"/>
      <c r="M194" s="1968"/>
      <c r="N194" s="2010"/>
      <c r="O194" s="1968"/>
      <c r="P194" s="2010"/>
      <c r="Q194" s="2010"/>
      <c r="R194" s="2013"/>
      <c r="S194" s="1968"/>
      <c r="T194" s="2014"/>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2007"/>
      <c r="C195" s="2010"/>
      <c r="D195" s="1968"/>
      <c r="E195" s="2010"/>
      <c r="F195" s="1968"/>
      <c r="G195" s="2010"/>
      <c r="H195" s="1968"/>
      <c r="I195" s="2010"/>
      <c r="J195" s="1968"/>
      <c r="K195" s="2013"/>
      <c r="L195" s="2010"/>
      <c r="M195" s="1968"/>
      <c r="N195" s="2010"/>
      <c r="O195" s="1968"/>
      <c r="P195" s="2010"/>
      <c r="Q195" s="2010"/>
      <c r="R195" s="2013"/>
      <c r="S195" s="1968"/>
      <c r="T195" s="2014"/>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2007"/>
      <c r="C196" s="2010"/>
      <c r="D196" s="1968"/>
      <c r="E196" s="2010"/>
      <c r="F196" s="1968"/>
      <c r="G196" s="2010"/>
      <c r="H196" s="1968"/>
      <c r="I196" s="2010"/>
      <c r="J196" s="1968"/>
      <c r="K196" s="2013"/>
      <c r="L196" s="2010"/>
      <c r="M196" s="1968"/>
      <c r="N196" s="2010"/>
      <c r="O196" s="1968"/>
      <c r="P196" s="2010"/>
      <c r="Q196" s="2010"/>
      <c r="R196" s="2013"/>
      <c r="S196" s="1968"/>
      <c r="T196" s="2014"/>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2007"/>
      <c r="C197" s="2010"/>
      <c r="D197" s="1968"/>
      <c r="E197" s="2010"/>
      <c r="F197" s="1968"/>
      <c r="G197" s="2010"/>
      <c r="H197" s="1968"/>
      <c r="I197" s="2010"/>
      <c r="J197" s="1968"/>
      <c r="K197" s="2013"/>
      <c r="L197" s="2010"/>
      <c r="M197" s="1968"/>
      <c r="N197" s="2010"/>
      <c r="O197" s="1968"/>
      <c r="P197" s="2010"/>
      <c r="Q197" s="2010"/>
      <c r="R197" s="2013"/>
      <c r="S197" s="1968"/>
      <c r="T197" s="2014"/>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2007"/>
      <c r="C198" s="2010"/>
      <c r="D198" s="1968"/>
      <c r="E198" s="2010"/>
      <c r="F198" s="1968"/>
      <c r="G198" s="2010"/>
      <c r="H198" s="1968"/>
      <c r="I198" s="2010"/>
      <c r="J198" s="1968"/>
      <c r="K198" s="2013"/>
      <c r="L198" s="2010"/>
      <c r="M198" s="1968"/>
      <c r="N198" s="2010"/>
      <c r="O198" s="1968"/>
      <c r="P198" s="2010"/>
      <c r="Q198" s="2010"/>
      <c r="R198" s="2013"/>
      <c r="S198" s="1968"/>
      <c r="T198" s="2014"/>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2007"/>
      <c r="C199" s="2010"/>
      <c r="D199" s="1968"/>
      <c r="E199" s="2010"/>
      <c r="F199" s="1968"/>
      <c r="G199" s="2010"/>
      <c r="H199" s="1968"/>
      <c r="I199" s="2010"/>
      <c r="J199" s="1968"/>
      <c r="K199" s="2013"/>
      <c r="L199" s="2010"/>
      <c r="M199" s="1968"/>
      <c r="N199" s="2010"/>
      <c r="O199" s="1968"/>
      <c r="P199" s="2010"/>
      <c r="Q199" s="2010"/>
      <c r="R199" s="2013"/>
      <c r="S199" s="1968"/>
      <c r="T199" s="2014"/>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2007"/>
      <c r="C200" s="2010"/>
      <c r="D200" s="1968"/>
      <c r="E200" s="2010"/>
      <c r="F200" s="1968"/>
      <c r="G200" s="2010"/>
      <c r="H200" s="1968"/>
      <c r="I200" s="2010"/>
      <c r="J200" s="1968"/>
      <c r="K200" s="2013"/>
      <c r="L200" s="2010"/>
      <c r="M200" s="1968"/>
      <c r="N200" s="2010"/>
      <c r="O200" s="1968"/>
      <c r="P200" s="2010"/>
      <c r="Q200" s="2010"/>
      <c r="R200" s="2013"/>
      <c r="S200" s="1968"/>
      <c r="T200" s="2014"/>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2007"/>
      <c r="C201" s="2010"/>
      <c r="D201" s="1968"/>
      <c r="E201" s="2010"/>
      <c r="F201" s="1968"/>
      <c r="G201" s="2010"/>
      <c r="H201" s="1968"/>
      <c r="I201" s="2010"/>
      <c r="J201" s="1968"/>
      <c r="K201" s="2013"/>
      <c r="L201" s="2010"/>
      <c r="M201" s="1968"/>
      <c r="N201" s="2010"/>
      <c r="O201" s="1968"/>
      <c r="P201" s="2010"/>
      <c r="Q201" s="2010"/>
      <c r="R201" s="2013"/>
      <c r="S201" s="1968"/>
      <c r="T201" s="2014"/>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2007"/>
      <c r="C202" s="2010"/>
      <c r="D202" s="1968"/>
      <c r="E202" s="2010"/>
      <c r="F202" s="1968"/>
      <c r="G202" s="2010"/>
      <c r="H202" s="1968"/>
      <c r="I202" s="2010"/>
      <c r="J202" s="1968"/>
      <c r="K202" s="2013"/>
      <c r="L202" s="2010"/>
      <c r="M202" s="1968"/>
      <c r="N202" s="2010"/>
      <c r="O202" s="1968"/>
      <c r="P202" s="2010"/>
      <c r="Q202" s="2010"/>
      <c r="R202" s="2013"/>
      <c r="S202" s="1968"/>
      <c r="T202" s="2014"/>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2007"/>
      <c r="C203" s="2010"/>
      <c r="D203" s="1968"/>
      <c r="E203" s="2010"/>
      <c r="F203" s="1968"/>
      <c r="G203" s="2010"/>
      <c r="H203" s="1968"/>
      <c r="I203" s="2010"/>
      <c r="J203" s="1968"/>
      <c r="K203" s="2013"/>
      <c r="L203" s="2010"/>
      <c r="M203" s="1968"/>
      <c r="N203" s="2010"/>
      <c r="O203" s="1968"/>
      <c r="P203" s="2010"/>
      <c r="Q203" s="2010"/>
      <c r="R203" s="2013"/>
      <c r="S203" s="1968"/>
      <c r="T203" s="2014"/>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2007"/>
      <c r="C204" s="2010"/>
      <c r="D204" s="1968"/>
      <c r="E204" s="2010"/>
      <c r="F204" s="1968"/>
      <c r="G204" s="2010"/>
      <c r="H204" s="1968"/>
      <c r="I204" s="2010"/>
      <c r="J204" s="1968"/>
      <c r="K204" s="2013"/>
      <c r="L204" s="2010"/>
      <c r="M204" s="1968"/>
      <c r="N204" s="2010"/>
      <c r="O204" s="1968"/>
      <c r="P204" s="2010"/>
      <c r="Q204" s="2010"/>
      <c r="R204" s="2013"/>
      <c r="S204" s="1968"/>
      <c r="T204" s="2014"/>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2007"/>
      <c r="C205" s="2010"/>
      <c r="D205" s="1968"/>
      <c r="E205" s="2010"/>
      <c r="F205" s="1968"/>
      <c r="G205" s="2010"/>
      <c r="H205" s="1968"/>
      <c r="I205" s="2010"/>
      <c r="J205" s="1968"/>
      <c r="K205" s="2013"/>
      <c r="L205" s="2010"/>
      <c r="M205" s="1968"/>
      <c r="N205" s="2010"/>
      <c r="O205" s="1968"/>
      <c r="P205" s="2010"/>
      <c r="Q205" s="2010"/>
      <c r="R205" s="2013"/>
      <c r="S205" s="1968"/>
      <c r="T205" s="2014"/>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2007"/>
      <c r="C206" s="2010"/>
      <c r="D206" s="1968"/>
      <c r="E206" s="2010"/>
      <c r="F206" s="1968"/>
      <c r="G206" s="2010"/>
      <c r="H206" s="1968"/>
      <c r="I206" s="2010"/>
      <c r="J206" s="1968"/>
      <c r="K206" s="2013"/>
      <c r="L206" s="2010"/>
      <c r="M206" s="1968"/>
      <c r="N206" s="2010"/>
      <c r="O206" s="1968"/>
      <c r="P206" s="2010"/>
      <c r="Q206" s="2010"/>
      <c r="R206" s="2013"/>
      <c r="S206" s="1968"/>
      <c r="T206" s="2014"/>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2007"/>
      <c r="C207" s="2010"/>
      <c r="D207" s="1968"/>
      <c r="E207" s="2010"/>
      <c r="F207" s="1968"/>
      <c r="G207" s="2010"/>
      <c r="H207" s="1968"/>
      <c r="I207" s="2010"/>
      <c r="J207" s="1968"/>
      <c r="K207" s="2013"/>
      <c r="L207" s="2010"/>
      <c r="M207" s="1968"/>
      <c r="N207" s="2010"/>
      <c r="O207" s="1968"/>
      <c r="P207" s="2010"/>
      <c r="Q207" s="2010"/>
      <c r="R207" s="2013"/>
      <c r="S207" s="1968"/>
      <c r="T207" s="2014"/>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2007"/>
      <c r="C208" s="2010"/>
      <c r="D208" s="1968"/>
      <c r="E208" s="2010"/>
      <c r="F208" s="1968"/>
      <c r="G208" s="2010"/>
      <c r="H208" s="1968"/>
      <c r="I208" s="2010"/>
      <c r="J208" s="1968"/>
      <c r="K208" s="2013"/>
      <c r="L208" s="2010"/>
      <c r="M208" s="1968"/>
      <c r="N208" s="2010"/>
      <c r="O208" s="1968"/>
      <c r="P208" s="2010"/>
      <c r="Q208" s="2010"/>
      <c r="R208" s="2013"/>
      <c r="S208" s="1968"/>
      <c r="T208" s="2014"/>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2007"/>
      <c r="C209" s="2010"/>
      <c r="D209" s="1968"/>
      <c r="E209" s="2010"/>
      <c r="F209" s="1968"/>
      <c r="G209" s="2010"/>
      <c r="H209" s="1968"/>
      <c r="I209" s="2010"/>
      <c r="J209" s="1968"/>
      <c r="K209" s="2013"/>
      <c r="L209" s="2010"/>
      <c r="M209" s="1968"/>
      <c r="N209" s="2010"/>
      <c r="O209" s="1968"/>
      <c r="P209" s="2010"/>
      <c r="Q209" s="2010"/>
      <c r="R209" s="2013"/>
      <c r="S209" s="1968"/>
      <c r="T209" s="2014"/>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2007"/>
      <c r="C210" s="2010"/>
      <c r="D210" s="1968"/>
      <c r="E210" s="2010"/>
      <c r="F210" s="1968"/>
      <c r="G210" s="2010"/>
      <c r="H210" s="1968"/>
      <c r="I210" s="2010"/>
      <c r="J210" s="1968"/>
      <c r="K210" s="2013"/>
      <c r="L210" s="2010"/>
      <c r="M210" s="1968"/>
      <c r="N210" s="2010"/>
      <c r="O210" s="1968"/>
      <c r="P210" s="2010"/>
      <c r="Q210" s="2010"/>
      <c r="R210" s="2013"/>
      <c r="S210" s="1968"/>
      <c r="T210" s="2014"/>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2007"/>
      <c r="C211" s="2010"/>
      <c r="D211" s="1968"/>
      <c r="E211" s="2010"/>
      <c r="F211" s="1968"/>
      <c r="G211" s="2010"/>
      <c r="H211" s="1968"/>
      <c r="I211" s="2010"/>
      <c r="J211" s="1968"/>
      <c r="K211" s="2013"/>
      <c r="L211" s="2010"/>
      <c r="M211" s="1968"/>
      <c r="N211" s="2010"/>
      <c r="O211" s="1968"/>
      <c r="P211" s="2010"/>
      <c r="Q211" s="2010"/>
      <c r="R211" s="2013"/>
      <c r="S211" s="1968"/>
      <c r="T211" s="2014"/>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2007"/>
      <c r="C212" s="2010"/>
      <c r="D212" s="1968"/>
      <c r="E212" s="2010"/>
      <c r="F212" s="1968"/>
      <c r="G212" s="2010"/>
      <c r="H212" s="1968"/>
      <c r="I212" s="2010"/>
      <c r="J212" s="1968"/>
      <c r="K212" s="2013"/>
      <c r="L212" s="2010"/>
      <c r="M212" s="1968"/>
      <c r="N212" s="2010"/>
      <c r="O212" s="1968"/>
      <c r="P212" s="2010"/>
      <c r="Q212" s="2010"/>
      <c r="R212" s="2013"/>
      <c r="S212" s="1968"/>
      <c r="T212" s="2014"/>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2007"/>
      <c r="C213" s="2010"/>
      <c r="D213" s="1968"/>
      <c r="E213" s="2010"/>
      <c r="F213" s="1968"/>
      <c r="G213" s="2010"/>
      <c r="H213" s="1968"/>
      <c r="I213" s="2010"/>
      <c r="J213" s="1968"/>
      <c r="K213" s="2013"/>
      <c r="L213" s="2010"/>
      <c r="M213" s="1968"/>
      <c r="N213" s="2010"/>
      <c r="O213" s="1968"/>
      <c r="P213" s="2010"/>
      <c r="Q213" s="2010"/>
      <c r="R213" s="2013"/>
      <c r="S213" s="1968"/>
      <c r="T213" s="2014"/>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2007"/>
      <c r="C214" s="2010"/>
      <c r="D214" s="1968"/>
      <c r="E214" s="2010"/>
      <c r="F214" s="1968"/>
      <c r="G214" s="2010"/>
      <c r="H214" s="1968"/>
      <c r="I214" s="2010"/>
      <c r="J214" s="1968"/>
      <c r="K214" s="2013"/>
      <c r="L214" s="2010"/>
      <c r="M214" s="1968"/>
      <c r="N214" s="2010"/>
      <c r="O214" s="1968"/>
      <c r="P214" s="2010"/>
      <c r="Q214" s="2010"/>
      <c r="R214" s="2013"/>
      <c r="S214" s="1968"/>
      <c r="T214" s="2014"/>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2007"/>
      <c r="C215" s="2010"/>
      <c r="D215" s="1968"/>
      <c r="E215" s="2010"/>
      <c r="F215" s="1968"/>
      <c r="G215" s="2010"/>
      <c r="H215" s="1968"/>
      <c r="I215" s="2010"/>
      <c r="J215" s="1968"/>
      <c r="K215" s="2013"/>
      <c r="L215" s="2010"/>
      <c r="M215" s="1968"/>
      <c r="N215" s="2010"/>
      <c r="O215" s="1968"/>
      <c r="P215" s="2010"/>
      <c r="Q215" s="2010"/>
      <c r="R215" s="2013"/>
      <c r="S215" s="1968"/>
      <c r="T215" s="2014"/>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2007"/>
      <c r="C216" s="2010"/>
      <c r="D216" s="1968"/>
      <c r="E216" s="2010"/>
      <c r="F216" s="1968"/>
      <c r="G216" s="2010"/>
      <c r="H216" s="1968"/>
      <c r="I216" s="2010"/>
      <c r="J216" s="1968"/>
      <c r="K216" s="2013"/>
      <c r="L216" s="2010"/>
      <c r="M216" s="1968"/>
      <c r="N216" s="2010"/>
      <c r="O216" s="1968"/>
      <c r="P216" s="2010"/>
      <c r="Q216" s="2010"/>
      <c r="R216" s="2013"/>
      <c r="S216" s="1968"/>
      <c r="T216" s="2014"/>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2007"/>
      <c r="C217" s="2010"/>
      <c r="D217" s="1968"/>
      <c r="E217" s="2010"/>
      <c r="F217" s="1968"/>
      <c r="G217" s="2010"/>
      <c r="H217" s="1968"/>
      <c r="I217" s="2010"/>
      <c r="J217" s="1968"/>
      <c r="K217" s="2013"/>
      <c r="L217" s="2010"/>
      <c r="M217" s="1968"/>
      <c r="N217" s="2010"/>
      <c r="O217" s="1968"/>
      <c r="P217" s="2010"/>
      <c r="Q217" s="2010"/>
      <c r="R217" s="2013"/>
      <c r="S217" s="1968"/>
      <c r="T217" s="2014"/>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2007"/>
      <c r="C218" s="2010"/>
      <c r="D218" s="1968"/>
      <c r="E218" s="2010"/>
      <c r="F218" s="1968"/>
      <c r="G218" s="2010"/>
      <c r="H218" s="1968"/>
      <c r="I218" s="2010"/>
      <c r="J218" s="1968"/>
      <c r="K218" s="2013"/>
      <c r="L218" s="2010"/>
      <c r="M218" s="1968"/>
      <c r="N218" s="2010"/>
      <c r="O218" s="1968"/>
      <c r="P218" s="2010"/>
      <c r="Q218" s="2010"/>
      <c r="R218" s="2013"/>
      <c r="S218" s="1968"/>
      <c r="T218" s="2014"/>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2007"/>
      <c r="C219" s="2010"/>
      <c r="D219" s="1968"/>
      <c r="E219" s="2010"/>
      <c r="F219" s="1968"/>
      <c r="G219" s="2010"/>
      <c r="H219" s="1968"/>
      <c r="I219" s="2010"/>
      <c r="J219" s="1968"/>
      <c r="K219" s="2013"/>
      <c r="L219" s="2010"/>
      <c r="M219" s="1968"/>
      <c r="N219" s="2010"/>
      <c r="O219" s="1968"/>
      <c r="P219" s="2010"/>
      <c r="Q219" s="2010"/>
      <c r="R219" s="2013"/>
      <c r="S219" s="1968"/>
      <c r="T219" s="2014"/>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2007"/>
      <c r="C220" s="2010"/>
      <c r="D220" s="1968"/>
      <c r="E220" s="2010"/>
      <c r="F220" s="1968"/>
      <c r="G220" s="2010"/>
      <c r="H220" s="1968"/>
      <c r="I220" s="2010"/>
      <c r="J220" s="1968"/>
      <c r="K220" s="2013"/>
      <c r="L220" s="2010"/>
      <c r="M220" s="1968"/>
      <c r="N220" s="2010"/>
      <c r="O220" s="1968"/>
      <c r="P220" s="2010"/>
      <c r="Q220" s="2010"/>
      <c r="R220" s="2013"/>
      <c r="S220" s="1968"/>
      <c r="T220" s="2014"/>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2007"/>
      <c r="C221" s="2010"/>
      <c r="D221" s="1968"/>
      <c r="E221" s="2010"/>
      <c r="F221" s="1968"/>
      <c r="G221" s="2010"/>
      <c r="H221" s="1968"/>
      <c r="I221" s="2010"/>
      <c r="J221" s="1968"/>
      <c r="K221" s="2013"/>
      <c r="L221" s="2010"/>
      <c r="M221" s="1968"/>
      <c r="N221" s="2010"/>
      <c r="O221" s="1968"/>
      <c r="P221" s="2010"/>
      <c r="Q221" s="2010"/>
      <c r="R221" s="2013"/>
      <c r="S221" s="1968"/>
      <c r="T221" s="2014"/>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2007"/>
      <c r="C222" s="2010"/>
      <c r="D222" s="1968"/>
      <c r="E222" s="2010"/>
      <c r="F222" s="1968"/>
      <c r="G222" s="2010"/>
      <c r="H222" s="1968"/>
      <c r="I222" s="2010"/>
      <c r="J222" s="1968"/>
      <c r="K222" s="2013"/>
      <c r="L222" s="2010"/>
      <c r="M222" s="1968"/>
      <c r="N222" s="2010"/>
      <c r="O222" s="1968"/>
      <c r="P222" s="2010"/>
      <c r="Q222" s="2010"/>
      <c r="R222" s="2013"/>
      <c r="S222" s="1968"/>
      <c r="T222" s="2014"/>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2007"/>
      <c r="C223" s="2010"/>
      <c r="D223" s="1968"/>
      <c r="E223" s="2010"/>
      <c r="F223" s="1968"/>
      <c r="G223" s="2010"/>
      <c r="H223" s="1968"/>
      <c r="I223" s="2010"/>
      <c r="J223" s="1968"/>
      <c r="K223" s="2013"/>
      <c r="L223" s="2010"/>
      <c r="M223" s="1968"/>
      <c r="N223" s="2010"/>
      <c r="O223" s="1968"/>
      <c r="P223" s="2010"/>
      <c r="Q223" s="2010"/>
      <c r="R223" s="2013"/>
      <c r="S223" s="1968"/>
      <c r="T223" s="2014"/>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2007"/>
      <c r="C224" s="2010"/>
      <c r="D224" s="1968"/>
      <c r="E224" s="2010"/>
      <c r="F224" s="1968"/>
      <c r="G224" s="2010"/>
      <c r="H224" s="1968"/>
      <c r="I224" s="2010"/>
      <c r="J224" s="1968"/>
      <c r="K224" s="2013"/>
      <c r="L224" s="2010"/>
      <c r="M224" s="1968"/>
      <c r="N224" s="2010"/>
      <c r="O224" s="1968"/>
      <c r="P224" s="2010"/>
      <c r="Q224" s="2010"/>
      <c r="R224" s="2013"/>
      <c r="S224" s="1968"/>
      <c r="T224" s="2014"/>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2007"/>
      <c r="C225" s="2010"/>
      <c r="D225" s="1968"/>
      <c r="E225" s="2010"/>
      <c r="F225" s="1968"/>
      <c r="G225" s="2010"/>
      <c r="H225" s="1968"/>
      <c r="I225" s="2010"/>
      <c r="J225" s="1968"/>
      <c r="K225" s="2013"/>
      <c r="L225" s="2010"/>
      <c r="M225" s="1968"/>
      <c r="N225" s="2010"/>
      <c r="O225" s="1968"/>
      <c r="P225" s="2010"/>
      <c r="Q225" s="2010"/>
      <c r="R225" s="2013"/>
      <c r="S225" s="1968"/>
      <c r="T225" s="2014"/>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2007"/>
      <c r="C226" s="2010"/>
      <c r="D226" s="1968"/>
      <c r="E226" s="2010"/>
      <c r="F226" s="1968"/>
      <c r="G226" s="2010"/>
      <c r="H226" s="1968"/>
      <c r="I226" s="2010"/>
      <c r="J226" s="1968"/>
      <c r="K226" s="2013"/>
      <c r="L226" s="2010"/>
      <c r="M226" s="1968"/>
      <c r="N226" s="2010"/>
      <c r="O226" s="1968"/>
      <c r="P226" s="2010"/>
      <c r="Q226" s="2010"/>
      <c r="R226" s="2013"/>
      <c r="S226" s="1968"/>
      <c r="T226" s="2014"/>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2007"/>
      <c r="C227" s="2010"/>
      <c r="D227" s="1968"/>
      <c r="E227" s="2010"/>
      <c r="F227" s="1968"/>
      <c r="G227" s="2010"/>
      <c r="H227" s="1968"/>
      <c r="I227" s="2010"/>
      <c r="J227" s="1968"/>
      <c r="K227" s="2013"/>
      <c r="L227" s="2010"/>
      <c r="M227" s="1968"/>
      <c r="N227" s="2010"/>
      <c r="O227" s="1968"/>
      <c r="P227" s="2010"/>
      <c r="Q227" s="2010"/>
      <c r="R227" s="2013"/>
      <c r="S227" s="1968"/>
      <c r="T227" s="2014"/>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2007"/>
      <c r="C228" s="2010"/>
      <c r="D228" s="1968"/>
      <c r="E228" s="2010"/>
      <c r="F228" s="1968"/>
      <c r="G228" s="2010"/>
      <c r="H228" s="1968"/>
      <c r="I228" s="2010"/>
      <c r="J228" s="1968"/>
      <c r="K228" s="2013"/>
      <c r="L228" s="2010"/>
      <c r="M228" s="1968"/>
      <c r="N228" s="2010"/>
      <c r="O228" s="1968"/>
      <c r="P228" s="2010"/>
      <c r="Q228" s="2010"/>
      <c r="R228" s="2013"/>
      <c r="S228" s="1968"/>
      <c r="T228" s="2014"/>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2007"/>
      <c r="C229" s="2010"/>
      <c r="D229" s="1968"/>
      <c r="E229" s="2010"/>
      <c r="F229" s="1968"/>
      <c r="G229" s="2010"/>
      <c r="H229" s="1968"/>
      <c r="I229" s="2010"/>
      <c r="J229" s="1968"/>
      <c r="K229" s="2013"/>
      <c r="L229" s="2010"/>
      <c r="M229" s="1968"/>
      <c r="N229" s="2010"/>
      <c r="O229" s="1968"/>
      <c r="P229" s="2010"/>
      <c r="Q229" s="2010"/>
      <c r="R229" s="2013"/>
      <c r="S229" s="1968"/>
      <c r="T229" s="2014"/>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2007"/>
      <c r="C230" s="2010"/>
      <c r="D230" s="1968"/>
      <c r="E230" s="2010"/>
      <c r="F230" s="1968"/>
      <c r="G230" s="2010"/>
      <c r="H230" s="1968"/>
      <c r="I230" s="2010"/>
      <c r="J230" s="1968"/>
      <c r="K230" s="2013"/>
      <c r="L230" s="2010"/>
      <c r="M230" s="1968"/>
      <c r="N230" s="2010"/>
      <c r="O230" s="1968"/>
      <c r="P230" s="2010"/>
      <c r="Q230" s="2010"/>
      <c r="R230" s="2013"/>
      <c r="S230" s="1968"/>
      <c r="T230" s="2014"/>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2007"/>
      <c r="C231" s="2010"/>
      <c r="D231" s="1968"/>
      <c r="E231" s="2010"/>
      <c r="F231" s="1968"/>
      <c r="G231" s="2010"/>
      <c r="H231" s="1968"/>
      <c r="I231" s="2010"/>
      <c r="J231" s="1968"/>
      <c r="K231" s="2013"/>
      <c r="L231" s="2010"/>
      <c r="M231" s="1968"/>
      <c r="N231" s="2010"/>
      <c r="O231" s="1968"/>
      <c r="P231" s="2010"/>
      <c r="Q231" s="2010"/>
      <c r="R231" s="2013"/>
      <c r="S231" s="1968"/>
      <c r="T231" s="2014"/>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2007"/>
      <c r="C232" s="2010"/>
      <c r="D232" s="1968"/>
      <c r="E232" s="2010"/>
      <c r="F232" s="1968"/>
      <c r="G232" s="2010"/>
      <c r="H232" s="1968"/>
      <c r="I232" s="2010"/>
      <c r="J232" s="1968"/>
      <c r="K232" s="2013"/>
      <c r="L232" s="2010"/>
      <c r="M232" s="1968"/>
      <c r="N232" s="2010"/>
      <c r="O232" s="1968"/>
      <c r="P232" s="2010"/>
      <c r="Q232" s="2010"/>
      <c r="R232" s="2013"/>
      <c r="S232" s="1968"/>
      <c r="T232" s="2014"/>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2007"/>
      <c r="C233" s="2010"/>
      <c r="D233" s="1968"/>
      <c r="E233" s="2010"/>
      <c r="F233" s="1968"/>
      <c r="G233" s="2010"/>
      <c r="H233" s="1968"/>
      <c r="I233" s="2010"/>
      <c r="J233" s="1968"/>
      <c r="K233" s="2013"/>
      <c r="L233" s="2010"/>
      <c r="M233" s="1968"/>
      <c r="N233" s="2010"/>
      <c r="O233" s="1968"/>
      <c r="P233" s="2010"/>
      <c r="Q233" s="2010"/>
      <c r="R233" s="2013"/>
      <c r="S233" s="1968"/>
      <c r="T233" s="2014"/>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2007"/>
      <c r="C234" s="2010"/>
      <c r="D234" s="1968"/>
      <c r="E234" s="2010"/>
      <c r="F234" s="1968"/>
      <c r="G234" s="2010"/>
      <c r="H234" s="1968"/>
      <c r="I234" s="2010"/>
      <c r="J234" s="1968"/>
      <c r="K234" s="2013"/>
      <c r="L234" s="2010"/>
      <c r="M234" s="1968"/>
      <c r="N234" s="2010"/>
      <c r="O234" s="1968"/>
      <c r="P234" s="2010"/>
      <c r="Q234" s="2010"/>
      <c r="R234" s="2013"/>
      <c r="S234" s="1968"/>
      <c r="T234" s="2014"/>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2007"/>
      <c r="C235" s="2010"/>
      <c r="D235" s="1968"/>
      <c r="E235" s="2010"/>
      <c r="F235" s="1968"/>
      <c r="G235" s="2010"/>
      <c r="H235" s="1968"/>
      <c r="I235" s="2010"/>
      <c r="J235" s="1968"/>
      <c r="K235" s="2013"/>
      <c r="L235" s="2010"/>
      <c r="M235" s="1968"/>
      <c r="N235" s="2010"/>
      <c r="O235" s="1968"/>
      <c r="P235" s="2010"/>
      <c r="Q235" s="2010"/>
      <c r="R235" s="2013"/>
      <c r="S235" s="1968"/>
      <c r="T235" s="2014"/>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2007"/>
      <c r="C236" s="2010"/>
      <c r="D236" s="1968"/>
      <c r="E236" s="2010"/>
      <c r="F236" s="1968"/>
      <c r="G236" s="2010"/>
      <c r="H236" s="1968"/>
      <c r="I236" s="2010"/>
      <c r="J236" s="1968"/>
      <c r="K236" s="2013"/>
      <c r="L236" s="2010"/>
      <c r="M236" s="1968"/>
      <c r="N236" s="2010"/>
      <c r="O236" s="1968"/>
      <c r="P236" s="2010"/>
      <c r="Q236" s="2010"/>
      <c r="R236" s="2013"/>
      <c r="S236" s="1968"/>
      <c r="T236" s="2014"/>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x14ac:dyDescent="0.2">
      <c r="C237" s="2017"/>
      <c r="E237" s="2017"/>
      <c r="G237" s="2017"/>
      <c r="I237" s="2017"/>
      <c r="K237" s="2018"/>
      <c r="N237" s="2017"/>
      <c r="R237" s="2018"/>
      <c r="T237" s="2014"/>
    </row>
    <row r="238" spans="1:71" x14ac:dyDescent="0.2">
      <c r="C238" s="2017"/>
      <c r="E238" s="2017"/>
      <c r="G238" s="2017"/>
      <c r="I238" s="2017"/>
      <c r="K238" s="2018"/>
      <c r="N238" s="2017"/>
      <c r="R238" s="2018"/>
      <c r="T238" s="2014"/>
    </row>
    <row r="239" spans="1:71" x14ac:dyDescent="0.2">
      <c r="C239" s="2017"/>
      <c r="E239" s="2017"/>
      <c r="G239" s="2017"/>
      <c r="I239" s="2017"/>
      <c r="K239" s="2018"/>
      <c r="N239" s="2017"/>
      <c r="R239" s="2018"/>
      <c r="T239" s="2014"/>
    </row>
    <row r="240" spans="1:71" x14ac:dyDescent="0.2">
      <c r="C240" s="2017"/>
      <c r="E240" s="2017"/>
      <c r="G240" s="2017"/>
      <c r="I240" s="2017"/>
      <c r="K240" s="2018"/>
      <c r="N240" s="2017"/>
      <c r="R240" s="2018"/>
      <c r="T240" s="2014"/>
    </row>
    <row r="241" spans="2:22" x14ac:dyDescent="0.2">
      <c r="C241" s="2017"/>
      <c r="E241" s="2017"/>
      <c r="G241" s="2017"/>
      <c r="I241" s="2017"/>
      <c r="K241" s="2018"/>
      <c r="N241" s="2017"/>
      <c r="R241" s="2018"/>
      <c r="T241" s="2014"/>
    </row>
    <row r="242" spans="2:22" x14ac:dyDescent="0.2">
      <c r="C242" s="2017"/>
      <c r="E242" s="2017"/>
      <c r="G242" s="2017"/>
      <c r="I242" s="2017"/>
      <c r="K242" s="2018"/>
      <c r="N242" s="2017"/>
      <c r="R242" s="2018"/>
      <c r="T242" s="2014"/>
    </row>
    <row r="243" spans="2:22" x14ac:dyDescent="0.2">
      <c r="C243" s="2017"/>
      <c r="E243" s="2017"/>
      <c r="G243" s="2017"/>
      <c r="I243" s="2017"/>
      <c r="K243" s="2018"/>
      <c r="N243" s="2017"/>
      <c r="R243" s="2018"/>
      <c r="T243" s="2014"/>
    </row>
    <row r="244" spans="2:22" x14ac:dyDescent="0.2">
      <c r="C244" s="2017"/>
      <c r="E244" s="2017"/>
      <c r="G244" s="2017"/>
      <c r="I244" s="2017"/>
      <c r="K244" s="2018"/>
      <c r="N244" s="2017"/>
      <c r="R244" s="2018"/>
      <c r="T244" s="2014"/>
    </row>
    <row r="245" spans="2:22" x14ac:dyDescent="0.2">
      <c r="C245" s="2017"/>
      <c r="E245" s="2017"/>
      <c r="G245" s="2017"/>
      <c r="I245" s="2017"/>
      <c r="K245" s="2018"/>
      <c r="N245" s="2017"/>
      <c r="R245" s="2018"/>
      <c r="T245" s="2014"/>
    </row>
    <row r="246" spans="2:22" x14ac:dyDescent="0.2">
      <c r="C246" s="2017"/>
      <c r="E246" s="2017"/>
      <c r="G246" s="2017"/>
      <c r="I246" s="2017"/>
      <c r="K246" s="2018"/>
      <c r="N246" s="2017"/>
      <c r="R246" s="2018"/>
      <c r="T246" s="2014"/>
    </row>
    <row r="247" spans="2:22" x14ac:dyDescent="0.2">
      <c r="C247" s="2017"/>
      <c r="E247" s="2017"/>
      <c r="G247" s="2017"/>
      <c r="I247" s="2017"/>
      <c r="K247" s="2018"/>
      <c r="N247" s="2017"/>
      <c r="R247" s="2018"/>
      <c r="T247" s="2014"/>
    </row>
    <row r="248" spans="2:22" x14ac:dyDescent="0.2">
      <c r="C248" s="2017"/>
      <c r="E248" s="2017"/>
      <c r="G248" s="2017"/>
      <c r="I248" s="2017"/>
      <c r="K248" s="2018"/>
      <c r="N248" s="2017"/>
      <c r="R248" s="2018"/>
      <c r="T248" s="2014"/>
    </row>
    <row r="249" spans="2:22" x14ac:dyDescent="0.2">
      <c r="C249" s="2017"/>
      <c r="E249" s="2017"/>
      <c r="G249" s="2017"/>
      <c r="I249" s="2017"/>
      <c r="K249" s="2018"/>
      <c r="N249" s="2017"/>
      <c r="R249" s="2018"/>
      <c r="T249" s="2014"/>
    </row>
    <row r="250" spans="2:22" x14ac:dyDescent="0.2">
      <c r="C250" s="2017"/>
      <c r="E250" s="2017"/>
      <c r="G250" s="2017"/>
      <c r="I250" s="2017"/>
      <c r="K250" s="2018"/>
      <c r="N250" s="2017"/>
      <c r="R250" s="2018"/>
      <c r="T250" s="2014"/>
    </row>
    <row r="251" spans="2:22" x14ac:dyDescent="0.2">
      <c r="C251" s="2017"/>
      <c r="E251" s="2017"/>
      <c r="G251" s="2017"/>
      <c r="I251" s="2017"/>
      <c r="K251" s="2018"/>
      <c r="N251" s="2017"/>
      <c r="R251" s="2018"/>
      <c r="T251" s="2014"/>
    </row>
    <row r="252" spans="2:22" s="10" customFormat="1" x14ac:dyDescent="0.2">
      <c r="B252" s="2007"/>
      <c r="C252" s="2017"/>
      <c r="D252" s="1590"/>
      <c r="E252" s="2017"/>
      <c r="F252" s="1590"/>
      <c r="G252" s="2017"/>
      <c r="H252" s="1590"/>
      <c r="I252" s="2017"/>
      <c r="J252" s="1590"/>
      <c r="K252" s="2018"/>
      <c r="L252" s="2017"/>
      <c r="M252" s="1590"/>
      <c r="N252" s="2017"/>
      <c r="O252" s="1590"/>
      <c r="P252" s="2017"/>
      <c r="Q252" s="2017"/>
      <c r="R252" s="2018"/>
      <c r="S252" s="1590"/>
      <c r="T252" s="2014"/>
      <c r="V252" s="30"/>
    </row>
    <row r="253" spans="2:22" s="10" customFormat="1" x14ac:dyDescent="0.2">
      <c r="B253" s="2007"/>
      <c r="C253" s="2017"/>
      <c r="D253" s="1590"/>
      <c r="E253" s="2017"/>
      <c r="F253" s="1590"/>
      <c r="G253" s="2017"/>
      <c r="H253" s="1590"/>
      <c r="I253" s="2017"/>
      <c r="J253" s="1590"/>
      <c r="K253" s="2018"/>
      <c r="L253" s="2017"/>
      <c r="M253" s="1590"/>
      <c r="N253" s="2017"/>
      <c r="O253" s="1590"/>
      <c r="P253" s="2017"/>
      <c r="Q253" s="2017"/>
      <c r="R253" s="2018"/>
      <c r="S253" s="1590"/>
      <c r="T253" s="2014"/>
      <c r="V253" s="30"/>
    </row>
    <row r="254" spans="2:22" s="10" customFormat="1" x14ac:dyDescent="0.2">
      <c r="B254" s="2007"/>
      <c r="C254" s="2017"/>
      <c r="D254" s="1590"/>
      <c r="E254" s="2017"/>
      <c r="F254" s="1590"/>
      <c r="G254" s="2017"/>
      <c r="H254" s="1590"/>
      <c r="I254" s="2017"/>
      <c r="J254" s="1590"/>
      <c r="K254" s="2018"/>
      <c r="L254" s="2017"/>
      <c r="M254" s="1590"/>
      <c r="N254" s="2017"/>
      <c r="O254" s="1590"/>
      <c r="P254" s="2017"/>
      <c r="Q254" s="2017"/>
      <c r="R254" s="2018"/>
      <c r="S254" s="1590"/>
      <c r="T254" s="2014"/>
      <c r="V254" s="30"/>
    </row>
    <row r="255" spans="2:22" s="10" customFormat="1" x14ac:dyDescent="0.2">
      <c r="B255" s="2007"/>
      <c r="C255" s="2017"/>
      <c r="D255" s="1590"/>
      <c r="E255" s="2017"/>
      <c r="F255" s="1590"/>
      <c r="G255" s="2017"/>
      <c r="H255" s="1590"/>
      <c r="I255" s="2017"/>
      <c r="J255" s="1590"/>
      <c r="K255" s="2018"/>
      <c r="L255" s="2017"/>
      <c r="M255" s="1590"/>
      <c r="N255" s="2017"/>
      <c r="O255" s="1590"/>
      <c r="P255" s="2017"/>
      <c r="Q255" s="2017"/>
      <c r="R255" s="2018"/>
      <c r="S255" s="1590"/>
      <c r="T255" s="2014"/>
      <c r="V255" s="30"/>
    </row>
    <row r="256" spans="2:22" s="10" customFormat="1" x14ac:dyDescent="0.2">
      <c r="B256" s="2007"/>
      <c r="C256" s="2017"/>
      <c r="D256" s="1590"/>
      <c r="E256" s="2017"/>
      <c r="F256" s="1590"/>
      <c r="G256" s="2017"/>
      <c r="H256" s="1590"/>
      <c r="I256" s="2017"/>
      <c r="J256" s="1590"/>
      <c r="K256" s="2018"/>
      <c r="L256" s="2017"/>
      <c r="M256" s="1590"/>
      <c r="N256" s="2017"/>
      <c r="O256" s="1590"/>
      <c r="P256" s="2017"/>
      <c r="Q256" s="2017"/>
      <c r="R256" s="2018"/>
      <c r="S256" s="1590"/>
      <c r="T256" s="2014"/>
      <c r="V256" s="30"/>
    </row>
    <row r="257" spans="2:22" s="10" customFormat="1" x14ac:dyDescent="0.2">
      <c r="B257" s="2007"/>
      <c r="C257" s="2017"/>
      <c r="D257" s="1590"/>
      <c r="E257" s="2017"/>
      <c r="F257" s="1590"/>
      <c r="G257" s="2017"/>
      <c r="H257" s="1590"/>
      <c r="I257" s="2017"/>
      <c r="J257" s="1590"/>
      <c r="K257" s="2018"/>
      <c r="L257" s="2017"/>
      <c r="M257" s="1590"/>
      <c r="N257" s="2017"/>
      <c r="O257" s="1590"/>
      <c r="P257" s="2017"/>
      <c r="Q257" s="2017"/>
      <c r="R257" s="2018"/>
      <c r="S257" s="1590"/>
      <c r="T257" s="2014"/>
      <c r="V257" s="30"/>
    </row>
    <row r="258" spans="2:22" s="10" customFormat="1" x14ac:dyDescent="0.2">
      <c r="B258" s="2007"/>
      <c r="C258" s="2017"/>
      <c r="D258" s="1590"/>
      <c r="E258" s="2017"/>
      <c r="F258" s="1590"/>
      <c r="G258" s="2017"/>
      <c r="H258" s="1590"/>
      <c r="I258" s="2017"/>
      <c r="J258" s="1590"/>
      <c r="K258" s="2018"/>
      <c r="L258" s="2017"/>
      <c r="M258" s="1590"/>
      <c r="N258" s="2017"/>
      <c r="O258" s="1590"/>
      <c r="P258" s="2017"/>
      <c r="Q258" s="2017"/>
      <c r="R258" s="2018"/>
      <c r="S258" s="1590"/>
      <c r="T258" s="2014"/>
      <c r="V258" s="30"/>
    </row>
    <row r="259" spans="2:22" s="10" customFormat="1" x14ac:dyDescent="0.2">
      <c r="B259" s="2007"/>
      <c r="C259" s="2017"/>
      <c r="D259" s="1590"/>
      <c r="E259" s="2017"/>
      <c r="F259" s="1590"/>
      <c r="G259" s="2017"/>
      <c r="H259" s="1590"/>
      <c r="I259" s="2017"/>
      <c r="J259" s="1590"/>
      <c r="K259" s="2018"/>
      <c r="L259" s="2017"/>
      <c r="M259" s="1590"/>
      <c r="N259" s="2017"/>
      <c r="O259" s="1590"/>
      <c r="P259" s="2017"/>
      <c r="Q259" s="2017"/>
      <c r="R259" s="2018"/>
      <c r="S259" s="1590"/>
      <c r="T259" s="2014"/>
      <c r="V259" s="30"/>
    </row>
    <row r="260" spans="2:22" s="10" customFormat="1" x14ac:dyDescent="0.2">
      <c r="B260" s="2007"/>
      <c r="C260" s="2017"/>
      <c r="D260" s="1590"/>
      <c r="E260" s="2017"/>
      <c r="F260" s="1590"/>
      <c r="G260" s="2017"/>
      <c r="H260" s="1590"/>
      <c r="I260" s="2017"/>
      <c r="J260" s="1590"/>
      <c r="K260" s="2018"/>
      <c r="L260" s="2017"/>
      <c r="M260" s="1590"/>
      <c r="N260" s="2017"/>
      <c r="O260" s="1590"/>
      <c r="P260" s="2017"/>
      <c r="Q260" s="2017"/>
      <c r="R260" s="2018"/>
      <c r="S260" s="1590"/>
      <c r="T260" s="2014"/>
      <c r="V260" s="30"/>
    </row>
    <row r="261" spans="2:22" s="10" customFormat="1" x14ac:dyDescent="0.2">
      <c r="B261" s="2007"/>
      <c r="C261" s="2017"/>
      <c r="D261" s="1590"/>
      <c r="E261" s="2017"/>
      <c r="F261" s="1590"/>
      <c r="G261" s="2017"/>
      <c r="H261" s="1590"/>
      <c r="I261" s="2017"/>
      <c r="J261" s="1590"/>
      <c r="K261" s="2018"/>
      <c r="L261" s="2017"/>
      <c r="M261" s="1590"/>
      <c r="N261" s="2017"/>
      <c r="O261" s="1590"/>
      <c r="P261" s="2017"/>
      <c r="Q261" s="2017"/>
      <c r="R261" s="2018"/>
      <c r="S261" s="1590"/>
      <c r="T261" s="2014"/>
      <c r="V261" s="30"/>
    </row>
    <row r="262" spans="2:22" s="10" customFormat="1" x14ac:dyDescent="0.2">
      <c r="B262" s="2007"/>
      <c r="C262" s="2017"/>
      <c r="D262" s="1590"/>
      <c r="E262" s="2017"/>
      <c r="F262" s="1590"/>
      <c r="G262" s="2017"/>
      <c r="H262" s="1590"/>
      <c r="I262" s="2017"/>
      <c r="J262" s="1590"/>
      <c r="K262" s="2018"/>
      <c r="L262" s="2017"/>
      <c r="M262" s="1590"/>
      <c r="N262" s="2017"/>
      <c r="O262" s="1590"/>
      <c r="P262" s="2017"/>
      <c r="Q262" s="2017"/>
      <c r="R262" s="2018"/>
      <c r="S262" s="1590"/>
      <c r="T262" s="2014"/>
      <c r="V262" s="30"/>
    </row>
    <row r="263" spans="2:22" s="10" customFormat="1" x14ac:dyDescent="0.2">
      <c r="B263" s="2007"/>
      <c r="C263" s="2017"/>
      <c r="D263" s="1590"/>
      <c r="E263" s="2017"/>
      <c r="F263" s="1590"/>
      <c r="G263" s="2017"/>
      <c r="H263" s="1590"/>
      <c r="I263" s="2017"/>
      <c r="J263" s="1590"/>
      <c r="K263" s="2018"/>
      <c r="L263" s="2017"/>
      <c r="M263" s="1590"/>
      <c r="N263" s="2017"/>
      <c r="O263" s="1590"/>
      <c r="P263" s="2017"/>
      <c r="Q263" s="2017"/>
      <c r="R263" s="2018"/>
      <c r="S263" s="1590"/>
      <c r="T263" s="2014"/>
      <c r="V263" s="30"/>
    </row>
    <row r="264" spans="2:22" s="10" customFormat="1" x14ac:dyDescent="0.2">
      <c r="B264" s="2007"/>
      <c r="C264" s="2017"/>
      <c r="D264" s="1590"/>
      <c r="E264" s="2017"/>
      <c r="F264" s="1590"/>
      <c r="G264" s="2017"/>
      <c r="H264" s="1590"/>
      <c r="I264" s="2017"/>
      <c r="J264" s="1590"/>
      <c r="K264" s="2018"/>
      <c r="L264" s="2017"/>
      <c r="M264" s="1590"/>
      <c r="N264" s="2017"/>
      <c r="O264" s="1590"/>
      <c r="P264" s="2017"/>
      <c r="Q264" s="2017"/>
      <c r="R264" s="2018"/>
      <c r="S264" s="1590"/>
      <c r="T264" s="2014"/>
      <c r="V264" s="30"/>
    </row>
    <row r="265" spans="2:22" s="10" customFormat="1" x14ac:dyDescent="0.2">
      <c r="B265" s="2007"/>
      <c r="C265" s="2017"/>
      <c r="D265" s="1590"/>
      <c r="E265" s="2017"/>
      <c r="F265" s="1590"/>
      <c r="G265" s="2017"/>
      <c r="H265" s="1590"/>
      <c r="I265" s="2017"/>
      <c r="J265" s="1590"/>
      <c r="K265" s="2018"/>
      <c r="L265" s="2017"/>
      <c r="M265" s="1590"/>
      <c r="N265" s="2017"/>
      <c r="O265" s="1590"/>
      <c r="P265" s="2017"/>
      <c r="Q265" s="2017"/>
      <c r="R265" s="2018"/>
      <c r="S265" s="1590"/>
      <c r="T265" s="2014"/>
      <c r="V265" s="30"/>
    </row>
    <row r="266" spans="2:22" s="10" customFormat="1" x14ac:dyDescent="0.2">
      <c r="B266" s="2007"/>
      <c r="C266" s="2017"/>
      <c r="D266" s="1590"/>
      <c r="E266" s="2017"/>
      <c r="F266" s="1590"/>
      <c r="G266" s="2017"/>
      <c r="H266" s="1590"/>
      <c r="I266" s="2017"/>
      <c r="J266" s="1590"/>
      <c r="K266" s="2018"/>
      <c r="L266" s="2017"/>
      <c r="M266" s="1590"/>
      <c r="N266" s="2017"/>
      <c r="O266" s="1590"/>
      <c r="P266" s="2017"/>
      <c r="Q266" s="2017"/>
      <c r="R266" s="2018"/>
      <c r="S266" s="1590"/>
      <c r="T266" s="2014"/>
      <c r="V266" s="30"/>
    </row>
    <row r="267" spans="2:22" s="10" customFormat="1" x14ac:dyDescent="0.2">
      <c r="B267" s="2007"/>
      <c r="C267" s="2017"/>
      <c r="D267" s="1590"/>
      <c r="E267" s="2017"/>
      <c r="F267" s="1590"/>
      <c r="G267" s="2017"/>
      <c r="H267" s="1590"/>
      <c r="I267" s="2017"/>
      <c r="J267" s="1590"/>
      <c r="K267" s="2018"/>
      <c r="L267" s="2017"/>
      <c r="M267" s="1590"/>
      <c r="N267" s="2017"/>
      <c r="O267" s="1590"/>
      <c r="P267" s="2017"/>
      <c r="Q267" s="2017"/>
      <c r="R267" s="2018"/>
      <c r="S267" s="1590"/>
      <c r="T267" s="2014"/>
      <c r="V267" s="30"/>
    </row>
    <row r="268" spans="2:22" s="10" customFormat="1" x14ac:dyDescent="0.2">
      <c r="B268" s="2007"/>
      <c r="C268" s="2017"/>
      <c r="D268" s="1590"/>
      <c r="E268" s="2017"/>
      <c r="F268" s="1590"/>
      <c r="G268" s="2017"/>
      <c r="H268" s="1590"/>
      <c r="I268" s="2017"/>
      <c r="J268" s="1590"/>
      <c r="K268" s="2018"/>
      <c r="L268" s="2017"/>
      <c r="M268" s="1590"/>
      <c r="N268" s="2017"/>
      <c r="O268" s="1590"/>
      <c r="P268" s="2017"/>
      <c r="Q268" s="2017"/>
      <c r="R268" s="2018"/>
      <c r="S268" s="1590"/>
      <c r="T268" s="2014"/>
      <c r="V268" s="30"/>
    </row>
    <row r="269" spans="2:22" s="10" customFormat="1" x14ac:dyDescent="0.2">
      <c r="B269" s="2007"/>
      <c r="C269" s="2017"/>
      <c r="D269" s="1590"/>
      <c r="E269" s="2017"/>
      <c r="F269" s="1590"/>
      <c r="G269" s="2017"/>
      <c r="H269" s="1590"/>
      <c r="I269" s="2017"/>
      <c r="J269" s="1590"/>
      <c r="K269" s="2018"/>
      <c r="L269" s="2017"/>
      <c r="M269" s="1590"/>
      <c r="N269" s="2017"/>
      <c r="O269" s="1590"/>
      <c r="P269" s="2017"/>
      <c r="Q269" s="2017"/>
      <c r="R269" s="2018"/>
      <c r="S269" s="1590"/>
      <c r="T269" s="2014"/>
      <c r="V269" s="30"/>
    </row>
    <row r="270" spans="2:22" s="10" customFormat="1" x14ac:dyDescent="0.2">
      <c r="B270" s="2007"/>
      <c r="C270" s="2017"/>
      <c r="D270" s="1590"/>
      <c r="E270" s="2017"/>
      <c r="F270" s="1590"/>
      <c r="G270" s="2017"/>
      <c r="H270" s="1590"/>
      <c r="I270" s="2017"/>
      <c r="J270" s="1590"/>
      <c r="K270" s="2018"/>
      <c r="L270" s="2017"/>
      <c r="M270" s="1590"/>
      <c r="N270" s="2017"/>
      <c r="O270" s="1590"/>
      <c r="P270" s="2017"/>
      <c r="Q270" s="2017"/>
      <c r="R270" s="2018"/>
      <c r="S270" s="1590"/>
      <c r="T270" s="2014"/>
      <c r="V270" s="30"/>
    </row>
    <row r="271" spans="2:22" s="10" customFormat="1" x14ac:dyDescent="0.2">
      <c r="B271" s="2007"/>
      <c r="C271" s="2017"/>
      <c r="D271" s="1590"/>
      <c r="E271" s="2017"/>
      <c r="F271" s="1590"/>
      <c r="G271" s="2017"/>
      <c r="H271" s="1590"/>
      <c r="I271" s="2017"/>
      <c r="J271" s="1590"/>
      <c r="K271" s="2018"/>
      <c r="L271" s="2017"/>
      <c r="M271" s="1590"/>
      <c r="N271" s="2017"/>
      <c r="O271" s="1590"/>
      <c r="P271" s="2017"/>
      <c r="Q271" s="2017"/>
      <c r="R271" s="2018"/>
      <c r="S271" s="1590"/>
      <c r="T271" s="2014"/>
      <c r="V271" s="30"/>
    </row>
    <row r="272" spans="2:22" s="10" customFormat="1" x14ac:dyDescent="0.2">
      <c r="B272" s="2007"/>
      <c r="C272" s="2017"/>
      <c r="D272" s="1590"/>
      <c r="E272" s="2019"/>
      <c r="F272" s="1590"/>
      <c r="G272" s="2017"/>
      <c r="H272" s="1590"/>
      <c r="I272" s="2017"/>
      <c r="J272" s="1590"/>
      <c r="K272" s="2018"/>
      <c r="L272" s="2017"/>
      <c r="M272" s="1590"/>
      <c r="N272" s="2017"/>
      <c r="O272" s="1590"/>
      <c r="P272" s="2017"/>
      <c r="Q272" s="2017"/>
      <c r="R272" s="2018"/>
      <c r="S272" s="1590"/>
      <c r="T272" s="2014"/>
      <c r="V272" s="30"/>
    </row>
    <row r="273" spans="2:22" s="10" customFormat="1" x14ac:dyDescent="0.2">
      <c r="B273" s="2007"/>
      <c r="C273" s="2017"/>
      <c r="D273" s="1590"/>
      <c r="E273" s="2019"/>
      <c r="F273" s="1590"/>
      <c r="G273" s="2017"/>
      <c r="H273" s="1590"/>
      <c r="I273" s="2017"/>
      <c r="J273" s="1590"/>
      <c r="K273" s="2018"/>
      <c r="L273" s="2017"/>
      <c r="M273" s="1590"/>
      <c r="N273" s="2017"/>
      <c r="O273" s="1590"/>
      <c r="P273" s="2017"/>
      <c r="Q273" s="2017"/>
      <c r="R273" s="2018"/>
      <c r="S273" s="1590"/>
      <c r="T273" s="2014"/>
      <c r="V273" s="30"/>
    </row>
    <row r="274" spans="2:22" s="10" customFormat="1" x14ac:dyDescent="0.2">
      <c r="B274" s="2007"/>
      <c r="C274" s="2017"/>
      <c r="D274" s="1590"/>
      <c r="E274" s="2019"/>
      <c r="F274" s="1590"/>
      <c r="G274" s="2017"/>
      <c r="H274" s="1590"/>
      <c r="I274" s="2017"/>
      <c r="J274" s="1590"/>
      <c r="K274" s="2018"/>
      <c r="L274" s="2017"/>
      <c r="M274" s="1590"/>
      <c r="N274" s="2017"/>
      <c r="O274" s="1590"/>
      <c r="P274" s="2017"/>
      <c r="Q274" s="2017"/>
      <c r="R274" s="2018"/>
      <c r="S274" s="1590"/>
      <c r="T274" s="2014"/>
      <c r="V274" s="30"/>
    </row>
    <row r="275" spans="2:22" s="10" customFormat="1" x14ac:dyDescent="0.2">
      <c r="B275" s="2007"/>
      <c r="C275" s="2017"/>
      <c r="D275" s="1590"/>
      <c r="E275" s="2019"/>
      <c r="F275" s="1590"/>
      <c r="G275" s="2017"/>
      <c r="H275" s="1590"/>
      <c r="I275" s="2017"/>
      <c r="J275" s="1590"/>
      <c r="K275" s="2018"/>
      <c r="L275" s="2017"/>
      <c r="M275" s="1590"/>
      <c r="N275" s="2017"/>
      <c r="O275" s="1590"/>
      <c r="P275" s="2017"/>
      <c r="Q275" s="2017"/>
      <c r="R275" s="2018"/>
      <c r="S275" s="1590"/>
      <c r="T275" s="2014"/>
      <c r="V275" s="30"/>
    </row>
    <row r="276" spans="2:22" s="10" customFormat="1" x14ac:dyDescent="0.2">
      <c r="B276" s="2007"/>
      <c r="C276" s="2017"/>
      <c r="D276" s="1590"/>
      <c r="E276" s="2019"/>
      <c r="F276" s="1590"/>
      <c r="G276" s="2017"/>
      <c r="H276" s="1590"/>
      <c r="I276" s="2017"/>
      <c r="J276" s="1590"/>
      <c r="K276" s="2018"/>
      <c r="L276" s="2017"/>
      <c r="M276" s="1590"/>
      <c r="N276" s="2017"/>
      <c r="O276" s="1590"/>
      <c r="P276" s="2017"/>
      <c r="Q276" s="2017"/>
      <c r="R276" s="2018"/>
      <c r="S276" s="1590"/>
      <c r="T276" s="2014"/>
      <c r="V276" s="30"/>
    </row>
    <row r="277" spans="2:22" s="10" customFormat="1" x14ac:dyDescent="0.2">
      <c r="B277" s="2007"/>
      <c r="C277" s="2017"/>
      <c r="D277" s="1590"/>
      <c r="E277" s="2019"/>
      <c r="F277" s="1590"/>
      <c r="G277" s="2017"/>
      <c r="H277" s="1590"/>
      <c r="I277" s="2019"/>
      <c r="J277" s="1590"/>
      <c r="K277" s="2018"/>
      <c r="L277" s="2017"/>
      <c r="M277" s="1590"/>
      <c r="N277" s="2019"/>
      <c r="O277" s="1590"/>
      <c r="P277" s="2017"/>
      <c r="Q277" s="2017"/>
      <c r="R277" s="2018"/>
      <c r="S277" s="1590"/>
      <c r="T277" s="2014"/>
      <c r="V277" s="30"/>
    </row>
    <row r="278" spans="2:22" s="10" customFormat="1" x14ac:dyDescent="0.2">
      <c r="B278" s="2007"/>
      <c r="C278" s="2017"/>
      <c r="D278" s="1590"/>
      <c r="E278" s="2019"/>
      <c r="F278" s="1590"/>
      <c r="G278" s="2019"/>
      <c r="H278" s="1590"/>
      <c r="I278" s="2019"/>
      <c r="J278" s="1590"/>
      <c r="K278" s="2020"/>
      <c r="L278" s="2017"/>
      <c r="M278" s="1590"/>
      <c r="N278" s="2019"/>
      <c r="O278" s="1590"/>
      <c r="P278" s="2017"/>
      <c r="Q278" s="2017"/>
      <c r="R278" s="2020"/>
      <c r="S278" s="1590"/>
      <c r="T278" s="2021"/>
      <c r="V278" s="30"/>
    </row>
  </sheetData>
  <sheetProtection formatColumns="0" formatRows="0" selectLockedCells="1"/>
  <sortState ref="C92:T96">
    <sortCondition ref="C92"/>
  </sortState>
  <mergeCells count="35">
    <mergeCell ref="B54:C54"/>
    <mergeCell ref="B2:C2"/>
    <mergeCell ref="K2:L2"/>
    <mergeCell ref="P2:R2"/>
    <mergeCell ref="B5:C5"/>
    <mergeCell ref="B6:B11"/>
    <mergeCell ref="B32:C32"/>
    <mergeCell ref="B34:C34"/>
    <mergeCell ref="B35:B39"/>
    <mergeCell ref="B41:B50"/>
    <mergeCell ref="B12:B31"/>
    <mergeCell ref="B56:C56"/>
    <mergeCell ref="B81:B84"/>
    <mergeCell ref="B85:B86"/>
    <mergeCell ref="B57:B58"/>
    <mergeCell ref="B59:B80"/>
    <mergeCell ref="B87:B90"/>
    <mergeCell ref="B108:B109"/>
    <mergeCell ref="B105:B107"/>
    <mergeCell ref="B91:C91"/>
    <mergeCell ref="B93:C93"/>
    <mergeCell ref="B94:B98"/>
    <mergeCell ref="B99:C99"/>
    <mergeCell ref="B103:C103"/>
    <mergeCell ref="B130:C130"/>
    <mergeCell ref="B132:C132"/>
    <mergeCell ref="B111:C111"/>
    <mergeCell ref="B101:C101"/>
    <mergeCell ref="B113:C113"/>
    <mergeCell ref="B125:C125"/>
    <mergeCell ref="B126:B128"/>
    <mergeCell ref="B121:C121"/>
    <mergeCell ref="B115:C115"/>
    <mergeCell ref="B119:C119"/>
    <mergeCell ref="B123:C123"/>
  </mergeCells>
  <pageMargins left="0.5" right="0.5" top="0.75" bottom="0.75" header="0.4" footer="0.47"/>
  <pageSetup scale="50" orientation="portrait" r:id="rId1"/>
  <headerFooter alignWithMargins="0">
    <oddHeader>&amp;LDraft &amp;D</oddHeader>
  </headerFooter>
  <rowBreaks count="1" manualBreakCount="1">
    <brk id="5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8"/>
  <sheetViews>
    <sheetView view="pageBreakPreview" zoomScale="75" zoomScaleNormal="50" zoomScaleSheetLayoutView="75" zoomScalePageLayoutView="70" workbookViewId="0">
      <pane ySplit="4" topLeftCell="A55" activePane="bottomLeft" state="frozen"/>
      <selection pane="bottomLeft" sqref="A1:T124"/>
    </sheetView>
  </sheetViews>
  <sheetFormatPr defaultRowHeight="14.25" outlineLevelRow="2" outlineLevelCol="2" x14ac:dyDescent="0.2"/>
  <cols>
    <col min="1" max="1" width="2.7109375" style="10" customWidth="1"/>
    <col min="2" max="2" width="15" style="2007" customWidth="1"/>
    <col min="3" max="3" width="62.5703125" style="2019" customWidth="1"/>
    <col min="4" max="4" width="1.7109375" style="1590" hidden="1" customWidth="1"/>
    <col min="5" max="5" width="8.5703125" style="2019" hidden="1" customWidth="1" outlineLevel="2" collapsed="1"/>
    <col min="6" max="6" width="1.7109375" style="1590" hidden="1" customWidth="1" outlineLevel="2"/>
    <col min="7" max="7" width="8.42578125" style="2019" hidden="1" customWidth="1" outlineLevel="1"/>
    <col min="8" max="8" width="1.7109375" style="1590" hidden="1" customWidth="1" outlineLevel="1"/>
    <col min="9" max="9" width="8.5703125" style="2019" hidden="1" customWidth="1" outlineLevel="1"/>
    <col min="10" max="10" width="1.7109375" style="1590" customWidth="1" outlineLevel="1"/>
    <col min="11" max="11" width="11" style="2020" customWidth="1"/>
    <col min="12" max="12" width="11" style="2017" customWidth="1"/>
    <col min="13" max="13" width="1.7109375" style="1590" hidden="1" customWidth="1"/>
    <col min="14" max="14" width="8.5703125" style="2019" hidden="1" customWidth="1" outlineLevel="1"/>
    <col min="15" max="15" width="1.7109375" style="1590" customWidth="1" outlineLevel="1"/>
    <col min="16" max="16" width="11" style="2017" customWidth="1"/>
    <col min="17" max="17" width="11.140625" style="2017" customWidth="1"/>
    <col min="18" max="18" width="11" style="2020" customWidth="1"/>
    <col min="19" max="19" width="1.7109375" style="1590" customWidth="1"/>
    <col min="20" max="20" width="47.42578125" style="2021" customWidth="1"/>
    <col min="21" max="21" width="9.140625" style="10"/>
    <col min="22" max="22" width="9.140625" style="30"/>
    <col min="23" max="71" width="9.140625" style="10"/>
    <col min="72" max="16384" width="9.140625" style="1"/>
  </cols>
  <sheetData>
    <row r="1" spans="1:71" s="11" customFormat="1" x14ac:dyDescent="0.2">
      <c r="B1" s="1569"/>
      <c r="C1" s="1570"/>
      <c r="D1" s="1571"/>
      <c r="E1" s="1572"/>
      <c r="F1" s="1571"/>
      <c r="G1" s="1572"/>
      <c r="H1" s="1571"/>
      <c r="I1" s="1572"/>
      <c r="J1" s="1571"/>
      <c r="K1" s="1573"/>
      <c r="L1" s="1572"/>
      <c r="M1" s="1571"/>
      <c r="N1" s="1572"/>
      <c r="O1" s="1571"/>
      <c r="P1" s="1572"/>
      <c r="Q1" s="1572"/>
      <c r="R1" s="1573"/>
      <c r="S1" s="1571"/>
      <c r="T1" s="1574"/>
      <c r="V1" s="25"/>
    </row>
    <row r="2" spans="1:71" s="52" customFormat="1" ht="72" customHeight="1" x14ac:dyDescent="0.25">
      <c r="A2" s="50"/>
      <c r="B2" s="2273" t="str">
        <f>'Interactive Worksheet'!A2&amp;" - "&amp;'Interactive Worksheet'!P8&amp;" "&amp;'Interactive Worksheet'!G8&amp;" - Composite B
"&amp;'Interactive Worksheet'!G57&amp;" Structural, 0 "&amp;'Interactive Worksheet'!G58&amp;" ARFF Companies with "&amp;'Interactive Worksheet'!I75&amp;" Responders"</f>
        <v>Prototype Fire Station - Satellite Structural - Composite B
2 Structural, 0  ARFF Companies with 8 Responders</v>
      </c>
      <c r="C2" s="2274"/>
      <c r="D2" s="1575"/>
      <c r="E2" s="1576" t="s">
        <v>8</v>
      </c>
      <c r="F2" s="1575"/>
      <c r="G2" s="1576" t="s">
        <v>106</v>
      </c>
      <c r="H2" s="1577"/>
      <c r="I2" s="1576" t="s">
        <v>4</v>
      </c>
      <c r="J2" s="1577"/>
      <c r="K2" s="2275" t="s">
        <v>953</v>
      </c>
      <c r="L2" s="2276"/>
      <c r="M2" s="1578"/>
      <c r="N2" s="1579" t="s">
        <v>981</v>
      </c>
      <c r="O2" s="1577"/>
      <c r="P2" s="2275" t="s">
        <v>984</v>
      </c>
      <c r="Q2" s="2277"/>
      <c r="R2" s="2276"/>
      <c r="S2" s="1578"/>
      <c r="T2" s="1580"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581" t="s">
        <v>933</v>
      </c>
      <c r="C3" s="1582"/>
      <c r="D3" s="1583"/>
      <c r="E3" s="1584"/>
      <c r="F3" s="1583"/>
      <c r="G3" s="1584"/>
      <c r="H3" s="1585"/>
      <c r="I3" s="1584" t="s">
        <v>1</v>
      </c>
      <c r="J3" s="1585"/>
      <c r="K3" s="1586" t="s">
        <v>0</v>
      </c>
      <c r="L3" s="1584" t="s">
        <v>1</v>
      </c>
      <c r="M3" s="1583"/>
      <c r="N3" s="1584" t="s">
        <v>1</v>
      </c>
      <c r="O3" s="1585"/>
      <c r="P3" s="1584" t="s">
        <v>1</v>
      </c>
      <c r="Q3" s="1584" t="s">
        <v>949</v>
      </c>
      <c r="R3" s="1586" t="s">
        <v>950</v>
      </c>
      <c r="S3" s="1583"/>
      <c r="T3" s="1587"/>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1588"/>
      <c r="C4" s="1589"/>
      <c r="D4" s="1590"/>
      <c r="E4" s="1591"/>
      <c r="F4" s="1590"/>
      <c r="G4" s="1591"/>
      <c r="H4" s="1592"/>
      <c r="I4" s="1591"/>
      <c r="J4" s="1592"/>
      <c r="K4" s="1593"/>
      <c r="L4" s="1591"/>
      <c r="M4" s="1590"/>
      <c r="N4" s="1591"/>
      <c r="O4" s="1592"/>
      <c r="P4" s="1591"/>
      <c r="Q4" s="1591"/>
      <c r="R4" s="1593"/>
      <c r="S4" s="1590"/>
      <c r="T4" s="1594"/>
      <c r="V4" s="28"/>
    </row>
    <row r="5" spans="1:71" s="288" customFormat="1" ht="18" x14ac:dyDescent="0.25">
      <c r="A5" s="284"/>
      <c r="B5" s="2252" t="s">
        <v>274</v>
      </c>
      <c r="C5" s="2253"/>
      <c r="D5" s="1595"/>
      <c r="E5" s="1596"/>
      <c r="F5" s="1595"/>
      <c r="G5" s="1597"/>
      <c r="H5" s="1598"/>
      <c r="I5" s="1597"/>
      <c r="J5" s="1598"/>
      <c r="K5" s="1599"/>
      <c r="L5" s="1597"/>
      <c r="M5" s="1595"/>
      <c r="N5" s="1600" t="s">
        <v>955</v>
      </c>
      <c r="O5" s="1598"/>
      <c r="P5" s="1600"/>
      <c r="Q5" s="1597"/>
      <c r="R5" s="1601"/>
      <c r="S5" s="1595"/>
      <c r="T5" s="1597"/>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2278" t="s">
        <v>942</v>
      </c>
      <c r="C6" s="1602" t="str">
        <f>'Space Program Data'!J3</f>
        <v>Apparatus Bay</v>
      </c>
      <c r="D6" s="1603"/>
      <c r="E6" s="1604"/>
      <c r="F6" s="1603"/>
      <c r="G6" s="1604">
        <v>1</v>
      </c>
      <c r="H6" s="1605"/>
      <c r="I6" s="1604">
        <f>'Interactive Worksheet'!Q80</f>
        <v>1872</v>
      </c>
      <c r="J6" s="1605"/>
      <c r="K6" s="1606">
        <f>L6*0.0929</f>
        <v>173.90879999999999</v>
      </c>
      <c r="L6" s="1607">
        <f>'Interactive Worksheet'!Q80</f>
        <v>1872</v>
      </c>
      <c r="M6" s="1603"/>
      <c r="N6" s="2031">
        <v>1971</v>
      </c>
      <c r="O6" s="1605"/>
      <c r="P6" s="1608">
        <f>N6</f>
        <v>1971</v>
      </c>
      <c r="Q6" s="1607">
        <f>P6-L6</f>
        <v>99</v>
      </c>
      <c r="R6" s="1609">
        <f>IF(L6=0,0,Q6/L6)</f>
        <v>5.2884615384615384E-2</v>
      </c>
      <c r="S6" s="1603"/>
      <c r="T6" s="1610"/>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2279"/>
      <c r="C7" s="1611" t="s">
        <v>555</v>
      </c>
      <c r="D7" s="1612"/>
      <c r="E7" s="1613"/>
      <c r="F7" s="1612"/>
      <c r="G7" s="1614">
        <f>'Interactive Worksheet'!R48</f>
        <v>0</v>
      </c>
      <c r="H7" s="1615"/>
      <c r="I7" s="1616"/>
      <c r="J7" s="1617"/>
      <c r="K7" s="1618">
        <f>'Interactive Worksheet'!R48</f>
        <v>0</v>
      </c>
      <c r="L7" s="1619"/>
      <c r="M7" s="1617"/>
      <c r="N7" s="1616"/>
      <c r="O7" s="1617"/>
      <c r="P7" s="1619"/>
      <c r="Q7" s="1619"/>
      <c r="R7" s="1620"/>
      <c r="S7" s="1617"/>
      <c r="T7" s="1621"/>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2279"/>
      <c r="C8" s="1611" t="s">
        <v>526</v>
      </c>
      <c r="D8" s="1612"/>
      <c r="E8" s="1613"/>
      <c r="F8" s="1612"/>
      <c r="G8" s="1614">
        <f>'Interactive Worksheet'!E38</f>
        <v>2</v>
      </c>
      <c r="H8" s="1615"/>
      <c r="I8" s="1616"/>
      <c r="J8" s="1617"/>
      <c r="K8" s="1618">
        <f>'Interactive Worksheet'!E38</f>
        <v>2</v>
      </c>
      <c r="L8" s="1619"/>
      <c r="M8" s="1617"/>
      <c r="N8" s="1616"/>
      <c r="O8" s="1617"/>
      <c r="P8" s="1619"/>
      <c r="Q8" s="1619"/>
      <c r="R8" s="1620"/>
      <c r="S8" s="1617"/>
      <c r="T8" s="1621"/>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2279"/>
      <c r="C9" s="1611" t="s">
        <v>523</v>
      </c>
      <c r="D9" s="1612"/>
      <c r="E9" s="1613"/>
      <c r="F9" s="1612"/>
      <c r="G9" s="1614">
        <f>'Interactive Worksheet'!E39</f>
        <v>0</v>
      </c>
      <c r="H9" s="1615"/>
      <c r="I9" s="1616"/>
      <c r="J9" s="1617"/>
      <c r="K9" s="1618">
        <f>'Interactive Worksheet'!E39</f>
        <v>0</v>
      </c>
      <c r="L9" s="1619"/>
      <c r="M9" s="1617"/>
      <c r="N9" s="1616"/>
      <c r="O9" s="1617"/>
      <c r="P9" s="1619"/>
      <c r="Q9" s="1619"/>
      <c r="R9" s="1620"/>
      <c r="S9" s="1617"/>
      <c r="T9" s="1621"/>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2279"/>
      <c r="C10" s="1611" t="s">
        <v>524</v>
      </c>
      <c r="D10" s="1612"/>
      <c r="E10" s="1613"/>
      <c r="F10" s="1612"/>
      <c r="G10" s="1614">
        <f>'Interactive Worksheet'!E40</f>
        <v>0</v>
      </c>
      <c r="H10" s="1615"/>
      <c r="I10" s="1616"/>
      <c r="J10" s="1617"/>
      <c r="K10" s="1618">
        <f>'Interactive Worksheet'!E40</f>
        <v>0</v>
      </c>
      <c r="L10" s="1619"/>
      <c r="M10" s="1617"/>
      <c r="N10" s="1616"/>
      <c r="O10" s="1617"/>
      <c r="P10" s="1619"/>
      <c r="Q10" s="1619"/>
      <c r="R10" s="1620"/>
      <c r="S10" s="1617"/>
      <c r="T10" s="1621"/>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2279"/>
      <c r="C11" s="1622" t="s">
        <v>525</v>
      </c>
      <c r="D11" s="1612"/>
      <c r="E11" s="1623"/>
      <c r="F11" s="1612"/>
      <c r="G11" s="1624">
        <f>'Interactive Worksheet'!E41</f>
        <v>0</v>
      </c>
      <c r="H11" s="1615"/>
      <c r="I11" s="1625"/>
      <c r="J11" s="1617"/>
      <c r="K11" s="1619">
        <f>'Interactive Worksheet'!E41</f>
        <v>0</v>
      </c>
      <c r="L11" s="1619"/>
      <c r="M11" s="1617"/>
      <c r="N11" s="1625"/>
      <c r="O11" s="1617"/>
      <c r="P11" s="1619"/>
      <c r="Q11" s="1619"/>
      <c r="R11" s="1626"/>
      <c r="S11" s="1617"/>
      <c r="T11" s="1627"/>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37" customFormat="1" ht="15" outlineLevel="2" x14ac:dyDescent="0.2">
      <c r="A12" s="35"/>
      <c r="B12" s="2284" t="s">
        <v>943</v>
      </c>
      <c r="C12" s="1628" t="str">
        <f>'Space Program Data'!J82</f>
        <v>Agent Storage (Structural)</v>
      </c>
      <c r="D12" s="1629"/>
      <c r="E12" s="1630"/>
      <c r="F12" s="1631"/>
      <c r="G12" s="1632">
        <v>1</v>
      </c>
      <c r="H12" s="1633"/>
      <c r="I12" s="1630">
        <f>'Interactive Worksheet'!Q289</f>
        <v>48</v>
      </c>
      <c r="J12" s="1633"/>
      <c r="K12" s="1634">
        <f>L12*0.0929</f>
        <v>4.4592000000000001</v>
      </c>
      <c r="L12" s="1635">
        <f>'Interactive Worksheet'!Q289</f>
        <v>48</v>
      </c>
      <c r="M12" s="1631"/>
      <c r="N12" s="2022">
        <v>50</v>
      </c>
      <c r="O12" s="1633"/>
      <c r="P12" s="1635">
        <f>N12</f>
        <v>50</v>
      </c>
      <c r="Q12" s="1635">
        <f>P12-L12</f>
        <v>2</v>
      </c>
      <c r="R12" s="1636">
        <f>IF(L12=0,0,Q12/L12)</f>
        <v>4.1666666666666664E-2</v>
      </c>
      <c r="S12" s="1612"/>
      <c r="T12" s="1637"/>
      <c r="U12" s="35"/>
      <c r="V12" s="36"/>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s="5" customFormat="1" ht="15" customHeight="1" outlineLevel="1" x14ac:dyDescent="0.2">
      <c r="A13" s="17"/>
      <c r="B13" s="2285"/>
      <c r="C13" s="1638" t="str">
        <f>'Space Program Data'!J12&amp;" - "&amp;'Interactive Worksheet'!I98</f>
        <v>EMS Storage - Closet</v>
      </c>
      <c r="D13" s="1631"/>
      <c r="E13" s="1639"/>
      <c r="F13" s="1631"/>
      <c r="G13" s="1640">
        <f>IF(I13&gt;0,1,0)</f>
        <v>1</v>
      </c>
      <c r="H13" s="1633"/>
      <c r="I13" s="1639">
        <f>'Interactive Worksheet'!Q98</f>
        <v>40</v>
      </c>
      <c r="J13" s="1633"/>
      <c r="K13" s="1641">
        <f t="shared" ref="K13:K32" si="0">L13*0.0929</f>
        <v>3.7159999999999997</v>
      </c>
      <c r="L13" s="1642">
        <f>'Interactive Worksheet'!Q98</f>
        <v>40</v>
      </c>
      <c r="M13" s="1631"/>
      <c r="N13" s="2027">
        <v>39</v>
      </c>
      <c r="O13" s="1633"/>
      <c r="P13" s="1643">
        <f t="shared" ref="P13:P31" si="1">N13</f>
        <v>39</v>
      </c>
      <c r="Q13" s="1642">
        <f t="shared" ref="Q13:Q31" si="2">P13-L13</f>
        <v>-1</v>
      </c>
      <c r="R13" s="1644">
        <f t="shared" ref="R13:R31" si="3">IF(L13=0,0,Q13/L13)</f>
        <v>-2.5000000000000001E-2</v>
      </c>
      <c r="S13" s="1631"/>
      <c r="T13" s="1645"/>
      <c r="U13" s="17"/>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58" customFormat="1" ht="15" outlineLevel="1" x14ac:dyDescent="0.2">
      <c r="A14" s="248"/>
      <c r="B14" s="2285"/>
      <c r="C14" s="1646" t="str">
        <f>'Space Program Data'!J9</f>
        <v>Equipment Wash / Disinfection</v>
      </c>
      <c r="D14" s="1631"/>
      <c r="E14" s="1647"/>
      <c r="F14" s="1631"/>
      <c r="G14" s="1648">
        <f>IF(I14&gt;0,1,0)</f>
        <v>1</v>
      </c>
      <c r="H14" s="1633"/>
      <c r="I14" s="1647">
        <f>'Interactive Worksheet'!Q94</f>
        <v>150</v>
      </c>
      <c r="J14" s="1633"/>
      <c r="K14" s="1649">
        <f t="shared" si="0"/>
        <v>13.934999999999999</v>
      </c>
      <c r="L14" s="1650">
        <f>'Interactive Worksheet'!Q94</f>
        <v>150</v>
      </c>
      <c r="M14" s="1631"/>
      <c r="N14" s="2023">
        <v>150</v>
      </c>
      <c r="O14" s="1633"/>
      <c r="P14" s="1651">
        <f t="shared" si="1"/>
        <v>150</v>
      </c>
      <c r="Q14" s="1650">
        <f t="shared" si="2"/>
        <v>0</v>
      </c>
      <c r="R14" s="1652">
        <f t="shared" si="3"/>
        <v>0</v>
      </c>
      <c r="S14" s="1631"/>
      <c r="T14" s="1645"/>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258" customFormat="1" ht="15" hidden="1" outlineLevel="1" x14ac:dyDescent="0.2">
      <c r="A15" s="248"/>
      <c r="B15" s="2285"/>
      <c r="C15" s="1646" t="str">
        <f>'Space Program Data'!J19</f>
        <v>Fire Extinguisher Inspection</v>
      </c>
      <c r="D15" s="1631"/>
      <c r="E15" s="1647">
        <f>'Interactive Worksheet'!L112</f>
        <v>0</v>
      </c>
      <c r="F15" s="1631"/>
      <c r="G15" s="1648">
        <f>IF(I15&gt;0,1,0)</f>
        <v>0</v>
      </c>
      <c r="H15" s="1633"/>
      <c r="I15" s="1647">
        <f>'Interactive Worksheet'!Q112</f>
        <v>0</v>
      </c>
      <c r="J15" s="1633"/>
      <c r="K15" s="1649">
        <f t="shared" si="0"/>
        <v>0</v>
      </c>
      <c r="L15" s="1650">
        <f>G15*I15</f>
        <v>0</v>
      </c>
      <c r="M15" s="1631"/>
      <c r="N15" s="2023">
        <v>0</v>
      </c>
      <c r="O15" s="1633"/>
      <c r="P15" s="1651">
        <f t="shared" si="1"/>
        <v>0</v>
      </c>
      <c r="Q15" s="1650">
        <f t="shared" si="2"/>
        <v>0</v>
      </c>
      <c r="R15" s="1652">
        <f t="shared" si="3"/>
        <v>0</v>
      </c>
      <c r="S15" s="1631"/>
      <c r="T15" s="1653"/>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5" customFormat="1" ht="15" hidden="1" outlineLevel="1" x14ac:dyDescent="0.2">
      <c r="A16" s="17"/>
      <c r="B16" s="2285"/>
      <c r="C16" s="1646" t="str">
        <f>'Space Program Data'!J21</f>
        <v>Flightline Fire Extinguishing Maintenance</v>
      </c>
      <c r="D16" s="1631"/>
      <c r="E16" s="1647"/>
      <c r="F16" s="1631"/>
      <c r="G16" s="1648">
        <f>IF('Interactive Worksheet'!L114="yes",1,0)</f>
        <v>0</v>
      </c>
      <c r="H16" s="1633"/>
      <c r="I16" s="1647">
        <f>'Interactive Worksheet'!Q114</f>
        <v>0</v>
      </c>
      <c r="J16" s="1633"/>
      <c r="K16" s="1649">
        <f t="shared" si="0"/>
        <v>0</v>
      </c>
      <c r="L16" s="1650">
        <f>G16*I16</f>
        <v>0</v>
      </c>
      <c r="M16" s="1631"/>
      <c r="N16" s="2023">
        <v>0</v>
      </c>
      <c r="O16" s="1633"/>
      <c r="P16" s="1651">
        <f t="shared" si="1"/>
        <v>0</v>
      </c>
      <c r="Q16" s="1650">
        <f t="shared" si="2"/>
        <v>0</v>
      </c>
      <c r="R16" s="1652">
        <f t="shared" si="3"/>
        <v>0</v>
      </c>
      <c r="S16" s="1631"/>
      <c r="T16" s="1653"/>
      <c r="U16" s="17"/>
      <c r="V16" s="29"/>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258" customFormat="1" ht="15" hidden="1" outlineLevel="1" x14ac:dyDescent="0.2">
      <c r="A17" s="248"/>
      <c r="B17" s="2285"/>
      <c r="C17" s="1646" t="str">
        <f>'Space Program Data'!J22</f>
        <v>Flightline Fire Extinguishing Tank Recovery Ext. Covered Storage</v>
      </c>
      <c r="D17" s="1631"/>
      <c r="E17" s="1647"/>
      <c r="F17" s="1631"/>
      <c r="G17" s="1648">
        <f>IF('Interactive Worksheet'!L118="yes",1,0)</f>
        <v>0</v>
      </c>
      <c r="H17" s="1633"/>
      <c r="I17" s="1647">
        <f>'Interactive Worksheet'!Q118</f>
        <v>0</v>
      </c>
      <c r="J17" s="1633"/>
      <c r="K17" s="1649">
        <f t="shared" si="0"/>
        <v>0</v>
      </c>
      <c r="L17" s="1650">
        <f>G17*I17*0.5</f>
        <v>0</v>
      </c>
      <c r="M17" s="1631"/>
      <c r="N17" s="2023">
        <v>0</v>
      </c>
      <c r="O17" s="1633"/>
      <c r="P17" s="1651">
        <f>N17*0.5</f>
        <v>0</v>
      </c>
      <c r="Q17" s="1650">
        <f t="shared" si="2"/>
        <v>0</v>
      </c>
      <c r="R17" s="1652">
        <f t="shared" si="3"/>
        <v>0</v>
      </c>
      <c r="S17" s="1631"/>
      <c r="T17" s="1645" t="s">
        <v>1000</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1" s="5" customFormat="1" ht="15" hidden="1" outlineLevel="1" x14ac:dyDescent="0.2">
      <c r="A18" s="17"/>
      <c r="B18" s="2285"/>
      <c r="C18" s="1646" t="str">
        <f>'Space Program Data'!J14</f>
        <v>HAZMAT / CBRN Equipment Storage</v>
      </c>
      <c r="D18" s="1631"/>
      <c r="E18" s="1647"/>
      <c r="F18" s="1631"/>
      <c r="G18" s="1648">
        <f>IF(I18&gt;0,1,0)</f>
        <v>0</v>
      </c>
      <c r="H18" s="1633"/>
      <c r="I18" s="1647">
        <f>'Interactive Worksheet'!Q100</f>
        <v>0</v>
      </c>
      <c r="J18" s="1633"/>
      <c r="K18" s="1649">
        <f t="shared" si="0"/>
        <v>0</v>
      </c>
      <c r="L18" s="1650">
        <f>'Interactive Worksheet'!Q100</f>
        <v>0</v>
      </c>
      <c r="M18" s="1631"/>
      <c r="N18" s="2023">
        <v>0</v>
      </c>
      <c r="O18" s="1633"/>
      <c r="P18" s="1651">
        <f t="shared" si="1"/>
        <v>0</v>
      </c>
      <c r="Q18" s="1650">
        <f t="shared" si="2"/>
        <v>0</v>
      </c>
      <c r="R18" s="1652">
        <f t="shared" si="3"/>
        <v>0</v>
      </c>
      <c r="S18" s="1631"/>
      <c r="T18" s="1653"/>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2285"/>
      <c r="C19" s="1654" t="str">
        <f>'Space Program Data'!J5</f>
        <v>Hose Storage</v>
      </c>
      <c r="D19" s="1631"/>
      <c r="E19" s="1647"/>
      <c r="F19" s="1631"/>
      <c r="G19" s="1648">
        <f>IF(I19&gt;0,1,0)</f>
        <v>1</v>
      </c>
      <c r="H19" s="1633"/>
      <c r="I19" s="1647">
        <f>'Interactive Worksheet'!Q86</f>
        <v>54</v>
      </c>
      <c r="J19" s="1633"/>
      <c r="K19" s="1649">
        <f t="shared" si="0"/>
        <v>5.0165999999999995</v>
      </c>
      <c r="L19" s="1650">
        <f>'Interactive Worksheet'!Q86</f>
        <v>54</v>
      </c>
      <c r="M19" s="1631"/>
      <c r="N19" s="2023">
        <v>57</v>
      </c>
      <c r="O19" s="1633"/>
      <c r="P19" s="1651">
        <f t="shared" si="1"/>
        <v>57</v>
      </c>
      <c r="Q19" s="1650">
        <f t="shared" si="2"/>
        <v>3</v>
      </c>
      <c r="R19" s="1652">
        <f t="shared" si="3"/>
        <v>5.5555555555555552E-2</v>
      </c>
      <c r="S19" s="1631"/>
      <c r="T19" s="1653"/>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2285"/>
      <c r="C20" s="1646" t="str">
        <f>'Space Program Data'!J15</f>
        <v>Infectious Control</v>
      </c>
      <c r="D20" s="1631"/>
      <c r="E20" s="1647"/>
      <c r="F20" s="1631"/>
      <c r="G20" s="1648">
        <f>IF('Interactive Worksheet'!L102="Yes",1,0)</f>
        <v>1</v>
      </c>
      <c r="H20" s="1633"/>
      <c r="I20" s="1647">
        <f>'Interactive Worksheet'!Q102</f>
        <v>160</v>
      </c>
      <c r="J20" s="1633"/>
      <c r="K20" s="1649">
        <f t="shared" si="0"/>
        <v>14.863999999999999</v>
      </c>
      <c r="L20" s="1650">
        <f>G20*I20</f>
        <v>160</v>
      </c>
      <c r="M20" s="1631"/>
      <c r="N20" s="2023">
        <v>160</v>
      </c>
      <c r="O20" s="1633"/>
      <c r="P20" s="1651">
        <f t="shared" si="1"/>
        <v>160</v>
      </c>
      <c r="Q20" s="1650">
        <f t="shared" si="2"/>
        <v>0</v>
      </c>
      <c r="R20" s="1652">
        <f t="shared" si="3"/>
        <v>0</v>
      </c>
      <c r="S20" s="1631"/>
      <c r="T20" s="1653"/>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outlineLevel="1" x14ac:dyDescent="0.2">
      <c r="A21" s="17"/>
      <c r="B21" s="2285"/>
      <c r="C21" s="1646" t="str">
        <f>'Space Program Data'!J20</f>
        <v>Non-Flightline Fire Extinguishing Maintenance and Storage</v>
      </c>
      <c r="D21" s="1631"/>
      <c r="E21" s="1647"/>
      <c r="F21" s="1631"/>
      <c r="G21" s="1648">
        <f>IF('Interactive Worksheet'!L123="yes",1,0)</f>
        <v>1</v>
      </c>
      <c r="H21" s="1633"/>
      <c r="I21" s="1647">
        <f>'Interactive Worksheet'!Q123</f>
        <v>120</v>
      </c>
      <c r="J21" s="1633"/>
      <c r="K21" s="1649">
        <f t="shared" si="0"/>
        <v>11.148</v>
      </c>
      <c r="L21" s="1650">
        <f>G21*I21</f>
        <v>120</v>
      </c>
      <c r="M21" s="1631"/>
      <c r="N21" s="2023">
        <v>120</v>
      </c>
      <c r="O21" s="1633"/>
      <c r="P21" s="1651">
        <f t="shared" si="1"/>
        <v>120</v>
      </c>
      <c r="Q21" s="1650">
        <f t="shared" si="2"/>
        <v>0</v>
      </c>
      <c r="R21" s="1652">
        <f t="shared" si="3"/>
        <v>0</v>
      </c>
      <c r="S21" s="1631"/>
      <c r="T21" s="1653"/>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258" customFormat="1" ht="15" outlineLevel="1" x14ac:dyDescent="0.2">
      <c r="A22" s="248"/>
      <c r="B22" s="2285"/>
      <c r="C22" s="1654" t="str">
        <f>'Space Program Data'!J4</f>
        <v>PPE Gear Storage</v>
      </c>
      <c r="D22" s="1631"/>
      <c r="E22" s="1647">
        <f>'Interactive Worksheet'!I75</f>
        <v>8</v>
      </c>
      <c r="F22" s="1631"/>
      <c r="G22" s="1648">
        <f>IF(I22&gt;0,1,0)</f>
        <v>1</v>
      </c>
      <c r="H22" s="1633"/>
      <c r="I22" s="1647">
        <f>'Interactive Worksheet'!Q84</f>
        <v>80</v>
      </c>
      <c r="J22" s="1633"/>
      <c r="K22" s="1649">
        <f t="shared" si="0"/>
        <v>7.4319999999999995</v>
      </c>
      <c r="L22" s="1650">
        <f>'Interactive Worksheet'!Q84</f>
        <v>80</v>
      </c>
      <c r="M22" s="1631"/>
      <c r="N22" s="2023">
        <v>82</v>
      </c>
      <c r="O22" s="1633"/>
      <c r="P22" s="1651">
        <f t="shared" si="1"/>
        <v>82</v>
      </c>
      <c r="Q22" s="1650">
        <f t="shared" si="2"/>
        <v>2</v>
      </c>
      <c r="R22" s="1652">
        <f t="shared" si="3"/>
        <v>2.5000000000000001E-2</v>
      </c>
      <c r="S22" s="1631"/>
      <c r="T22" s="1653"/>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row>
    <row r="23" spans="1:71" s="5" customFormat="1" ht="15" outlineLevel="1" x14ac:dyDescent="0.2">
      <c r="A23" s="17"/>
      <c r="B23" s="2285"/>
      <c r="C23" s="1646" t="str">
        <f>'Space Program Data'!J8</f>
        <v>Protective Clothing Laundry</v>
      </c>
      <c r="D23" s="1631"/>
      <c r="E23" s="1647"/>
      <c r="F23" s="1631"/>
      <c r="G23" s="1648">
        <f>IF(I23&gt;0,1,0)</f>
        <v>1</v>
      </c>
      <c r="H23" s="1633"/>
      <c r="I23" s="1647">
        <f>'Interactive Worksheet'!Q96</f>
        <v>120</v>
      </c>
      <c r="J23" s="1633"/>
      <c r="K23" s="1649">
        <f t="shared" si="0"/>
        <v>11.148</v>
      </c>
      <c r="L23" s="1650">
        <f>'Interactive Worksheet'!Q96</f>
        <v>120</v>
      </c>
      <c r="M23" s="1631"/>
      <c r="N23" s="2023">
        <v>120</v>
      </c>
      <c r="O23" s="1633"/>
      <c r="P23" s="1651">
        <f t="shared" si="1"/>
        <v>120</v>
      </c>
      <c r="Q23" s="1650">
        <f t="shared" si="2"/>
        <v>0</v>
      </c>
      <c r="R23" s="1652">
        <f t="shared" si="3"/>
        <v>0</v>
      </c>
      <c r="S23" s="1631"/>
      <c r="T23" s="1653"/>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hidden="1" outlineLevel="1" x14ac:dyDescent="0.2">
      <c r="A24" s="17"/>
      <c r="B24" s="2285"/>
      <c r="C24" s="1654" t="str">
        <f>'Space Program Data'!J7</f>
        <v>SCBA Compressor Room</v>
      </c>
      <c r="D24" s="1631"/>
      <c r="E24" s="1647"/>
      <c r="F24" s="1631"/>
      <c r="G24" s="1648">
        <f>IF(I24&gt;0,1,0)</f>
        <v>0</v>
      </c>
      <c r="H24" s="1633"/>
      <c r="I24" s="1647">
        <f>'Interactive Worksheet'!Q90</f>
        <v>0</v>
      </c>
      <c r="J24" s="1633"/>
      <c r="K24" s="1649">
        <f t="shared" si="0"/>
        <v>0</v>
      </c>
      <c r="L24" s="1650">
        <f>'Interactive Worksheet'!Q90</f>
        <v>0</v>
      </c>
      <c r="M24" s="1631"/>
      <c r="N24" s="2023">
        <v>0</v>
      </c>
      <c r="O24" s="1633"/>
      <c r="P24" s="1651">
        <f t="shared" si="1"/>
        <v>0</v>
      </c>
      <c r="Q24" s="1650">
        <f t="shared" si="2"/>
        <v>0</v>
      </c>
      <c r="R24" s="1652">
        <f t="shared" si="3"/>
        <v>0</v>
      </c>
      <c r="S24" s="1631"/>
      <c r="T24" s="1653"/>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2285"/>
      <c r="C25" s="1654" t="str">
        <f>'Space Program Data'!J6</f>
        <v>SCBA Maintenance Room</v>
      </c>
      <c r="D25" s="1631"/>
      <c r="E25" s="1647"/>
      <c r="F25" s="1631"/>
      <c r="G25" s="1648">
        <f>IF(I25&gt;0,1,0)</f>
        <v>0</v>
      </c>
      <c r="H25" s="1633"/>
      <c r="I25" s="1647">
        <f>'Interactive Worksheet'!Q88</f>
        <v>0</v>
      </c>
      <c r="J25" s="1633"/>
      <c r="K25" s="1649">
        <f t="shared" si="0"/>
        <v>0</v>
      </c>
      <c r="L25" s="1650">
        <f>'Interactive Worksheet'!Q88</f>
        <v>0</v>
      </c>
      <c r="M25" s="1631"/>
      <c r="N25" s="2023">
        <v>0</v>
      </c>
      <c r="O25" s="1633"/>
      <c r="P25" s="1651">
        <f t="shared" si="1"/>
        <v>0</v>
      </c>
      <c r="Q25" s="1650">
        <f t="shared" si="2"/>
        <v>0</v>
      </c>
      <c r="R25" s="1652">
        <f t="shared" si="3"/>
        <v>0</v>
      </c>
      <c r="S25" s="1631"/>
      <c r="T25" s="1653"/>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hidden="1" outlineLevel="1" x14ac:dyDescent="0.2">
      <c r="A26" s="17"/>
      <c r="B26" s="2285"/>
      <c r="C26" s="1646" t="str">
        <f>'Space Program Data'!J23</f>
        <v>Spare Flightline Fire Extinguishing Tank Exterior Covered Storage</v>
      </c>
      <c r="D26" s="1631"/>
      <c r="E26" s="1647"/>
      <c r="F26" s="1631"/>
      <c r="G26" s="1648">
        <f>IF('Interactive Worksheet'!L120="yes",1,0)</f>
        <v>0</v>
      </c>
      <c r="H26" s="1633"/>
      <c r="I26" s="1647">
        <f>'Interactive Worksheet'!Q120</f>
        <v>0</v>
      </c>
      <c r="J26" s="1633"/>
      <c r="K26" s="1649">
        <f t="shared" si="0"/>
        <v>0</v>
      </c>
      <c r="L26" s="1650">
        <f>G26*I26*0.5</f>
        <v>0</v>
      </c>
      <c r="M26" s="1631"/>
      <c r="N26" s="2023">
        <v>0</v>
      </c>
      <c r="O26" s="1633"/>
      <c r="P26" s="1651">
        <f>N26*0.5</f>
        <v>0</v>
      </c>
      <c r="Q26" s="1650">
        <f t="shared" si="2"/>
        <v>0</v>
      </c>
      <c r="R26" s="1652">
        <f t="shared" si="3"/>
        <v>0</v>
      </c>
      <c r="S26" s="1631"/>
      <c r="T26" s="1653" t="s">
        <v>1000</v>
      </c>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2285"/>
      <c r="C27" s="1646" t="str">
        <f>'Space Program Data'!J18</f>
        <v>Spare PPE Gear Storage</v>
      </c>
      <c r="D27" s="1631"/>
      <c r="E27" s="1647"/>
      <c r="F27" s="1631"/>
      <c r="G27" s="1648">
        <f>IF(I27&gt;0,1,0)</f>
        <v>0</v>
      </c>
      <c r="H27" s="1633"/>
      <c r="I27" s="1647">
        <f>'Interactive Worksheet'!Q104</f>
        <v>0</v>
      </c>
      <c r="J27" s="1633"/>
      <c r="K27" s="1649">
        <f t="shared" si="0"/>
        <v>0</v>
      </c>
      <c r="L27" s="1650">
        <f>'Interactive Worksheet'!Q104</f>
        <v>0</v>
      </c>
      <c r="M27" s="1631"/>
      <c r="N27" s="2023">
        <v>0</v>
      </c>
      <c r="O27" s="1633"/>
      <c r="P27" s="1651">
        <f t="shared" si="1"/>
        <v>0</v>
      </c>
      <c r="Q27" s="1650">
        <f t="shared" si="2"/>
        <v>0</v>
      </c>
      <c r="R27" s="1652">
        <f t="shared" si="3"/>
        <v>0</v>
      </c>
      <c r="S27" s="1631"/>
      <c r="T27" s="1653"/>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2285"/>
      <c r="C28" s="1646" t="str">
        <f>'Space Program Data'!J24</f>
        <v>Vehicle Maintenance / Storage Bay</v>
      </c>
      <c r="D28" s="1631"/>
      <c r="E28" s="1647"/>
      <c r="F28" s="1631"/>
      <c r="G28" s="1648">
        <f>IF('Interactive Worksheet'!L106= "Yes",1,0)</f>
        <v>0</v>
      </c>
      <c r="H28" s="1633"/>
      <c r="I28" s="1647">
        <f>'Interactive Worksheet'!Q106</f>
        <v>0</v>
      </c>
      <c r="J28" s="1633"/>
      <c r="K28" s="1649">
        <f t="shared" si="0"/>
        <v>0</v>
      </c>
      <c r="L28" s="1650">
        <f>G28*I28</f>
        <v>0</v>
      </c>
      <c r="M28" s="1631"/>
      <c r="N28" s="2023">
        <v>0</v>
      </c>
      <c r="O28" s="1633"/>
      <c r="P28" s="1651">
        <f t="shared" si="1"/>
        <v>0</v>
      </c>
      <c r="Q28" s="1650">
        <f t="shared" si="2"/>
        <v>0</v>
      </c>
      <c r="R28" s="1652">
        <f t="shared" si="3"/>
        <v>0</v>
      </c>
      <c r="S28" s="1631"/>
      <c r="T28" s="1653"/>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2285"/>
      <c r="C29" s="1646" t="str">
        <f>'Space Program Data'!J11</f>
        <v>Vehicle Maintenance Equipment Storage</v>
      </c>
      <c r="D29" s="1631"/>
      <c r="E29" s="1647"/>
      <c r="F29" s="1631"/>
      <c r="G29" s="1648">
        <f>IF('Interactive Worksheet'!L110="Yes",1,0)</f>
        <v>0</v>
      </c>
      <c r="H29" s="1633"/>
      <c r="I29" s="1647">
        <f>'Interactive Worksheet'!Q110</f>
        <v>0</v>
      </c>
      <c r="J29" s="1633"/>
      <c r="K29" s="1649">
        <f t="shared" si="0"/>
        <v>0</v>
      </c>
      <c r="L29" s="1650">
        <f>G29*I29</f>
        <v>0</v>
      </c>
      <c r="M29" s="1631"/>
      <c r="N29" s="2023">
        <v>0</v>
      </c>
      <c r="O29" s="1633"/>
      <c r="P29" s="1651">
        <f t="shared" si="1"/>
        <v>0</v>
      </c>
      <c r="Q29" s="1650">
        <f t="shared" si="2"/>
        <v>0</v>
      </c>
      <c r="R29" s="1652">
        <f t="shared" si="3"/>
        <v>0</v>
      </c>
      <c r="S29" s="1631"/>
      <c r="T29" s="1653"/>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outlineLevel="1" x14ac:dyDescent="0.2">
      <c r="A30" s="17"/>
      <c r="B30" s="2285"/>
      <c r="C30" s="1646" t="str">
        <f>'Space Program Data'!J25</f>
        <v>Vehicle Maintenance Office</v>
      </c>
      <c r="D30" s="1631"/>
      <c r="E30" s="1647"/>
      <c r="F30" s="1631"/>
      <c r="G30" s="1648">
        <f>IF('Interactive Worksheet'!L108="Yes",1,0)</f>
        <v>0</v>
      </c>
      <c r="H30" s="1633"/>
      <c r="I30" s="1647">
        <f>'Interactive Worksheet'!Q108</f>
        <v>0</v>
      </c>
      <c r="J30" s="1633"/>
      <c r="K30" s="1649">
        <f t="shared" si="0"/>
        <v>0</v>
      </c>
      <c r="L30" s="1650">
        <f>G30*I30</f>
        <v>0</v>
      </c>
      <c r="M30" s="1631"/>
      <c r="N30" s="2023">
        <v>0</v>
      </c>
      <c r="O30" s="1633"/>
      <c r="P30" s="1651">
        <f t="shared" si="1"/>
        <v>0</v>
      </c>
      <c r="Q30" s="1650">
        <f t="shared" si="2"/>
        <v>0</v>
      </c>
      <c r="R30" s="1652">
        <f t="shared" si="3"/>
        <v>0</v>
      </c>
      <c r="S30" s="1631"/>
      <c r="T30" s="1653"/>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75" outlineLevel="1" thickBot="1" x14ac:dyDescent="0.25">
      <c r="A31" s="17"/>
      <c r="B31" s="2286"/>
      <c r="C31" s="1655" t="str">
        <f>'Space Program Data'!J10</f>
        <v>Work Room / Equipment Maintenance</v>
      </c>
      <c r="D31" s="1631"/>
      <c r="E31" s="1656"/>
      <c r="F31" s="1631"/>
      <c r="G31" s="1657">
        <f>IF(I31&gt;0,1,0)</f>
        <v>1</v>
      </c>
      <c r="H31" s="1633"/>
      <c r="I31" s="1656">
        <f>'Interactive Worksheet'!Q92</f>
        <v>120</v>
      </c>
      <c r="J31" s="1633"/>
      <c r="K31" s="1658">
        <f t="shared" si="0"/>
        <v>11.148</v>
      </c>
      <c r="L31" s="1650">
        <f>'Interactive Worksheet'!Q92</f>
        <v>120</v>
      </c>
      <c r="M31" s="1631"/>
      <c r="N31" s="2030">
        <v>120</v>
      </c>
      <c r="O31" s="1633"/>
      <c r="P31" s="1650">
        <f t="shared" si="1"/>
        <v>120</v>
      </c>
      <c r="Q31" s="1650">
        <f t="shared" si="2"/>
        <v>0</v>
      </c>
      <c r="R31" s="1659">
        <f t="shared" si="3"/>
        <v>0</v>
      </c>
      <c r="S31" s="1631"/>
      <c r="T31" s="1660"/>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1480" customFormat="1" ht="15.75" thickTop="1" x14ac:dyDescent="0.2">
      <c r="A32" s="1491"/>
      <c r="B32" s="2248" t="s">
        <v>399</v>
      </c>
      <c r="C32" s="2249"/>
      <c r="D32" s="1661"/>
      <c r="E32" s="1662"/>
      <c r="F32" s="1663"/>
      <c r="G32" s="1664"/>
      <c r="H32" s="1665"/>
      <c r="I32" s="1662"/>
      <c r="J32" s="1665"/>
      <c r="K32" s="1666">
        <f t="shared" si="0"/>
        <v>252.31639999999999</v>
      </c>
      <c r="L32" s="1667">
        <f>SUM(L13:L31,L6)</f>
        <v>2716</v>
      </c>
      <c r="M32" s="1663"/>
      <c r="N32" s="1662"/>
      <c r="O32" s="1665"/>
      <c r="P32" s="1668">
        <f>SUM(P13:P31,P6)</f>
        <v>2819</v>
      </c>
      <c r="Q32" s="1668">
        <f>SUM(Q13:Q31,Q6)</f>
        <v>103</v>
      </c>
      <c r="R32" s="1669">
        <f t="shared" ref="R32" si="4">IF(L32=0,0,Q32/L32)</f>
        <v>3.7923416789396168E-2</v>
      </c>
      <c r="S32" s="1663"/>
      <c r="T32" s="1670"/>
    </row>
    <row r="33" spans="1:71" s="59" customFormat="1" ht="6.75" customHeight="1" x14ac:dyDescent="0.2">
      <c r="B33" s="1671"/>
      <c r="C33" s="1672"/>
      <c r="D33" s="1673"/>
      <c r="E33" s="1674"/>
      <c r="F33" s="1673"/>
      <c r="G33" s="1675"/>
      <c r="H33" s="1676"/>
      <c r="I33" s="1677"/>
      <c r="J33" s="1676"/>
      <c r="K33" s="1678"/>
      <c r="L33" s="1679"/>
      <c r="M33" s="1673"/>
      <c r="N33" s="1677"/>
      <c r="O33" s="1676"/>
      <c r="P33" s="1679"/>
      <c r="Q33" s="1679"/>
      <c r="R33" s="1678"/>
      <c r="S33" s="1673"/>
      <c r="T33" s="1574"/>
      <c r="V33" s="60"/>
    </row>
    <row r="34" spans="1:71" s="296" customFormat="1" ht="15.75" x14ac:dyDescent="0.25">
      <c r="A34" s="291"/>
      <c r="B34" s="2252" t="s">
        <v>266</v>
      </c>
      <c r="C34" s="2253"/>
      <c r="D34" s="1680"/>
      <c r="E34" s="1681"/>
      <c r="F34" s="1680"/>
      <c r="G34" s="1681"/>
      <c r="H34" s="1682"/>
      <c r="I34" s="1683"/>
      <c r="J34" s="1684"/>
      <c r="K34" s="1685"/>
      <c r="L34" s="1683"/>
      <c r="M34" s="1686"/>
      <c r="N34" s="1600" t="s">
        <v>955</v>
      </c>
      <c r="O34" s="1684"/>
      <c r="P34" s="1687"/>
      <c r="Q34" s="1683"/>
      <c r="R34" s="1688"/>
      <c r="S34" s="1686"/>
      <c r="T34" s="1683"/>
      <c r="U34" s="291"/>
      <c r="V34" s="295"/>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row>
    <row r="35" spans="1:71" s="676" customFormat="1" ht="15" outlineLevel="1" x14ac:dyDescent="0.2">
      <c r="A35" s="675"/>
      <c r="B35" s="2280" t="s">
        <v>937</v>
      </c>
      <c r="C35" s="1689" t="str">
        <f>'Space Program Data'!J57</f>
        <v>Day Room</v>
      </c>
      <c r="D35" s="1603"/>
      <c r="E35" s="1690">
        <f>'Interactive Worksheet'!I75</f>
        <v>8</v>
      </c>
      <c r="F35" s="1631"/>
      <c r="G35" s="1691">
        <f>IF(I35&gt;0,1,0)</f>
        <v>1</v>
      </c>
      <c r="H35" s="1633"/>
      <c r="I35" s="1690">
        <f>'Space Program Data'!H57</f>
        <v>120</v>
      </c>
      <c r="J35" s="1605"/>
      <c r="K35" s="1692">
        <f>L35*0.0929</f>
        <v>89.183999999999997</v>
      </c>
      <c r="L35" s="1693">
        <f>'Interactive Worksheet'!Q128</f>
        <v>960</v>
      </c>
      <c r="M35" s="1603"/>
      <c r="N35" s="2023">
        <v>1033</v>
      </c>
      <c r="O35" s="1605"/>
      <c r="P35" s="1694">
        <f>N35</f>
        <v>1033</v>
      </c>
      <c r="Q35" s="1694">
        <f>P35-L35</f>
        <v>73</v>
      </c>
      <c r="R35" s="1695">
        <f>IF(L35=0,0,Q35/L35)</f>
        <v>7.604166666666666E-2</v>
      </c>
      <c r="S35" s="1603"/>
      <c r="T35" s="1696" t="s">
        <v>993</v>
      </c>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row>
    <row r="36" spans="1:71" s="5" customFormat="1" ht="15" hidden="1" outlineLevel="1" x14ac:dyDescent="0.2">
      <c r="A36" s="17"/>
      <c r="B36" s="2281"/>
      <c r="C36" s="1697" t="str">
        <f>'Space Program Data'!J69</f>
        <v>Host Nation Day Room</v>
      </c>
      <c r="D36" s="1631"/>
      <c r="E36" s="1698">
        <f>IF('Interactive Worksheet'!H161="Yes",'Interactive Worksheet'!M161,0)</f>
        <v>0</v>
      </c>
      <c r="F36" s="1631"/>
      <c r="G36" s="1699">
        <f>IF('Interactive Worksheet'!H161="Yes",1,0)</f>
        <v>0</v>
      </c>
      <c r="H36" s="1633"/>
      <c r="I36" s="1698">
        <f>'Interactive Worksheet'!Q161</f>
        <v>0</v>
      </c>
      <c r="J36" s="1633"/>
      <c r="K36" s="1700">
        <f>L36*0.0929</f>
        <v>0</v>
      </c>
      <c r="L36" s="1701">
        <f>'Interactive Worksheet'!Q161</f>
        <v>0</v>
      </c>
      <c r="M36" s="1631"/>
      <c r="N36" s="2025">
        <v>0</v>
      </c>
      <c r="O36" s="1633"/>
      <c r="P36" s="1701">
        <f>N36</f>
        <v>0</v>
      </c>
      <c r="Q36" s="1701">
        <f>P36-L36</f>
        <v>0</v>
      </c>
      <c r="R36" s="1702">
        <f>IF(L36=0,0,Q36/L36)</f>
        <v>0</v>
      </c>
      <c r="S36" s="1631"/>
      <c r="T36" s="1703"/>
      <c r="U36" s="17"/>
      <c r="V36" s="29"/>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row>
    <row r="37" spans="1:71" s="5" customFormat="1" ht="15" outlineLevel="1" x14ac:dyDescent="0.2">
      <c r="A37" s="17"/>
      <c r="B37" s="2281"/>
      <c r="C37" s="1704" t="str">
        <f>'Space Program Data'!J68</f>
        <v>Hoteling Stations</v>
      </c>
      <c r="D37" s="1631"/>
      <c r="E37" s="1705"/>
      <c r="F37" s="1631"/>
      <c r="G37" s="1706">
        <f>'Interactive Worksheet'!L163</f>
        <v>3</v>
      </c>
      <c r="H37" s="1633"/>
      <c r="I37" s="1705">
        <f>'Space Program Data'!H68</f>
        <v>40</v>
      </c>
      <c r="J37" s="1633"/>
      <c r="K37" s="1707">
        <f>L37*0.0929</f>
        <v>11.148</v>
      </c>
      <c r="L37" s="1693">
        <f>'Interactive Worksheet'!Q163</f>
        <v>120</v>
      </c>
      <c r="M37" s="1631"/>
      <c r="N37" s="2030">
        <v>120</v>
      </c>
      <c r="O37" s="1633"/>
      <c r="P37" s="1693">
        <f>N37</f>
        <v>120</v>
      </c>
      <c r="Q37" s="1693">
        <f>P37-L37</f>
        <v>0</v>
      </c>
      <c r="R37" s="1708">
        <f>IF(L37=0,0,Q37/L37)</f>
        <v>0</v>
      </c>
      <c r="S37" s="1631"/>
      <c r="T37" s="1709" t="s">
        <v>900</v>
      </c>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258" customFormat="1" ht="15" outlineLevel="1" x14ac:dyDescent="0.2">
      <c r="A38" s="248"/>
      <c r="B38" s="2281"/>
      <c r="C38" s="1710" t="str">
        <f>'Space Program Data'!J83</f>
        <v>Patio</v>
      </c>
      <c r="D38" s="1629"/>
      <c r="E38" s="1711"/>
      <c r="F38" s="1631"/>
      <c r="G38" s="1712">
        <v>1</v>
      </c>
      <c r="H38" s="1633"/>
      <c r="I38" s="1711">
        <f>'Interactive Worksheet'!Q291</f>
        <v>150</v>
      </c>
      <c r="J38" s="1633"/>
      <c r="K38" s="1692">
        <f>L38*0.0929</f>
        <v>6.9674999999999994</v>
      </c>
      <c r="L38" s="1701">
        <f>'Interactive Worksheet'!Q291*0.5</f>
        <v>75</v>
      </c>
      <c r="M38" s="1631"/>
      <c r="N38" s="2025">
        <v>95</v>
      </c>
      <c r="O38" s="1633"/>
      <c r="P38" s="1701">
        <f>N38*0.5</f>
        <v>47.5</v>
      </c>
      <c r="Q38" s="1701">
        <f>P38-L38</f>
        <v>-27.5</v>
      </c>
      <c r="R38" s="1713">
        <f>IF(L38=0,0,Q38/L38)</f>
        <v>-0.36666666666666664</v>
      </c>
      <c r="S38" s="1631"/>
      <c r="T38" s="1714" t="s">
        <v>1000</v>
      </c>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row>
    <row r="39" spans="1:71" s="5" customFormat="1" ht="15" hidden="1" outlineLevel="1" x14ac:dyDescent="0.2">
      <c r="A39" s="17"/>
      <c r="B39" s="2282"/>
      <c r="C39" s="1704" t="str">
        <f>'Space Program Data'!J66</f>
        <v>Physical Therapy / Sauna</v>
      </c>
      <c r="D39" s="1631"/>
      <c r="E39" s="1705"/>
      <c r="F39" s="1631"/>
      <c r="G39" s="1706">
        <f>IF('Interactive Worksheet'!L157="yes",1,0)</f>
        <v>0</v>
      </c>
      <c r="H39" s="1633"/>
      <c r="I39" s="1705">
        <f>'Interactive Worksheet'!Q157</f>
        <v>0</v>
      </c>
      <c r="J39" s="1633"/>
      <c r="K39" s="1707">
        <f>L39*0.0929</f>
        <v>0</v>
      </c>
      <c r="L39" s="1693">
        <f>'Interactive Worksheet'!Q157</f>
        <v>0</v>
      </c>
      <c r="M39" s="1631"/>
      <c r="N39" s="2030">
        <v>0</v>
      </c>
      <c r="O39" s="1633"/>
      <c r="P39" s="1693">
        <f>N39</f>
        <v>0</v>
      </c>
      <c r="Q39" s="1693">
        <f>P39-L39</f>
        <v>0</v>
      </c>
      <c r="R39" s="1708">
        <f>IF(L39=0,0,Q39/L39)</f>
        <v>0</v>
      </c>
      <c r="S39" s="1631"/>
      <c r="T39" s="1709"/>
      <c r="U39" s="17"/>
      <c r="V39" s="29"/>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1" s="258" customFormat="1" ht="15" outlineLevel="1" x14ac:dyDescent="0.2">
      <c r="A40" s="248"/>
      <c r="B40" s="1715" t="s">
        <v>913</v>
      </c>
      <c r="C40" s="1716" t="str">
        <f>'Space Program Data'!J58</f>
        <v>Dorm Rooms</v>
      </c>
      <c r="D40" s="1631"/>
      <c r="E40" s="1717">
        <f>'Interactive Worksheet'!I75</f>
        <v>8</v>
      </c>
      <c r="F40" s="1631"/>
      <c r="G40" s="1717">
        <f>E40</f>
        <v>8</v>
      </c>
      <c r="H40" s="1633"/>
      <c r="I40" s="1717">
        <f>L40/G40</f>
        <v>108</v>
      </c>
      <c r="J40" s="1633"/>
      <c r="K40" s="1718">
        <f t="shared" ref="K40:K53" si="5">L40*0.0929</f>
        <v>80.265599999999992</v>
      </c>
      <c r="L40" s="1719">
        <f>'Interactive Worksheet'!Q138</f>
        <v>864</v>
      </c>
      <c r="M40" s="1631"/>
      <c r="N40" s="2026">
        <f>8*110</f>
        <v>880</v>
      </c>
      <c r="O40" s="1633"/>
      <c r="P40" s="1719">
        <f t="shared" ref="P40" si="6">N40</f>
        <v>880</v>
      </c>
      <c r="Q40" s="1719">
        <f t="shared" ref="Q40:Q41" si="7">P40-L40</f>
        <v>16</v>
      </c>
      <c r="R40" s="1720">
        <f t="shared" ref="R40:R41" si="8">IF(L40=0,0,Q40/L40)</f>
        <v>1.8518518518518517E-2</v>
      </c>
      <c r="S40" s="1631"/>
      <c r="T40" s="1721"/>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row>
    <row r="41" spans="1:71" s="258" customFormat="1" ht="15" outlineLevel="1" x14ac:dyDescent="0.2">
      <c r="A41" s="248"/>
      <c r="B41" s="2283" t="s">
        <v>932</v>
      </c>
      <c r="C41" s="1722" t="str">
        <f>'Space Program Data'!J63&amp;" - Female Responders"</f>
        <v>Bathrooms / Showers / Changing - Female Responders</v>
      </c>
      <c r="D41" s="1631"/>
      <c r="E41" s="1723"/>
      <c r="F41" s="1631"/>
      <c r="G41" s="1724">
        <f t="shared" ref="G41:G52" si="9">IF(I41&gt;0,1,0)</f>
        <v>1</v>
      </c>
      <c r="H41" s="1633"/>
      <c r="I41" s="1723">
        <f>Data!AJ14</f>
        <v>176</v>
      </c>
      <c r="J41" s="1633"/>
      <c r="K41" s="1725">
        <f t="shared" si="5"/>
        <v>16.3504</v>
      </c>
      <c r="L41" s="1726">
        <f>G41*I41</f>
        <v>176</v>
      </c>
      <c r="M41" s="1631"/>
      <c r="N41" s="2027">
        <v>193</v>
      </c>
      <c r="O41" s="1633"/>
      <c r="P41" s="1726">
        <f>N41</f>
        <v>193</v>
      </c>
      <c r="Q41" s="1726">
        <f t="shared" si="7"/>
        <v>17</v>
      </c>
      <c r="R41" s="1727">
        <f t="shared" si="8"/>
        <v>9.6590909090909088E-2</v>
      </c>
      <c r="S41" s="1631"/>
      <c r="T41" s="172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37" customFormat="1" ht="15" outlineLevel="2" x14ac:dyDescent="0.2">
      <c r="A42" s="35"/>
      <c r="B42" s="2283"/>
      <c r="C42" s="1729" t="s">
        <v>747</v>
      </c>
      <c r="D42" s="1612"/>
      <c r="E42" s="1730"/>
      <c r="F42" s="1612"/>
      <c r="G42" s="1731">
        <f>'Interactive Worksheet'!J141</f>
        <v>2</v>
      </c>
      <c r="H42" s="1615"/>
      <c r="I42" s="1732"/>
      <c r="J42" s="1617"/>
      <c r="K42" s="1733">
        <f>'Interactive Worksheet'!J141</f>
        <v>2</v>
      </c>
      <c r="L42" s="1734"/>
      <c r="M42" s="1617"/>
      <c r="N42" s="1732"/>
      <c r="O42" s="1617"/>
      <c r="P42" s="1734"/>
      <c r="Q42" s="1734"/>
      <c r="R42" s="1735"/>
      <c r="S42" s="1617"/>
      <c r="T42" s="1736"/>
      <c r="U42" s="35"/>
      <c r="V42" s="36"/>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1" s="37" customFormat="1" ht="15" outlineLevel="2" x14ac:dyDescent="0.2">
      <c r="A43" s="35"/>
      <c r="B43" s="2283"/>
      <c r="C43" s="1729" t="s">
        <v>745</v>
      </c>
      <c r="D43" s="1612"/>
      <c r="E43" s="1730"/>
      <c r="F43" s="1612"/>
      <c r="G43" s="1731">
        <f>'Interactive Worksheet'!J142</f>
        <v>2</v>
      </c>
      <c r="H43" s="1615"/>
      <c r="I43" s="1732"/>
      <c r="J43" s="1617"/>
      <c r="K43" s="1733">
        <f>'Interactive Worksheet'!J142</f>
        <v>2</v>
      </c>
      <c r="L43" s="1734"/>
      <c r="M43" s="1617"/>
      <c r="N43" s="1732"/>
      <c r="O43" s="1617"/>
      <c r="P43" s="1734"/>
      <c r="Q43" s="1734"/>
      <c r="R43" s="1735"/>
      <c r="S43" s="1617"/>
      <c r="T43" s="1736"/>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2283"/>
      <c r="C44" s="1729" t="s">
        <v>748</v>
      </c>
      <c r="D44" s="1612"/>
      <c r="E44" s="1730"/>
      <c r="F44" s="1612"/>
      <c r="G44" s="1731">
        <f>'Interactive Worksheet'!J143</f>
        <v>1</v>
      </c>
      <c r="H44" s="1615"/>
      <c r="I44" s="1732"/>
      <c r="J44" s="1617"/>
      <c r="K44" s="1733">
        <f>'Interactive Worksheet'!J143</f>
        <v>1</v>
      </c>
      <c r="L44" s="1734"/>
      <c r="M44" s="1617"/>
      <c r="N44" s="1732"/>
      <c r="O44" s="1617"/>
      <c r="P44" s="1734"/>
      <c r="Q44" s="1734"/>
      <c r="R44" s="1735"/>
      <c r="S44" s="1617"/>
      <c r="T44" s="1736"/>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2283"/>
      <c r="C45" s="1729" t="s">
        <v>896</v>
      </c>
      <c r="D45" s="1612"/>
      <c r="E45" s="1730"/>
      <c r="F45" s="1612"/>
      <c r="G45" s="1731">
        <f>'Interactive Worksheet'!J144</f>
        <v>3</v>
      </c>
      <c r="H45" s="1615"/>
      <c r="I45" s="1732"/>
      <c r="J45" s="1617"/>
      <c r="K45" s="1733">
        <f>'Interactive Worksheet'!J144</f>
        <v>3</v>
      </c>
      <c r="L45" s="1734"/>
      <c r="M45" s="1617"/>
      <c r="N45" s="1732"/>
      <c r="O45" s="1617"/>
      <c r="P45" s="1734"/>
      <c r="Q45" s="1734"/>
      <c r="R45" s="1735"/>
      <c r="S45" s="1617"/>
      <c r="T45" s="1736"/>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258" customFormat="1" ht="15" outlineLevel="1" x14ac:dyDescent="0.2">
      <c r="A46" s="248"/>
      <c r="B46" s="2283"/>
      <c r="C46" s="1737" t="str">
        <f>'Space Program Data'!J63&amp;" - Male Responders"</f>
        <v>Bathrooms / Showers / Changing - Male Responders</v>
      </c>
      <c r="D46" s="1631"/>
      <c r="E46" s="1738"/>
      <c r="F46" s="1631"/>
      <c r="G46" s="1739">
        <f t="shared" ref="G46" si="10">IF(I46&gt;0,1,0)</f>
        <v>1</v>
      </c>
      <c r="H46" s="1633"/>
      <c r="I46" s="1738">
        <f>Data!AG14</f>
        <v>327</v>
      </c>
      <c r="J46" s="1633"/>
      <c r="K46" s="1740">
        <f t="shared" ref="K46" si="11">L46*0.0929</f>
        <v>30.378299999999999</v>
      </c>
      <c r="L46" s="1741">
        <f>G46*I46</f>
        <v>327</v>
      </c>
      <c r="M46" s="1631"/>
      <c r="N46" s="2023">
        <v>298</v>
      </c>
      <c r="O46" s="1633"/>
      <c r="P46" s="1741">
        <f>N46</f>
        <v>298</v>
      </c>
      <c r="Q46" s="1741">
        <f>P46-L46</f>
        <v>-29</v>
      </c>
      <c r="R46" s="1742">
        <f>IF(L46=0,0,Q46/L46)</f>
        <v>-8.8685015290519878E-2</v>
      </c>
      <c r="S46" s="1631"/>
      <c r="T46" s="1743"/>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row>
    <row r="47" spans="1:71" s="37" customFormat="1" ht="15" outlineLevel="2" x14ac:dyDescent="0.2">
      <c r="A47" s="35"/>
      <c r="B47" s="2283"/>
      <c r="C47" s="1729" t="s">
        <v>747</v>
      </c>
      <c r="D47" s="1612"/>
      <c r="E47" s="1730"/>
      <c r="F47" s="1612"/>
      <c r="G47" s="1731">
        <f>'Interactive Worksheet'!J146</f>
        <v>3</v>
      </c>
      <c r="H47" s="1615"/>
      <c r="I47" s="1732"/>
      <c r="J47" s="1617"/>
      <c r="K47" s="1733">
        <f>'Interactive Worksheet'!J146</f>
        <v>3</v>
      </c>
      <c r="L47" s="1734"/>
      <c r="M47" s="1617"/>
      <c r="N47" s="1732"/>
      <c r="O47" s="1617"/>
      <c r="P47" s="1734"/>
      <c r="Q47" s="1734"/>
      <c r="R47" s="1735"/>
      <c r="S47" s="1617"/>
      <c r="T47" s="1736"/>
      <c r="U47" s="35"/>
      <c r="V47" s="36"/>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1" s="37" customFormat="1" ht="15" outlineLevel="2" x14ac:dyDescent="0.2">
      <c r="A48" s="35"/>
      <c r="B48" s="2283"/>
      <c r="C48" s="1729" t="s">
        <v>922</v>
      </c>
      <c r="D48" s="1612"/>
      <c r="E48" s="1730"/>
      <c r="F48" s="1612"/>
      <c r="G48" s="1731">
        <f>'Interactive Worksheet'!J147</f>
        <v>4</v>
      </c>
      <c r="H48" s="1615"/>
      <c r="I48" s="1732"/>
      <c r="J48" s="1617"/>
      <c r="K48" s="1733">
        <f>'Interactive Worksheet'!J147</f>
        <v>4</v>
      </c>
      <c r="L48" s="1734"/>
      <c r="M48" s="1617"/>
      <c r="N48" s="1732"/>
      <c r="O48" s="1617"/>
      <c r="P48" s="1734"/>
      <c r="Q48" s="1734"/>
      <c r="R48" s="1735"/>
      <c r="S48" s="1617"/>
      <c r="T48" s="1736" t="str">
        <f>"("&amp;ROUNDUP(K48/2,0)&amp;") Water Closet(s), ("&amp;ROUNDDOWN(K48/2,0)&amp;") Urinal(s)"</f>
        <v>(2) Water Closet(s), (2) Urinal(s)</v>
      </c>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2283"/>
      <c r="C49" s="1729" t="s">
        <v>748</v>
      </c>
      <c r="D49" s="1612"/>
      <c r="E49" s="1730"/>
      <c r="F49" s="1612"/>
      <c r="G49" s="1731">
        <f>'Interactive Worksheet'!J148</f>
        <v>2</v>
      </c>
      <c r="H49" s="1615"/>
      <c r="I49" s="1732"/>
      <c r="J49" s="1617"/>
      <c r="K49" s="1733">
        <f>'Interactive Worksheet'!J148</f>
        <v>2</v>
      </c>
      <c r="L49" s="1734"/>
      <c r="M49" s="1617"/>
      <c r="N49" s="1732"/>
      <c r="O49" s="1617"/>
      <c r="P49" s="1734"/>
      <c r="Q49" s="1734"/>
      <c r="R49" s="1735"/>
      <c r="S49" s="1617"/>
      <c r="T49" s="1736"/>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2283"/>
      <c r="C50" s="1744" t="s">
        <v>896</v>
      </c>
      <c r="D50" s="1612"/>
      <c r="E50" s="1745"/>
      <c r="F50" s="1612"/>
      <c r="G50" s="1746">
        <f>'Interactive Worksheet'!J149</f>
        <v>7</v>
      </c>
      <c r="H50" s="1615"/>
      <c r="I50" s="1747"/>
      <c r="J50" s="1617"/>
      <c r="K50" s="1734">
        <f>'Interactive Worksheet'!J149</f>
        <v>7</v>
      </c>
      <c r="L50" s="1734"/>
      <c r="M50" s="1617"/>
      <c r="N50" s="1747"/>
      <c r="O50" s="1617"/>
      <c r="P50" s="1734"/>
      <c r="Q50" s="1734"/>
      <c r="R50" s="1748"/>
      <c r="S50" s="1617"/>
      <c r="T50" s="1749"/>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5" customFormat="1" ht="15" outlineLevel="1" x14ac:dyDescent="0.2">
      <c r="A51" s="17"/>
      <c r="B51" s="1750" t="s">
        <v>934</v>
      </c>
      <c r="C51" s="1751" t="str">
        <f>'Space Program Data'!J65</f>
        <v>Laundry Room</v>
      </c>
      <c r="D51" s="1631"/>
      <c r="E51" s="1752"/>
      <c r="F51" s="1631"/>
      <c r="G51" s="1753">
        <f t="shared" si="9"/>
        <v>1</v>
      </c>
      <c r="H51" s="1633"/>
      <c r="I51" s="1752">
        <f>'Interactive Worksheet'!Q151</f>
        <v>96</v>
      </c>
      <c r="J51" s="1633"/>
      <c r="K51" s="1754">
        <f t="shared" si="5"/>
        <v>8.9184000000000001</v>
      </c>
      <c r="L51" s="1755">
        <f>'Interactive Worksheet'!Q151</f>
        <v>96</v>
      </c>
      <c r="M51" s="1631"/>
      <c r="N51" s="2026">
        <v>96</v>
      </c>
      <c r="O51" s="1633"/>
      <c r="P51" s="1755">
        <f>N51</f>
        <v>96</v>
      </c>
      <c r="Q51" s="1755">
        <f>P51-L51</f>
        <v>0</v>
      </c>
      <c r="R51" s="1756">
        <f>IF(L51=0,0,Q51/L51)</f>
        <v>0</v>
      </c>
      <c r="S51" s="1631"/>
      <c r="T51" s="1757"/>
      <c r="U51" s="17"/>
      <c r="V51" s="29"/>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258" customFormat="1" ht="15" outlineLevel="1" x14ac:dyDescent="0.2">
      <c r="A52" s="248"/>
      <c r="B52" s="1758" t="s">
        <v>935</v>
      </c>
      <c r="C52" s="1759" t="str">
        <f>'Space Program Data'!J64</f>
        <v>Fitness Room</v>
      </c>
      <c r="D52" s="1631"/>
      <c r="E52" s="1760"/>
      <c r="F52" s="1631"/>
      <c r="G52" s="1761">
        <f t="shared" si="9"/>
        <v>1</v>
      </c>
      <c r="H52" s="1633"/>
      <c r="I52" s="1760">
        <f>'Interactive Worksheet'!Q153</f>
        <v>480</v>
      </c>
      <c r="J52" s="1633"/>
      <c r="K52" s="1762">
        <f t="shared" si="5"/>
        <v>44.591999999999999</v>
      </c>
      <c r="L52" s="1763">
        <f>'Interactive Worksheet'!Q153</f>
        <v>480</v>
      </c>
      <c r="M52" s="1631"/>
      <c r="N52" s="2026">
        <v>461</v>
      </c>
      <c r="O52" s="1633"/>
      <c r="P52" s="1763">
        <f>N52</f>
        <v>461</v>
      </c>
      <c r="Q52" s="1763">
        <f>P52-L52</f>
        <v>-19</v>
      </c>
      <c r="R52" s="1764">
        <f>IF(L52=0,0,Q52/L52)</f>
        <v>-3.9583333333333331E-2</v>
      </c>
      <c r="S52" s="1631"/>
      <c r="T52" s="1765"/>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row>
    <row r="53" spans="1:71" s="5" customFormat="1" ht="15.75" outlineLevel="1" thickBot="1" x14ac:dyDescent="0.25">
      <c r="A53" s="17"/>
      <c r="B53" s="1766" t="s">
        <v>936</v>
      </c>
      <c r="C53" s="1767" t="str">
        <f>'Space Program Data'!J67</f>
        <v>Recreation Room</v>
      </c>
      <c r="D53" s="1631"/>
      <c r="E53" s="1768"/>
      <c r="F53" s="1631"/>
      <c r="G53" s="1769">
        <f>IF('Interactive Worksheet'!L159="yes",1,0)</f>
        <v>1</v>
      </c>
      <c r="H53" s="1633"/>
      <c r="I53" s="1768">
        <f>'Interactive Worksheet'!Q159</f>
        <v>360</v>
      </c>
      <c r="J53" s="1633"/>
      <c r="K53" s="1770">
        <f t="shared" si="5"/>
        <v>33.443999999999996</v>
      </c>
      <c r="L53" s="1771">
        <f>'Interactive Worksheet'!Q159</f>
        <v>360</v>
      </c>
      <c r="M53" s="1631"/>
      <c r="N53" s="2026">
        <v>365</v>
      </c>
      <c r="O53" s="1633"/>
      <c r="P53" s="1771">
        <f>N53</f>
        <v>365</v>
      </c>
      <c r="Q53" s="1771">
        <f>P53-L53</f>
        <v>5</v>
      </c>
      <c r="R53" s="1772">
        <f>IF(L53=0,0,Q53/L53)</f>
        <v>1.3888888888888888E-2</v>
      </c>
      <c r="S53" s="1631"/>
      <c r="T53" s="1773"/>
      <c r="U53" s="17"/>
      <c r="V53" s="29"/>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s="1480" customFormat="1" ht="15.75" thickTop="1" x14ac:dyDescent="0.2">
      <c r="B54" s="2248" t="s">
        <v>398</v>
      </c>
      <c r="C54" s="2249"/>
      <c r="D54" s="1661"/>
      <c r="E54" s="1662"/>
      <c r="F54" s="1663"/>
      <c r="G54" s="1664"/>
      <c r="H54" s="1665"/>
      <c r="I54" s="1662"/>
      <c r="J54" s="1665"/>
      <c r="K54" s="1666">
        <f>L54*0.0929</f>
        <v>321.2482</v>
      </c>
      <c r="L54" s="1667">
        <f>SUM(L35:L53)</f>
        <v>3458</v>
      </c>
      <c r="M54" s="1663"/>
      <c r="N54" s="1662">
        <f>SUM(N35:N53)</f>
        <v>3541</v>
      </c>
      <c r="O54" s="1665"/>
      <c r="P54" s="1667">
        <f>SUM(P35:P53)</f>
        <v>3493.5</v>
      </c>
      <c r="Q54" s="1667">
        <f>SUM(Q35:Q53)</f>
        <v>35.5</v>
      </c>
      <c r="R54" s="1774">
        <f>IF(L54=0,0,Q54/L54)</f>
        <v>1.026604973973395E-2</v>
      </c>
      <c r="S54" s="1663"/>
      <c r="T54" s="1670"/>
    </row>
    <row r="55" spans="1:71" s="59" customFormat="1" ht="6.95" customHeight="1" x14ac:dyDescent="0.2">
      <c r="B55" s="1671"/>
      <c r="C55" s="1672"/>
      <c r="D55" s="1673"/>
      <c r="E55" s="1674"/>
      <c r="F55" s="1673"/>
      <c r="G55" s="1675"/>
      <c r="H55" s="1676"/>
      <c r="I55" s="1677"/>
      <c r="J55" s="1633"/>
      <c r="K55" s="1678"/>
      <c r="L55" s="1679"/>
      <c r="M55" s="1631"/>
      <c r="N55" s="1677"/>
      <c r="O55" s="1633"/>
      <c r="P55" s="1679"/>
      <c r="Q55" s="1679"/>
      <c r="R55" s="1678"/>
      <c r="S55" s="1631"/>
      <c r="T55" s="1574"/>
      <c r="V55" s="60"/>
    </row>
    <row r="56" spans="1:71" s="5" customFormat="1" ht="15.75" customHeight="1" x14ac:dyDescent="0.25">
      <c r="A56" s="17"/>
      <c r="B56" s="2252" t="s">
        <v>273</v>
      </c>
      <c r="C56" s="2253"/>
      <c r="D56" s="1680"/>
      <c r="E56" s="1775"/>
      <c r="F56" s="1680"/>
      <c r="G56" s="1775"/>
      <c r="H56" s="1682"/>
      <c r="I56" s="1776"/>
      <c r="J56" s="1684"/>
      <c r="K56" s="1777"/>
      <c r="L56" s="1776"/>
      <c r="M56" s="1686"/>
      <c r="N56" s="1600" t="s">
        <v>955</v>
      </c>
      <c r="O56" s="1684"/>
      <c r="P56" s="1687"/>
      <c r="Q56" s="1776"/>
      <c r="R56" s="1778"/>
      <c r="S56" s="1686"/>
      <c r="T56" s="1776"/>
      <c r="U56" s="17"/>
      <c r="V56" s="29"/>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1" s="258" customFormat="1" ht="15" outlineLevel="1" x14ac:dyDescent="0.2">
      <c r="A57" s="248"/>
      <c r="B57" s="2269" t="s">
        <v>127</v>
      </c>
      <c r="C57" s="1779" t="str">
        <f>'Space Program Data'!J31</f>
        <v>Lobby Area</v>
      </c>
      <c r="D57" s="1603"/>
      <c r="E57" s="1780"/>
      <c r="F57" s="1631"/>
      <c r="G57" s="1781">
        <f>IF(I57&gt;0,1,0)</f>
        <v>1</v>
      </c>
      <c r="H57" s="1633"/>
      <c r="I57" s="1780">
        <f>'Interactive Worksheet'!Q174</f>
        <v>100</v>
      </c>
      <c r="J57" s="1633"/>
      <c r="K57" s="1782">
        <f>L57*0.0929</f>
        <v>9.2899999999999991</v>
      </c>
      <c r="L57" s="1783">
        <f>'Interactive Worksheet'!Q174</f>
        <v>100</v>
      </c>
      <c r="M57" s="1603"/>
      <c r="N57" s="2022">
        <v>0</v>
      </c>
      <c r="O57" s="1633"/>
      <c r="P57" s="1783">
        <f>N57</f>
        <v>0</v>
      </c>
      <c r="Q57" s="1783">
        <f>P57-L57</f>
        <v>-100</v>
      </c>
      <c r="R57" s="1784">
        <f>IF(L57=0,0,Q57/L57)</f>
        <v>-1</v>
      </c>
      <c r="S57" s="1603"/>
      <c r="T57" s="1785" t="s">
        <v>989</v>
      </c>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row>
    <row r="58" spans="1:71" s="364" customFormat="1" outlineLevel="1" x14ac:dyDescent="0.2">
      <c r="A58" s="350"/>
      <c r="B58" s="2287"/>
      <c r="C58" s="1786" t="str">
        <f>'Space Program Data'!J30</f>
        <v>Main Entry Vestibule</v>
      </c>
      <c r="D58" s="1631"/>
      <c r="E58" s="1787">
        <v>0</v>
      </c>
      <c r="F58" s="1631"/>
      <c r="G58" s="1788">
        <f>IF('Interactive Worksheet'!J172="Yes",1,0)</f>
        <v>1</v>
      </c>
      <c r="H58" s="1633"/>
      <c r="I58" s="1787">
        <f>'Interactive Worksheet'!Q172</f>
        <v>64</v>
      </c>
      <c r="J58" s="1633"/>
      <c r="K58" s="1789">
        <f>L58*0.0929</f>
        <v>5.9455999999999998</v>
      </c>
      <c r="L58" s="1790">
        <f>'Interactive Worksheet'!Q172</f>
        <v>64</v>
      </c>
      <c r="M58" s="1631"/>
      <c r="N58" s="2024">
        <v>101</v>
      </c>
      <c r="O58" s="1633"/>
      <c r="P58" s="1790">
        <f>N58</f>
        <v>101</v>
      </c>
      <c r="Q58" s="1790">
        <f>P58-L58</f>
        <v>37</v>
      </c>
      <c r="R58" s="1791">
        <f>IF(L58=0,0,Q58/L58)</f>
        <v>0.578125</v>
      </c>
      <c r="S58" s="1631"/>
      <c r="T58" s="1792"/>
      <c r="U58" s="350"/>
      <c r="V58" s="363"/>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row>
    <row r="59" spans="1:71" s="4" customFormat="1" outlineLevel="1" x14ac:dyDescent="0.2">
      <c r="A59" s="18"/>
      <c r="B59" s="2272" t="s">
        <v>941</v>
      </c>
      <c r="C59" s="1793" t="str">
        <f>'Space Program Data'!J76</f>
        <v>Public Toilet (ADA-compliant, unisex)</v>
      </c>
      <c r="D59" s="1603"/>
      <c r="E59" s="1794"/>
      <c r="F59" s="1631"/>
      <c r="G59" s="1795">
        <f>IF(I59&gt;0,1,0)</f>
        <v>1</v>
      </c>
      <c r="H59" s="1633"/>
      <c r="I59" s="1794">
        <f>'Interactive Worksheet'!Q176</f>
        <v>60</v>
      </c>
      <c r="J59" s="1633"/>
      <c r="K59" s="1796">
        <f>L59*0.0929</f>
        <v>5.5739999999999998</v>
      </c>
      <c r="L59" s="1796">
        <f>'Interactive Worksheet'!Q176</f>
        <v>60</v>
      </c>
      <c r="M59" s="1603"/>
      <c r="N59" s="2025">
        <v>66</v>
      </c>
      <c r="O59" s="1633"/>
      <c r="P59" s="1797">
        <f>N59</f>
        <v>66</v>
      </c>
      <c r="Q59" s="1797">
        <f>P59-L59</f>
        <v>6</v>
      </c>
      <c r="R59" s="1798">
        <f>IF(L59=0,0,Q59/L59)</f>
        <v>0.1</v>
      </c>
      <c r="S59" s="1603"/>
      <c r="T59" s="1799" t="s">
        <v>996</v>
      </c>
      <c r="U59" s="18"/>
      <c r="V59" s="16"/>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row>
    <row r="60" spans="1:71" s="4" customFormat="1" ht="14.25" hidden="1" customHeight="1" outlineLevel="1" x14ac:dyDescent="0.2">
      <c r="A60" s="18"/>
      <c r="B60" s="2272"/>
      <c r="C60" s="1800" t="s">
        <v>776</v>
      </c>
      <c r="D60" s="1631"/>
      <c r="E60" s="1794"/>
      <c r="F60" s="1631"/>
      <c r="G60" s="1795">
        <f>IF('Interactive Worksheet'!M225="Yes",2,0)</f>
        <v>0</v>
      </c>
      <c r="H60" s="1633"/>
      <c r="I60" s="1794" t="e">
        <f>'Interactive Worksheet'!Q225/G60</f>
        <v>#DIV/0!</v>
      </c>
      <c r="J60" s="1633"/>
      <c r="K60" s="1801">
        <f>L60*0.0929</f>
        <v>0</v>
      </c>
      <c r="L60" s="1801">
        <f>'Interactive Worksheet'!Q225</f>
        <v>0</v>
      </c>
      <c r="M60" s="1631"/>
      <c r="N60" s="2023">
        <v>0</v>
      </c>
      <c r="O60" s="1633"/>
      <c r="P60" s="1802">
        <f>N60</f>
        <v>0</v>
      </c>
      <c r="Q60" s="1802">
        <f>P60-L60</f>
        <v>0</v>
      </c>
      <c r="R60" s="1803">
        <f>IF(L60=0,0,Q60/L60)</f>
        <v>0</v>
      </c>
      <c r="S60" s="1631"/>
      <c r="T60" s="1799"/>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364" customFormat="1" hidden="1" outlineLevel="2" x14ac:dyDescent="0.2">
      <c r="A61" s="350"/>
      <c r="B61" s="2272"/>
      <c r="C61" s="1800" t="s">
        <v>923</v>
      </c>
      <c r="D61" s="1612"/>
      <c r="E61" s="1804"/>
      <c r="F61" s="1612"/>
      <c r="G61" s="1805">
        <f>'Interactive Worksheet'!J228</f>
        <v>1</v>
      </c>
      <c r="H61" s="1615"/>
      <c r="I61" s="1806"/>
      <c r="J61" s="1617"/>
      <c r="K61" s="1801"/>
      <c r="L61" s="1801"/>
      <c r="M61" s="1617"/>
      <c r="N61" s="1806"/>
      <c r="O61" s="1617"/>
      <c r="P61" s="1802"/>
      <c r="Q61" s="1802"/>
      <c r="R61" s="1803"/>
      <c r="S61" s="1617"/>
      <c r="T61" s="1807"/>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row>
    <row r="62" spans="1:71" s="258" customFormat="1" ht="15" hidden="1" customHeight="1" outlineLevel="2" x14ac:dyDescent="0.2">
      <c r="A62" s="248"/>
      <c r="B62" s="2272"/>
      <c r="C62" s="1800" t="s">
        <v>924</v>
      </c>
      <c r="D62" s="1612"/>
      <c r="E62" s="1804"/>
      <c r="F62" s="1612"/>
      <c r="G62" s="1805">
        <f>'Interactive Worksheet'!J229</f>
        <v>1</v>
      </c>
      <c r="H62" s="1615"/>
      <c r="I62" s="1806"/>
      <c r="J62" s="1617"/>
      <c r="K62" s="1801"/>
      <c r="L62" s="1801"/>
      <c r="M62" s="1617"/>
      <c r="N62" s="1806"/>
      <c r="O62" s="1617"/>
      <c r="P62" s="1802"/>
      <c r="Q62" s="1802"/>
      <c r="R62" s="1803"/>
      <c r="S62" s="1617"/>
      <c r="T62" s="1807"/>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row>
    <row r="63" spans="1:71" s="258" customFormat="1" ht="15" hidden="1" outlineLevel="2" x14ac:dyDescent="0.2">
      <c r="A63" s="248"/>
      <c r="B63" s="2272"/>
      <c r="C63" s="1800" t="s">
        <v>925</v>
      </c>
      <c r="D63" s="1612"/>
      <c r="E63" s="1804"/>
      <c r="F63" s="1612"/>
      <c r="G63" s="1805">
        <f>'Interactive Worksheet'!J231</f>
        <v>2</v>
      </c>
      <c r="H63" s="1615"/>
      <c r="I63" s="1806"/>
      <c r="J63" s="1617"/>
      <c r="K63" s="1801"/>
      <c r="L63" s="1801"/>
      <c r="M63" s="1617"/>
      <c r="N63" s="1806"/>
      <c r="O63" s="1617"/>
      <c r="P63" s="1802"/>
      <c r="Q63" s="1802"/>
      <c r="R63" s="1803"/>
      <c r="S63" s="1617"/>
      <c r="T63" s="1807"/>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4" customFormat="1" hidden="1" outlineLevel="2" x14ac:dyDescent="0.2">
      <c r="A64" s="18"/>
      <c r="B64" s="2272"/>
      <c r="C64" s="1800" t="s">
        <v>926</v>
      </c>
      <c r="D64" s="1612"/>
      <c r="E64" s="1804"/>
      <c r="F64" s="1612"/>
      <c r="G64" s="1805">
        <f>'Interactive Worksheet'!J232</f>
        <v>2</v>
      </c>
      <c r="H64" s="1615"/>
      <c r="I64" s="1806"/>
      <c r="J64" s="1617"/>
      <c r="K64" s="1801"/>
      <c r="L64" s="1801"/>
      <c r="M64" s="1617"/>
      <c r="N64" s="1806"/>
      <c r="O64" s="1617"/>
      <c r="P64" s="1802"/>
      <c r="Q64" s="1802"/>
      <c r="R64" s="1803"/>
      <c r="S64" s="1617"/>
      <c r="T64" s="1807"/>
      <c r="U64" s="18"/>
      <c r="V64" s="16"/>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row>
    <row r="65" spans="1:71" s="4" customFormat="1" outlineLevel="1" collapsed="1" x14ac:dyDescent="0.2">
      <c r="A65" s="18"/>
      <c r="B65" s="2272"/>
      <c r="C65" s="1800" t="str">
        <f>'Space Program Data'!J43</f>
        <v>Administration &amp; Training Break Room</v>
      </c>
      <c r="D65" s="1631"/>
      <c r="E65" s="1808"/>
      <c r="F65" s="1631"/>
      <c r="G65" s="1809">
        <f>IF('Interactive Worksheet'!M223="Yes",1,0)</f>
        <v>1</v>
      </c>
      <c r="H65" s="1633"/>
      <c r="I65" s="1808">
        <f>'Space Program Data'!H43</f>
        <v>100</v>
      </c>
      <c r="J65" s="1633"/>
      <c r="K65" s="1801">
        <f t="shared" ref="K65:K70" si="12">L65*0.0929</f>
        <v>9.2899999999999991</v>
      </c>
      <c r="L65" s="1801">
        <f>G65*I65</f>
        <v>100</v>
      </c>
      <c r="M65" s="1631"/>
      <c r="N65" s="2023">
        <v>100</v>
      </c>
      <c r="O65" s="1633"/>
      <c r="P65" s="1802">
        <f>N65</f>
        <v>100</v>
      </c>
      <c r="Q65" s="1802">
        <f t="shared" ref="Q65:Q84" si="13">P65-L65</f>
        <v>0</v>
      </c>
      <c r="R65" s="1803">
        <f t="shared" ref="R65:R84" si="14">IF(L65=0,0,Q65/L65)</f>
        <v>0</v>
      </c>
      <c r="S65" s="1631"/>
      <c r="T65" s="1810"/>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ht="15" hidden="1" customHeight="1" outlineLevel="1" x14ac:dyDescent="0.2">
      <c r="A66" s="18"/>
      <c r="B66" s="2272"/>
      <c r="C66" s="1800" t="str">
        <f>'Space Program Data'!J32</f>
        <v>Administration Assistant</v>
      </c>
      <c r="D66" s="1603"/>
      <c r="E66" s="1808">
        <f>G66</f>
        <v>0</v>
      </c>
      <c r="F66" s="1631"/>
      <c r="G66" s="1809">
        <f>IF(I66&gt;0,1,0)</f>
        <v>0</v>
      </c>
      <c r="H66" s="1633"/>
      <c r="I66" s="1808">
        <f>'Interactive Worksheet'!Q187</f>
        <v>0</v>
      </c>
      <c r="J66" s="1633"/>
      <c r="K66" s="1801">
        <f t="shared" si="12"/>
        <v>0</v>
      </c>
      <c r="L66" s="1802">
        <f>'Interactive Worksheet'!Q187</f>
        <v>0</v>
      </c>
      <c r="M66" s="1603"/>
      <c r="N66" s="2023">
        <v>0</v>
      </c>
      <c r="O66" s="1633"/>
      <c r="P66" s="1802">
        <f t="shared" ref="P66:P80" si="15">N66</f>
        <v>0</v>
      </c>
      <c r="Q66" s="1802">
        <f t="shared" si="13"/>
        <v>0</v>
      </c>
      <c r="R66" s="1811">
        <f t="shared" si="14"/>
        <v>0</v>
      </c>
      <c r="S66" s="1603"/>
      <c r="T66" s="1810"/>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2272"/>
      <c r="C67" s="1800" t="str">
        <f>'Space Program Data'!J33</f>
        <v>Assistant Chief / Shift Supervisor</v>
      </c>
      <c r="D67" s="1603"/>
      <c r="E67" s="1808">
        <f>IF('Interactive Worksheet'!J189="yes",1,0)</f>
        <v>1</v>
      </c>
      <c r="F67" s="1631"/>
      <c r="G67" s="1809">
        <f>IF('Interactive Worksheet'!J189="yes",1,0)</f>
        <v>1</v>
      </c>
      <c r="H67" s="1633"/>
      <c r="I67" s="1808">
        <f>'Interactive Worksheet'!Q189</f>
        <v>120</v>
      </c>
      <c r="J67" s="1633"/>
      <c r="K67" s="1801">
        <f t="shared" si="12"/>
        <v>11.148</v>
      </c>
      <c r="L67" s="1802">
        <f>'Interactive Worksheet'!Q189</f>
        <v>120</v>
      </c>
      <c r="M67" s="1603"/>
      <c r="N67" s="2023">
        <v>120</v>
      </c>
      <c r="O67" s="1633"/>
      <c r="P67" s="1802">
        <f t="shared" si="15"/>
        <v>120</v>
      </c>
      <c r="Q67" s="1802">
        <f t="shared" si="13"/>
        <v>0</v>
      </c>
      <c r="R67" s="1811">
        <f t="shared" si="14"/>
        <v>0</v>
      </c>
      <c r="S67" s="1603"/>
      <c r="T67" s="1812" t="s">
        <v>802</v>
      </c>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2272"/>
      <c r="C68" s="1800" t="str">
        <f>'Space Program Data'!J34</f>
        <v>Assistant Chief of Fire Prevention</v>
      </c>
      <c r="D68" s="1603"/>
      <c r="E68" s="1808">
        <f>IF('Interactive Worksheet'!J192="yes",1,0)</f>
        <v>0</v>
      </c>
      <c r="F68" s="1631"/>
      <c r="G68" s="1808">
        <f>IF('Interactive Worksheet'!J192="yes",1,0)</f>
        <v>0</v>
      </c>
      <c r="H68" s="1633"/>
      <c r="I68" s="1808">
        <f>'Interactive Worksheet'!Q192</f>
        <v>0</v>
      </c>
      <c r="J68" s="1633"/>
      <c r="K68" s="1801">
        <f t="shared" si="12"/>
        <v>0</v>
      </c>
      <c r="L68" s="1802">
        <f>'Interactive Worksheet'!Q192</f>
        <v>0</v>
      </c>
      <c r="M68" s="1603"/>
      <c r="N68" s="2023">
        <v>0</v>
      </c>
      <c r="O68" s="1633"/>
      <c r="P68" s="1802">
        <f t="shared" si="15"/>
        <v>0</v>
      </c>
      <c r="Q68" s="1802">
        <f t="shared" si="13"/>
        <v>0</v>
      </c>
      <c r="R68" s="1811">
        <f t="shared" si="14"/>
        <v>0</v>
      </c>
      <c r="S68" s="1603"/>
      <c r="T68" s="1810"/>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2272"/>
      <c r="C69" s="1800" t="s">
        <v>838</v>
      </c>
      <c r="D69" s="1603"/>
      <c r="E69" s="1808"/>
      <c r="F69" s="1631"/>
      <c r="G69" s="1809"/>
      <c r="H69" s="1633"/>
      <c r="I69" s="1808">
        <f>'Interactive Worksheet'!Q190</f>
        <v>0</v>
      </c>
      <c r="J69" s="1633"/>
      <c r="K69" s="1801">
        <f t="shared" si="12"/>
        <v>0</v>
      </c>
      <c r="L69" s="1802">
        <f>'Interactive Worksheet'!Q190</f>
        <v>0</v>
      </c>
      <c r="M69" s="1603"/>
      <c r="N69" s="2023">
        <v>0</v>
      </c>
      <c r="O69" s="1633"/>
      <c r="P69" s="1802">
        <f t="shared" si="15"/>
        <v>0</v>
      </c>
      <c r="Q69" s="1802">
        <f t="shared" si="13"/>
        <v>0</v>
      </c>
      <c r="R69" s="1811">
        <f t="shared" si="14"/>
        <v>0</v>
      </c>
      <c r="S69" s="1603"/>
      <c r="T69" s="1812"/>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5" customFormat="1" ht="15" hidden="1" customHeight="1" outlineLevel="1" x14ac:dyDescent="0.2">
      <c r="A70" s="17"/>
      <c r="B70" s="2272"/>
      <c r="C70" s="1800" t="s">
        <v>905</v>
      </c>
      <c r="D70" s="1631"/>
      <c r="E70" s="1808"/>
      <c r="F70" s="1631"/>
      <c r="G70" s="1808">
        <f>IF('Interactive Worksheet'!J183="Yes",1,0)</f>
        <v>0</v>
      </c>
      <c r="H70" s="1633"/>
      <c r="I70" s="1808">
        <f>'Interactive Worksheet'!Q183</f>
        <v>0</v>
      </c>
      <c r="J70" s="1633"/>
      <c r="K70" s="1801">
        <f t="shared" si="12"/>
        <v>0</v>
      </c>
      <c r="L70" s="1802">
        <f>'Interactive Worksheet'!Q183</f>
        <v>0</v>
      </c>
      <c r="M70" s="1631"/>
      <c r="N70" s="2023">
        <v>0</v>
      </c>
      <c r="O70" s="1633"/>
      <c r="P70" s="1802">
        <f t="shared" si="15"/>
        <v>0</v>
      </c>
      <c r="Q70" s="1802">
        <f t="shared" si="13"/>
        <v>0</v>
      </c>
      <c r="R70" s="1811">
        <f t="shared" si="14"/>
        <v>0</v>
      </c>
      <c r="S70" s="1631"/>
      <c r="T70" s="1810" t="s">
        <v>997</v>
      </c>
      <c r="U70" s="17"/>
      <c r="V70" s="29"/>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258" customFormat="1" ht="15" hidden="1" customHeight="1" outlineLevel="1" x14ac:dyDescent="0.2">
      <c r="A71" s="248"/>
      <c r="B71" s="2272"/>
      <c r="C71" s="1800" t="str">
        <f>'Space Program Data'!J28</f>
        <v>Chief's Conference Room</v>
      </c>
      <c r="D71" s="1603"/>
      <c r="E71" s="1808"/>
      <c r="F71" s="1631"/>
      <c r="G71" s="1809">
        <f>IF(I71&gt;0,1,0)</f>
        <v>0</v>
      </c>
      <c r="H71" s="1633"/>
      <c r="I71" s="1808">
        <f>'Interactive Worksheet'!Q181</f>
        <v>0</v>
      </c>
      <c r="J71" s="1633"/>
      <c r="K71" s="1801">
        <f t="shared" ref="K71:K91" si="16">L71*0.0929</f>
        <v>0</v>
      </c>
      <c r="L71" s="1802">
        <f>'Interactive Worksheet'!Q181</f>
        <v>0</v>
      </c>
      <c r="M71" s="1603"/>
      <c r="N71" s="2023">
        <v>0</v>
      </c>
      <c r="O71" s="1633"/>
      <c r="P71" s="1802">
        <f t="shared" si="15"/>
        <v>0</v>
      </c>
      <c r="Q71" s="1802">
        <f t="shared" si="13"/>
        <v>0</v>
      </c>
      <c r="R71" s="1811">
        <f t="shared" si="14"/>
        <v>0</v>
      </c>
      <c r="S71" s="1603"/>
      <c r="T71" s="1810"/>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row>
    <row r="72" spans="1:71" s="258" customFormat="1" ht="15" hidden="1" customHeight="1" outlineLevel="1" x14ac:dyDescent="0.2">
      <c r="A72" s="248"/>
      <c r="B72" s="2272"/>
      <c r="C72" s="1800" t="str">
        <f>'Space Program Data'!J29</f>
        <v>Deputy Chief's Office</v>
      </c>
      <c r="D72" s="1631"/>
      <c r="E72" s="1808">
        <f>G72</f>
        <v>0</v>
      </c>
      <c r="F72" s="1631"/>
      <c r="G72" s="1809">
        <f>IF('Interactive Worksheet'!J185="yes",1,0)</f>
        <v>0</v>
      </c>
      <c r="H72" s="1633"/>
      <c r="I72" s="1808">
        <f>'Interactive Worksheet'!Q185</f>
        <v>0</v>
      </c>
      <c r="J72" s="1633"/>
      <c r="K72" s="1801">
        <f t="shared" si="16"/>
        <v>0</v>
      </c>
      <c r="L72" s="1802">
        <f>'Interactive Worksheet'!Q185</f>
        <v>0</v>
      </c>
      <c r="M72" s="1631"/>
      <c r="N72" s="2023">
        <v>0</v>
      </c>
      <c r="O72" s="1633"/>
      <c r="P72" s="1802">
        <f t="shared" si="15"/>
        <v>0</v>
      </c>
      <c r="Q72" s="1802">
        <f t="shared" si="13"/>
        <v>0</v>
      </c>
      <c r="R72" s="1811">
        <f t="shared" si="14"/>
        <v>0</v>
      </c>
      <c r="S72" s="1631"/>
      <c r="T72" s="1810"/>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4" customFormat="1" hidden="1" outlineLevel="1" x14ac:dyDescent="0.2">
      <c r="A73" s="18"/>
      <c r="B73" s="2272"/>
      <c r="C73" s="1800" t="str">
        <f>'Space Program Data'!J36</f>
        <v>EMS Office</v>
      </c>
      <c r="D73" s="1603"/>
      <c r="E73" s="1808"/>
      <c r="F73" s="1631"/>
      <c r="G73" s="1809">
        <f>IF('Interactive Worksheet'!J196="yes",1,0)</f>
        <v>0</v>
      </c>
      <c r="H73" s="1633"/>
      <c r="I73" s="1808">
        <f>'Interactive Worksheet'!Q196</f>
        <v>0</v>
      </c>
      <c r="J73" s="1633"/>
      <c r="K73" s="1801">
        <f t="shared" si="16"/>
        <v>0</v>
      </c>
      <c r="L73" s="1802">
        <f>'Interactive Worksheet'!Q196</f>
        <v>0</v>
      </c>
      <c r="M73" s="1603"/>
      <c r="N73" s="2023">
        <v>0</v>
      </c>
      <c r="O73" s="1633"/>
      <c r="P73" s="1802">
        <f t="shared" si="15"/>
        <v>0</v>
      </c>
      <c r="Q73" s="1802">
        <f t="shared" si="13"/>
        <v>0</v>
      </c>
      <c r="R73" s="1811">
        <f t="shared" si="14"/>
        <v>0</v>
      </c>
      <c r="S73" s="1603"/>
      <c r="T73" s="1810"/>
      <c r="U73" s="18"/>
      <c r="V73" s="16"/>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row>
    <row r="74" spans="1:71" s="5" customFormat="1" ht="15" hidden="1" customHeight="1" outlineLevel="1" x14ac:dyDescent="0.2">
      <c r="A74" s="17"/>
      <c r="B74" s="2272"/>
      <c r="C74" s="1800" t="s">
        <v>772</v>
      </c>
      <c r="D74" s="1631"/>
      <c r="E74" s="1808"/>
      <c r="F74" s="1631"/>
      <c r="G74" s="1808">
        <f>IF('Interactive Worksheet'!J178="Yes",1,0)</f>
        <v>0</v>
      </c>
      <c r="H74" s="1633"/>
      <c r="I74" s="1808">
        <f>'Interactive Worksheet'!Q179</f>
        <v>0</v>
      </c>
      <c r="J74" s="1633"/>
      <c r="K74" s="1801">
        <f t="shared" si="16"/>
        <v>0</v>
      </c>
      <c r="L74" s="1802">
        <f>'Interactive Worksheet'!Q179</f>
        <v>0</v>
      </c>
      <c r="M74" s="1631"/>
      <c r="N74" s="2023">
        <v>0</v>
      </c>
      <c r="O74" s="1633"/>
      <c r="P74" s="1802">
        <f t="shared" si="15"/>
        <v>0</v>
      </c>
      <c r="Q74" s="1802">
        <f t="shared" si="13"/>
        <v>0</v>
      </c>
      <c r="R74" s="1811">
        <f t="shared" si="14"/>
        <v>0</v>
      </c>
      <c r="S74" s="1631"/>
      <c r="T74" s="1810"/>
      <c r="U74" s="17"/>
      <c r="V74" s="29"/>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row>
    <row r="75" spans="1:71" s="37" customFormat="1" ht="15" hidden="1" outlineLevel="1" x14ac:dyDescent="0.2">
      <c r="A75" s="35"/>
      <c r="B75" s="2272"/>
      <c r="C75" s="1793" t="str">
        <f>'Space Program Data'!J27</f>
        <v>Fire Chief's Office</v>
      </c>
      <c r="D75" s="1631"/>
      <c r="E75" s="1794">
        <f>G75</f>
        <v>0</v>
      </c>
      <c r="F75" s="1631"/>
      <c r="G75" s="1794">
        <f>IF(I75&gt;0,1,0)</f>
        <v>0</v>
      </c>
      <c r="H75" s="1633"/>
      <c r="I75" s="1794">
        <f>'Interactive Worksheet'!Q178</f>
        <v>0</v>
      </c>
      <c r="J75" s="1633"/>
      <c r="K75" s="1801">
        <f t="shared" si="16"/>
        <v>0</v>
      </c>
      <c r="L75" s="1802">
        <f>'Interactive Worksheet'!Q178</f>
        <v>0</v>
      </c>
      <c r="M75" s="1631"/>
      <c r="N75" s="2027">
        <v>0</v>
      </c>
      <c r="O75" s="1633"/>
      <c r="P75" s="1802">
        <f t="shared" si="15"/>
        <v>0</v>
      </c>
      <c r="Q75" s="1802">
        <f t="shared" si="13"/>
        <v>0</v>
      </c>
      <c r="R75" s="1811">
        <f t="shared" si="14"/>
        <v>0</v>
      </c>
      <c r="S75" s="1631"/>
      <c r="T75" s="1799"/>
      <c r="U75" s="35"/>
      <c r="V75" s="36"/>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row>
    <row r="76" spans="1:71" s="37" customFormat="1" ht="15" outlineLevel="1" x14ac:dyDescent="0.2">
      <c r="A76" s="35"/>
      <c r="B76" s="2272"/>
      <c r="C76" s="1793" t="str">
        <f>'Space Program Data'!J49</f>
        <v>General Administration Storage</v>
      </c>
      <c r="D76" s="1631"/>
      <c r="E76" s="1794"/>
      <c r="F76" s="1631"/>
      <c r="G76" s="1795">
        <f>IF(I76&gt;0,1,0)</f>
        <v>1</v>
      </c>
      <c r="H76" s="1633"/>
      <c r="I76" s="1813">
        <f>'Interactive Worksheet'!Q203</f>
        <v>80</v>
      </c>
      <c r="J76" s="1633"/>
      <c r="K76" s="1801">
        <f t="shared" si="16"/>
        <v>7.4319999999999995</v>
      </c>
      <c r="L76" s="1802">
        <f>'Interactive Worksheet'!Q203</f>
        <v>80</v>
      </c>
      <c r="M76" s="1631"/>
      <c r="N76" s="2028">
        <v>80</v>
      </c>
      <c r="O76" s="1633"/>
      <c r="P76" s="1802">
        <f t="shared" si="15"/>
        <v>80</v>
      </c>
      <c r="Q76" s="1802">
        <f t="shared" si="13"/>
        <v>0</v>
      </c>
      <c r="R76" s="1811">
        <f t="shared" si="14"/>
        <v>0</v>
      </c>
      <c r="S76" s="1631"/>
      <c r="T76" s="1799"/>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hidden="1" outlineLevel="1" x14ac:dyDescent="0.2">
      <c r="A77" s="35"/>
      <c r="B77" s="2272"/>
      <c r="C77" s="1793" t="str">
        <f>'Space Program Data'!J37</f>
        <v>HAZMAT / Safety Office</v>
      </c>
      <c r="D77" s="1603"/>
      <c r="E77" s="1794"/>
      <c r="F77" s="1631"/>
      <c r="G77" s="1795">
        <f>IF('Interactive Worksheet'!J198="yes",1,0)</f>
        <v>0</v>
      </c>
      <c r="H77" s="1633"/>
      <c r="I77" s="1794">
        <f>'Interactive Worksheet'!Q198</f>
        <v>0</v>
      </c>
      <c r="J77" s="1633"/>
      <c r="K77" s="1801">
        <f t="shared" si="16"/>
        <v>0</v>
      </c>
      <c r="L77" s="1802">
        <f>'Interactive Worksheet'!Q198</f>
        <v>0</v>
      </c>
      <c r="M77" s="1603"/>
      <c r="N77" s="2027">
        <v>0</v>
      </c>
      <c r="O77" s="1633"/>
      <c r="P77" s="1802">
        <f t="shared" si="15"/>
        <v>0</v>
      </c>
      <c r="Q77" s="1802">
        <f t="shared" si="13"/>
        <v>0</v>
      </c>
      <c r="R77" s="1811">
        <f t="shared" si="14"/>
        <v>0</v>
      </c>
      <c r="S77" s="1603"/>
      <c r="T77" s="1799"/>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2272"/>
      <c r="C78" s="1793" t="str">
        <f>'Space Program Data'!J35</f>
        <v>Inspector's Office(s) / Workstation(s)</v>
      </c>
      <c r="D78" s="1603"/>
      <c r="E78" s="1794">
        <f>'Interactive Worksheet'!J194</f>
        <v>0</v>
      </c>
      <c r="F78" s="1631"/>
      <c r="G78" s="1795">
        <f>IF(E78&gt;0,1,0)</f>
        <v>0</v>
      </c>
      <c r="H78" s="1633"/>
      <c r="I78" s="1794">
        <f>'Interactive Worksheet'!Q194</f>
        <v>0</v>
      </c>
      <c r="J78" s="1633"/>
      <c r="K78" s="1801">
        <f t="shared" si="16"/>
        <v>0</v>
      </c>
      <c r="L78" s="1802">
        <f>'Interactive Worksheet'!Q194</f>
        <v>0</v>
      </c>
      <c r="M78" s="1603"/>
      <c r="N78" s="2027">
        <v>0</v>
      </c>
      <c r="O78" s="1633"/>
      <c r="P78" s="1802">
        <f t="shared" si="15"/>
        <v>0</v>
      </c>
      <c r="Q78" s="1802">
        <f t="shared" si="13"/>
        <v>0</v>
      </c>
      <c r="R78" s="1811">
        <f t="shared" si="14"/>
        <v>0</v>
      </c>
      <c r="S78" s="1603"/>
      <c r="T78" s="1799"/>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5" customFormat="1" ht="15" customHeight="1" outlineLevel="1" x14ac:dyDescent="0.2">
      <c r="A79" s="17"/>
      <c r="B79" s="2272"/>
      <c r="C79" s="1800" t="str">
        <f>'Space Program Data'!J26</f>
        <v>Station Chief Office / Watch Desk</v>
      </c>
      <c r="D79" s="1631"/>
      <c r="E79" s="1808"/>
      <c r="F79" s="1631"/>
      <c r="G79" s="1809">
        <f>IF(I79&gt;0,1,0)</f>
        <v>1</v>
      </c>
      <c r="H79" s="1633"/>
      <c r="I79" s="1808">
        <f>'Interactive Worksheet'!Q170</f>
        <v>120</v>
      </c>
      <c r="J79" s="1633"/>
      <c r="K79" s="1814">
        <f t="shared" si="16"/>
        <v>11.148</v>
      </c>
      <c r="L79" s="1802">
        <f>'Interactive Worksheet'!Q170</f>
        <v>120</v>
      </c>
      <c r="M79" s="1631"/>
      <c r="N79" s="2023">
        <v>120</v>
      </c>
      <c r="O79" s="1633"/>
      <c r="P79" s="1802">
        <f t="shared" si="15"/>
        <v>120</v>
      </c>
      <c r="Q79" s="1802">
        <f t="shared" si="13"/>
        <v>0</v>
      </c>
      <c r="R79" s="1811">
        <f t="shared" si="14"/>
        <v>0</v>
      </c>
      <c r="S79" s="1631"/>
      <c r="T79" s="1812" t="s">
        <v>994</v>
      </c>
      <c r="U79" s="17"/>
      <c r="V79" s="29"/>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row>
    <row r="80" spans="1:71" s="258" customFormat="1" ht="15" hidden="1" outlineLevel="1" x14ac:dyDescent="0.2">
      <c r="A80" s="248"/>
      <c r="B80" s="2288"/>
      <c r="C80" s="1815" t="str">
        <f>'Space Program Data'!J40&amp;" - "&amp;'Interactive Worksheet'!F205</f>
        <v>Union Representative - None</v>
      </c>
      <c r="D80" s="1631"/>
      <c r="E80" s="1816"/>
      <c r="F80" s="1631"/>
      <c r="G80" s="1817"/>
      <c r="H80" s="1633"/>
      <c r="I80" s="1816">
        <f>'Interactive Worksheet'!Q205</f>
        <v>0</v>
      </c>
      <c r="J80" s="1633"/>
      <c r="K80" s="1814">
        <f t="shared" si="16"/>
        <v>0</v>
      </c>
      <c r="L80" s="1802">
        <f>'Interactive Worksheet'!Q205</f>
        <v>0</v>
      </c>
      <c r="M80" s="1631"/>
      <c r="N80" s="2030">
        <v>0</v>
      </c>
      <c r="O80" s="1633"/>
      <c r="P80" s="1802">
        <f t="shared" si="15"/>
        <v>0</v>
      </c>
      <c r="Q80" s="1802">
        <f t="shared" si="13"/>
        <v>0</v>
      </c>
      <c r="R80" s="1818">
        <f t="shared" si="14"/>
        <v>0</v>
      </c>
      <c r="S80" s="1631"/>
      <c r="T80" s="1819"/>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row>
    <row r="81" spans="1:71" s="168" customFormat="1" ht="15" customHeight="1" outlineLevel="1" x14ac:dyDescent="0.2">
      <c r="A81" s="166"/>
      <c r="B81" s="2264" t="s">
        <v>940</v>
      </c>
      <c r="C81" s="1820" t="str">
        <f>'Space Program Data'!J47</f>
        <v>Computer Training / Testing Room</v>
      </c>
      <c r="D81" s="1631"/>
      <c r="E81" s="1821"/>
      <c r="F81" s="1603"/>
      <c r="G81" s="1822">
        <f>IF(I81&gt;0,1,0)</f>
        <v>1</v>
      </c>
      <c r="H81" s="1605"/>
      <c r="I81" s="1823">
        <f>'Interactive Worksheet'!Q215</f>
        <v>140</v>
      </c>
      <c r="J81" s="1605"/>
      <c r="K81" s="1824">
        <f t="shared" si="16"/>
        <v>13.006</v>
      </c>
      <c r="L81" s="1825">
        <f>'Interactive Worksheet'!Q215</f>
        <v>140</v>
      </c>
      <c r="M81" s="1631"/>
      <c r="N81" s="2022">
        <v>140</v>
      </c>
      <c r="O81" s="1605"/>
      <c r="P81" s="1825">
        <f t="shared" ref="P81:P84" si="17">N81</f>
        <v>140</v>
      </c>
      <c r="Q81" s="1825">
        <f t="shared" si="13"/>
        <v>0</v>
      </c>
      <c r="R81" s="1826">
        <f t="shared" si="14"/>
        <v>0</v>
      </c>
      <c r="S81" s="1631"/>
      <c r="T81" s="1827"/>
      <c r="U81" s="166"/>
      <c r="V81" s="167"/>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row>
    <row r="82" spans="1:71" s="5" customFormat="1" ht="15" hidden="1" outlineLevel="1" x14ac:dyDescent="0.2">
      <c r="A82" s="17"/>
      <c r="B82" s="2265"/>
      <c r="C82" s="1828" t="str">
        <f>'Space Program Data'!J46</f>
        <v>Training Officer Office</v>
      </c>
      <c r="D82" s="1829"/>
      <c r="E82" s="1830"/>
      <c r="F82" s="1829"/>
      <c r="G82" s="1831">
        <f>IF('Interactive Worksheet'!J209="yes",1,0)</f>
        <v>0</v>
      </c>
      <c r="H82" s="1633"/>
      <c r="I82" s="1830">
        <f>'Interactive Worksheet'!Q209</f>
        <v>0</v>
      </c>
      <c r="J82" s="1832"/>
      <c r="K82" s="1833">
        <f t="shared" si="16"/>
        <v>0</v>
      </c>
      <c r="L82" s="1834">
        <f>'Interactive Worksheet'!Q209</f>
        <v>0</v>
      </c>
      <c r="M82" s="1835"/>
      <c r="N82" s="2023">
        <v>0</v>
      </c>
      <c r="O82" s="1832"/>
      <c r="P82" s="1836">
        <f t="shared" si="17"/>
        <v>0</v>
      </c>
      <c r="Q82" s="1836">
        <f t="shared" si="13"/>
        <v>0</v>
      </c>
      <c r="R82" s="1837">
        <f t="shared" si="14"/>
        <v>0</v>
      </c>
      <c r="S82" s="1835"/>
      <c r="T82" s="1838" t="s">
        <v>803</v>
      </c>
      <c r="U82" s="17"/>
      <c r="V82" s="29" t="s">
        <v>447</v>
      </c>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row>
    <row r="83" spans="1:71" s="258" customFormat="1" ht="15" customHeight="1" outlineLevel="1" x14ac:dyDescent="0.2">
      <c r="A83" s="248"/>
      <c r="B83" s="2265"/>
      <c r="C83" s="1839" t="str">
        <f>'Space Program Data'!J44</f>
        <v>Training Room</v>
      </c>
      <c r="D83" s="1631"/>
      <c r="E83" s="1830">
        <f>'Interactive Worksheet'!M211</f>
        <v>12</v>
      </c>
      <c r="F83" s="1631"/>
      <c r="G83" s="1831">
        <f>IF(E83&gt;0,1,0)</f>
        <v>1</v>
      </c>
      <c r="H83" s="1633"/>
      <c r="I83" s="1830">
        <f>'Interactive Worksheet'!Q211</f>
        <v>336</v>
      </c>
      <c r="J83" s="1633"/>
      <c r="K83" s="1840">
        <f t="shared" si="16"/>
        <v>31.214399999999998</v>
      </c>
      <c r="L83" s="1836">
        <f>'Interactive Worksheet'!Q211</f>
        <v>336</v>
      </c>
      <c r="M83" s="1631"/>
      <c r="N83" s="2023">
        <v>336</v>
      </c>
      <c r="O83" s="1633"/>
      <c r="P83" s="1836">
        <f>N83</f>
        <v>336</v>
      </c>
      <c r="Q83" s="1836">
        <f t="shared" si="13"/>
        <v>0</v>
      </c>
      <c r="R83" s="1837">
        <f t="shared" si="14"/>
        <v>0</v>
      </c>
      <c r="S83" s="1631"/>
      <c r="T83" s="1841"/>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row>
    <row r="84" spans="1:71" s="258" customFormat="1" ht="15.75" outlineLevel="1" thickBot="1" x14ac:dyDescent="0.25">
      <c r="A84" s="248"/>
      <c r="B84" s="2266"/>
      <c r="C84" s="1842" t="str">
        <f>'Space Program Data'!J45</f>
        <v>Training Room Storage</v>
      </c>
      <c r="D84" s="1631"/>
      <c r="E84" s="1843"/>
      <c r="F84" s="1631"/>
      <c r="G84" s="1844">
        <f>IF(I84&gt;0,1,0)</f>
        <v>1</v>
      </c>
      <c r="H84" s="1633"/>
      <c r="I84" s="1843">
        <f>'Interactive Worksheet'!Q213</f>
        <v>80</v>
      </c>
      <c r="J84" s="1633"/>
      <c r="K84" s="1845">
        <f t="shared" si="16"/>
        <v>7.4319999999999995</v>
      </c>
      <c r="L84" s="1846">
        <f>'Interactive Worksheet'!Q213</f>
        <v>80</v>
      </c>
      <c r="M84" s="1631"/>
      <c r="N84" s="2024">
        <v>80</v>
      </c>
      <c r="O84" s="1633"/>
      <c r="P84" s="1846">
        <f t="shared" si="17"/>
        <v>80</v>
      </c>
      <c r="Q84" s="1846">
        <f t="shared" si="13"/>
        <v>0</v>
      </c>
      <c r="R84" s="1847">
        <f t="shared" si="14"/>
        <v>0</v>
      </c>
      <c r="S84" s="1631"/>
      <c r="T84" s="18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5" customFormat="1" ht="15" hidden="1" customHeight="1" outlineLevel="1" x14ac:dyDescent="0.2">
      <c r="A85" s="17"/>
      <c r="B85" s="2267" t="s">
        <v>939</v>
      </c>
      <c r="C85" s="1849" t="str">
        <f>'Space Program Data'!J38</f>
        <v>Logistics Office</v>
      </c>
      <c r="D85" s="1631"/>
      <c r="E85" s="1850"/>
      <c r="F85" s="1631"/>
      <c r="G85" s="1851">
        <f>IF('Interactive Worksheet'!J200="yes",1,0)</f>
        <v>0</v>
      </c>
      <c r="H85" s="1633"/>
      <c r="I85" s="1850">
        <f>'Interactive Worksheet'!Q200</f>
        <v>0</v>
      </c>
      <c r="J85" s="1633"/>
      <c r="K85" s="1852">
        <f t="shared" si="16"/>
        <v>0</v>
      </c>
      <c r="L85" s="1853">
        <f>'Interactive Worksheet'!Q200</f>
        <v>0</v>
      </c>
      <c r="M85" s="1631"/>
      <c r="N85" s="2022">
        <v>0</v>
      </c>
      <c r="O85" s="1633"/>
      <c r="P85" s="1853">
        <f t="shared" ref="P85:P86" si="18">N85</f>
        <v>0</v>
      </c>
      <c r="Q85" s="1853">
        <f t="shared" ref="Q85:Q86" si="19">P85-L85</f>
        <v>0</v>
      </c>
      <c r="R85" s="1854">
        <f t="shared" ref="R85" si="20">IF(L85=0,0,Q85/L85)</f>
        <v>0</v>
      </c>
      <c r="S85" s="1631"/>
      <c r="T85" s="1855"/>
      <c r="U85" s="17"/>
      <c r="V85" s="29"/>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row>
    <row r="86" spans="1:71" s="5" customFormat="1" ht="15" hidden="1" customHeight="1" outlineLevel="1" x14ac:dyDescent="0.2">
      <c r="A86" s="17"/>
      <c r="B86" s="2268"/>
      <c r="C86" s="1856" t="str">
        <f>'Space Program Data'!J39</f>
        <v>Logistics Storage</v>
      </c>
      <c r="D86" s="1631"/>
      <c r="E86" s="1857"/>
      <c r="F86" s="1631"/>
      <c r="G86" s="1858"/>
      <c r="H86" s="1633"/>
      <c r="I86" s="1857">
        <f>'Interactive Worksheet'!Q201</f>
        <v>0</v>
      </c>
      <c r="J86" s="1633"/>
      <c r="K86" s="1859">
        <f t="shared" si="16"/>
        <v>0</v>
      </c>
      <c r="L86" s="1860">
        <f>'Interactive Worksheet'!Q201</f>
        <v>0</v>
      </c>
      <c r="M86" s="1631"/>
      <c r="N86" s="2024">
        <v>0</v>
      </c>
      <c r="O86" s="1633"/>
      <c r="P86" s="1860">
        <f t="shared" si="18"/>
        <v>0</v>
      </c>
      <c r="Q86" s="1860">
        <f t="shared" si="19"/>
        <v>0</v>
      </c>
      <c r="R86" s="1861">
        <f t="shared" ref="R86:R91" si="21">IF(L86=0,0,Q86/L86)</f>
        <v>0</v>
      </c>
      <c r="S86" s="1631"/>
      <c r="T86" s="1862"/>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outlineLevel="1" x14ac:dyDescent="0.2">
      <c r="A87" s="17"/>
      <c r="B87" s="2259" t="s">
        <v>938</v>
      </c>
      <c r="C87" s="1863" t="str">
        <f>'Space Program Data'!J73</f>
        <v>Air Force Reserve and Active Duty Mobility / Deployment Gear Stor.</v>
      </c>
      <c r="D87" s="1631"/>
      <c r="E87" s="1864"/>
      <c r="F87" s="1631"/>
      <c r="G87" s="1865">
        <f>IF('Interactive Worksheet'!L256="yes",1,0)</f>
        <v>0</v>
      </c>
      <c r="H87" s="1633"/>
      <c r="I87" s="1864">
        <f>'Interactive Worksheet'!Q256</f>
        <v>0</v>
      </c>
      <c r="J87" s="1633"/>
      <c r="K87" s="1866">
        <f t="shared" si="16"/>
        <v>0</v>
      </c>
      <c r="L87" s="1867">
        <f>'Interactive Worksheet'!Q256</f>
        <v>0</v>
      </c>
      <c r="M87" s="1631"/>
      <c r="N87" s="2027">
        <v>0</v>
      </c>
      <c r="O87" s="1633"/>
      <c r="P87" s="1867">
        <f>N87</f>
        <v>0</v>
      </c>
      <c r="Q87" s="1867">
        <f>P87-L87</f>
        <v>0</v>
      </c>
      <c r="R87" s="1868">
        <f t="shared" si="21"/>
        <v>0</v>
      </c>
      <c r="S87" s="1631"/>
      <c r="T87" s="1869"/>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2259"/>
      <c r="C88" s="1870" t="str">
        <f>'Space Program Data'!J74</f>
        <v>Air Force Reserve Firefighter PPE Gear</v>
      </c>
      <c r="D88" s="1631"/>
      <c r="E88" s="1871">
        <f>IF('Interactive Worksheet'!M254="12 reservists",12,(IF('Interactive Worksheet'!M254="24 reservists",24,(IF('Interactive Worksheet'!M254="36 reservists",36,0)))))</f>
        <v>0</v>
      </c>
      <c r="F88" s="1631"/>
      <c r="G88" s="1872">
        <f>IF(I88&gt;0,1,0)</f>
        <v>0</v>
      </c>
      <c r="H88" s="1633"/>
      <c r="I88" s="1871">
        <f>'Interactive Worksheet'!Q254</f>
        <v>0</v>
      </c>
      <c r="J88" s="1633"/>
      <c r="K88" s="1873">
        <f t="shared" si="16"/>
        <v>0</v>
      </c>
      <c r="L88" s="1874">
        <f>'Interactive Worksheet'!Q254</f>
        <v>0</v>
      </c>
      <c r="M88" s="1631"/>
      <c r="N88" s="2023">
        <v>0</v>
      </c>
      <c r="O88" s="1633"/>
      <c r="P88" s="1874">
        <f>N88</f>
        <v>0</v>
      </c>
      <c r="Q88" s="1874">
        <f>P88-L88</f>
        <v>0</v>
      </c>
      <c r="R88" s="1875">
        <f t="shared" si="21"/>
        <v>0</v>
      </c>
      <c r="S88" s="1631"/>
      <c r="T88" s="1876" t="s">
        <v>951</v>
      </c>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2259"/>
      <c r="C89" s="1870" t="str">
        <f>'Space Program Data'!J71</f>
        <v>Air Force Reserve Supervisor</v>
      </c>
      <c r="D89" s="1631"/>
      <c r="E89" s="1871">
        <f>'Interactive Worksheet'!I250</f>
        <v>0</v>
      </c>
      <c r="F89" s="1631"/>
      <c r="G89" s="1872">
        <f>'Interactive Worksheet'!I250</f>
        <v>0</v>
      </c>
      <c r="H89" s="1633"/>
      <c r="I89" s="1871">
        <f>'Interactive Worksheet'!Q250</f>
        <v>0</v>
      </c>
      <c r="J89" s="1633"/>
      <c r="K89" s="1873">
        <f t="shared" si="16"/>
        <v>0</v>
      </c>
      <c r="L89" s="1874">
        <f>'Interactive Worksheet'!Q250</f>
        <v>0</v>
      </c>
      <c r="M89" s="1631"/>
      <c r="N89" s="2023">
        <v>0</v>
      </c>
      <c r="O89" s="1633"/>
      <c r="P89" s="1874">
        <f>N89</f>
        <v>0</v>
      </c>
      <c r="Q89" s="1874">
        <f>P89-L89</f>
        <v>0</v>
      </c>
      <c r="R89" s="1875">
        <f t="shared" si="21"/>
        <v>0</v>
      </c>
      <c r="S89" s="1631"/>
      <c r="T89" s="1876"/>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75" hidden="1" outlineLevel="1" thickBot="1" x14ac:dyDescent="0.25">
      <c r="A90" s="17"/>
      <c r="B90" s="2259"/>
      <c r="C90" s="1870" t="str">
        <f>'Space Program Data'!J72</f>
        <v>Air Force Reserve Workstations</v>
      </c>
      <c r="D90" s="1631"/>
      <c r="E90" s="1877">
        <f>'Interactive Worksheet'!I252</f>
        <v>0</v>
      </c>
      <c r="F90" s="1631"/>
      <c r="G90" s="1878">
        <f>'Interactive Worksheet'!I252</f>
        <v>0</v>
      </c>
      <c r="H90" s="1633"/>
      <c r="I90" s="1877">
        <f>'Space Program Data'!H72</f>
        <v>64</v>
      </c>
      <c r="J90" s="1633"/>
      <c r="K90" s="1879">
        <f t="shared" si="16"/>
        <v>0</v>
      </c>
      <c r="L90" s="1874">
        <f>'Interactive Worksheet'!Q252</f>
        <v>0</v>
      </c>
      <c r="M90" s="1631"/>
      <c r="N90" s="2030">
        <v>0</v>
      </c>
      <c r="O90" s="1633"/>
      <c r="P90" s="1874">
        <f>N90</f>
        <v>0</v>
      </c>
      <c r="Q90" s="1874">
        <f>P90-L90</f>
        <v>0</v>
      </c>
      <c r="R90" s="1880">
        <f t="shared" si="21"/>
        <v>0</v>
      </c>
      <c r="S90" s="1631"/>
      <c r="T90" s="1881"/>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1480" customFormat="1" ht="15.75" collapsed="1" thickTop="1" x14ac:dyDescent="0.2">
      <c r="B91" s="2248" t="s">
        <v>400</v>
      </c>
      <c r="C91" s="2249"/>
      <c r="D91" s="1661"/>
      <c r="E91" s="1662"/>
      <c r="F91" s="1663"/>
      <c r="G91" s="1664"/>
      <c r="H91" s="1665"/>
      <c r="I91" s="1662"/>
      <c r="J91" s="1665"/>
      <c r="K91" s="1666">
        <f t="shared" si="16"/>
        <v>111.47999999999999</v>
      </c>
      <c r="L91" s="1667">
        <f>SUM(L57:L90)</f>
        <v>1200</v>
      </c>
      <c r="M91" s="1663"/>
      <c r="N91" s="1662">
        <f>SUM(N57:N90)</f>
        <v>1143</v>
      </c>
      <c r="O91" s="1665"/>
      <c r="P91" s="1667">
        <f>SUM(P57:P90)</f>
        <v>1143</v>
      </c>
      <c r="Q91" s="1667">
        <f>SUM(Q57:Q90)</f>
        <v>-57</v>
      </c>
      <c r="R91" s="1774">
        <f t="shared" si="21"/>
        <v>-4.7500000000000001E-2</v>
      </c>
      <c r="S91" s="1663"/>
      <c r="T91" s="1670"/>
    </row>
    <row r="92" spans="1:71" s="123" customFormat="1" ht="6.95" customHeight="1" x14ac:dyDescent="0.2">
      <c r="B92" s="1631"/>
      <c r="C92" s="1882"/>
      <c r="D92" s="1673"/>
      <c r="E92" s="1883"/>
      <c r="F92" s="1673"/>
      <c r="G92" s="1884"/>
      <c r="H92" s="1676"/>
      <c r="I92" s="1883"/>
      <c r="J92" s="1676"/>
      <c r="K92" s="1885"/>
      <c r="L92" s="1605"/>
      <c r="M92" s="1673"/>
      <c r="N92" s="1883"/>
      <c r="O92" s="1676"/>
      <c r="P92" s="1605"/>
      <c r="Q92" s="1605"/>
      <c r="R92" s="1885"/>
      <c r="S92" s="1673"/>
      <c r="T92" s="1886"/>
      <c r="V92" s="132"/>
    </row>
    <row r="93" spans="1:71" s="296" customFormat="1" ht="15.75" hidden="1" x14ac:dyDescent="0.25">
      <c r="A93" s="291"/>
      <c r="B93" s="2252" t="s">
        <v>775</v>
      </c>
      <c r="C93" s="2253"/>
      <c r="D93" s="1680"/>
      <c r="E93" s="1681"/>
      <c r="F93" s="1680"/>
      <c r="G93" s="1681"/>
      <c r="H93" s="1682"/>
      <c r="I93" s="1681"/>
      <c r="J93" s="1682"/>
      <c r="K93" s="1887"/>
      <c r="L93" s="1681"/>
      <c r="M93" s="1680"/>
      <c r="N93" s="1600" t="s">
        <v>955</v>
      </c>
      <c r="O93" s="1682"/>
      <c r="P93" s="1600"/>
      <c r="Q93" s="1681"/>
      <c r="R93" s="1888"/>
      <c r="S93" s="1680"/>
      <c r="T93" s="1681"/>
      <c r="U93" s="291"/>
      <c r="V93" s="295"/>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row>
    <row r="94" spans="1:71" s="258" customFormat="1" ht="15" hidden="1" outlineLevel="1" x14ac:dyDescent="0.2">
      <c r="A94" s="248"/>
      <c r="B94" s="2263" t="s">
        <v>378</v>
      </c>
      <c r="C94" s="1889" t="str">
        <f>'Space Program Data'!J53</f>
        <v>ECC Dispatcher</v>
      </c>
      <c r="D94" s="1631"/>
      <c r="E94" s="1890">
        <f>'Interactive Worksheet'!J239</f>
        <v>0</v>
      </c>
      <c r="F94" s="1631"/>
      <c r="G94" s="1891">
        <f>IF(E94&gt;0,1,0)</f>
        <v>0</v>
      </c>
      <c r="H94" s="1633"/>
      <c r="I94" s="1890">
        <f>'Interactive Worksheet'!Q239</f>
        <v>0</v>
      </c>
      <c r="J94" s="1633"/>
      <c r="K94" s="1892">
        <f t="shared" ref="K94:K99" si="22">L94*0.0929</f>
        <v>0</v>
      </c>
      <c r="L94" s="1893">
        <f>'Interactive Worksheet'!Q239</f>
        <v>0</v>
      </c>
      <c r="M94" s="1631"/>
      <c r="N94" s="2030">
        <v>0</v>
      </c>
      <c r="O94" s="1633"/>
      <c r="P94" s="1894">
        <f>N94</f>
        <v>0</v>
      </c>
      <c r="Q94" s="1895">
        <f>P94-L94</f>
        <v>0</v>
      </c>
      <c r="R94" s="1896">
        <f>IF(L94=0,0,Q94/L94)</f>
        <v>0</v>
      </c>
      <c r="S94" s="1631"/>
      <c r="T94" s="1897"/>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row>
    <row r="95" spans="1:71" s="258" customFormat="1" ht="15" hidden="1" outlineLevel="1" x14ac:dyDescent="0.2">
      <c r="A95" s="248"/>
      <c r="B95" s="2263"/>
      <c r="C95" s="1898" t="str">
        <f>'Space Program Data'!J56</f>
        <v>ECC IT Room</v>
      </c>
      <c r="D95" s="1631"/>
      <c r="E95" s="1899"/>
      <c r="F95" s="1631"/>
      <c r="G95" s="1900">
        <f>IF(I95&gt;0,1,0)</f>
        <v>0</v>
      </c>
      <c r="H95" s="1633"/>
      <c r="I95" s="1899">
        <f>'Interactive Worksheet'!Q245</f>
        <v>0</v>
      </c>
      <c r="J95" s="1633"/>
      <c r="K95" s="1892">
        <f t="shared" si="22"/>
        <v>0</v>
      </c>
      <c r="L95" s="1893">
        <f>'Interactive Worksheet'!Q245</f>
        <v>0</v>
      </c>
      <c r="M95" s="1631"/>
      <c r="N95" s="2023">
        <v>0</v>
      </c>
      <c r="O95" s="1633"/>
      <c r="P95" s="1893">
        <f>N95</f>
        <v>0</v>
      </c>
      <c r="Q95" s="1895">
        <f>P95-L95</f>
        <v>0</v>
      </c>
      <c r="R95" s="1896">
        <f>IF(L95=0,0,Q95/L95)</f>
        <v>0</v>
      </c>
      <c r="S95" s="1631"/>
      <c r="T95" s="1901"/>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2263"/>
      <c r="C96" s="1898" t="str">
        <f>'Space Program Data'!J55</f>
        <v>ECC Kitchenette</v>
      </c>
      <c r="D96" s="1631"/>
      <c r="E96" s="1899"/>
      <c r="F96" s="1631"/>
      <c r="G96" s="1900">
        <f>IF(I96&gt;0,1,0)</f>
        <v>0</v>
      </c>
      <c r="H96" s="1633"/>
      <c r="I96" s="1899">
        <f>'Interactive Worksheet'!Q243</f>
        <v>0</v>
      </c>
      <c r="J96" s="1633"/>
      <c r="K96" s="1892">
        <f t="shared" si="22"/>
        <v>0</v>
      </c>
      <c r="L96" s="1893">
        <f>'Interactive Worksheet'!Q243</f>
        <v>0</v>
      </c>
      <c r="M96" s="1631"/>
      <c r="N96" s="2023">
        <v>0</v>
      </c>
      <c r="O96" s="1633"/>
      <c r="P96" s="1893">
        <f>N96</f>
        <v>0</v>
      </c>
      <c r="Q96" s="1895">
        <f>P96-L96</f>
        <v>0</v>
      </c>
      <c r="R96" s="1896">
        <f>IF(L96=0,0,Q96/L96)</f>
        <v>0</v>
      </c>
      <c r="S96" s="1631"/>
      <c r="T96" s="1901"/>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2263"/>
      <c r="C97" s="1898" t="str">
        <f>'Space Program Data'!J54</f>
        <v>ECC Restroom</v>
      </c>
      <c r="D97" s="1631"/>
      <c r="E97" s="1899"/>
      <c r="F97" s="1631"/>
      <c r="G97" s="1900">
        <f>IF(I97&gt;0,1,0)</f>
        <v>0</v>
      </c>
      <c r="H97" s="1633"/>
      <c r="I97" s="1899">
        <f>'Interactive Worksheet'!Q241</f>
        <v>0</v>
      </c>
      <c r="J97" s="1633"/>
      <c r="K97" s="1892">
        <f t="shared" si="22"/>
        <v>0</v>
      </c>
      <c r="L97" s="1893">
        <f>'Interactive Worksheet'!Q241</f>
        <v>0</v>
      </c>
      <c r="M97" s="1631"/>
      <c r="N97" s="2023">
        <v>0</v>
      </c>
      <c r="O97" s="1633"/>
      <c r="P97" s="1893">
        <f>N97</f>
        <v>0</v>
      </c>
      <c r="Q97" s="1895">
        <f>P97-L97</f>
        <v>0</v>
      </c>
      <c r="R97" s="1896">
        <f>IF(L97=0,0,Q97/L97)</f>
        <v>0</v>
      </c>
      <c r="S97" s="1631"/>
      <c r="T97" s="1901"/>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hidden="1" outlineLevel="1" thickBot="1" x14ac:dyDescent="0.25">
      <c r="A98" s="248"/>
      <c r="B98" s="2263"/>
      <c r="C98" s="1902" t="str">
        <f>'Space Program Data'!J52</f>
        <v>ECC Supervisor</v>
      </c>
      <c r="D98" s="1631"/>
      <c r="E98" s="1890">
        <f>IF('Interactive Worksheet'!J237="yes",1,0)</f>
        <v>0</v>
      </c>
      <c r="F98" s="1631"/>
      <c r="G98" s="1891">
        <f>IF('Interactive Worksheet'!J237="yes",1,0)</f>
        <v>0</v>
      </c>
      <c r="H98" s="1633"/>
      <c r="I98" s="1890">
        <f>'Interactive Worksheet'!Q237</f>
        <v>0</v>
      </c>
      <c r="J98" s="1633"/>
      <c r="K98" s="1903">
        <f t="shared" si="22"/>
        <v>0</v>
      </c>
      <c r="L98" s="1893">
        <f>'Interactive Worksheet'!Q237</f>
        <v>0</v>
      </c>
      <c r="M98" s="1631"/>
      <c r="N98" s="2030">
        <v>0</v>
      </c>
      <c r="O98" s="1633"/>
      <c r="P98" s="1904">
        <f>N98</f>
        <v>0</v>
      </c>
      <c r="Q98" s="1895">
        <f>P98-L98</f>
        <v>0</v>
      </c>
      <c r="R98" s="1905">
        <f>IF(L98=0,0,Q98/L98)</f>
        <v>0</v>
      </c>
      <c r="S98" s="1631"/>
      <c r="T98" s="1906"/>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1480" customFormat="1" ht="15.75" hidden="1" thickTop="1" x14ac:dyDescent="0.2">
      <c r="B99" s="2248" t="s">
        <v>944</v>
      </c>
      <c r="C99" s="2249"/>
      <c r="D99" s="1661"/>
      <c r="E99" s="1662"/>
      <c r="F99" s="1663"/>
      <c r="G99" s="1664"/>
      <c r="H99" s="1665"/>
      <c r="I99" s="1662"/>
      <c r="J99" s="1665"/>
      <c r="K99" s="1666">
        <f t="shared" si="22"/>
        <v>0</v>
      </c>
      <c r="L99" s="1667">
        <f>SUM(L94:L98)</f>
        <v>0</v>
      </c>
      <c r="M99" s="1663"/>
      <c r="N99" s="1662">
        <f>SUM(N94:N98)</f>
        <v>0</v>
      </c>
      <c r="O99" s="1665"/>
      <c r="P99" s="1907">
        <f>SUM(P94:P98)</f>
        <v>0</v>
      </c>
      <c r="Q99" s="1667">
        <f>SUM(Q94:Q98)</f>
        <v>0</v>
      </c>
      <c r="R99" s="1774">
        <f t="shared" ref="R99" si="23">IF(L99=0,0,Q99/L99)</f>
        <v>0</v>
      </c>
      <c r="S99" s="1663"/>
      <c r="T99" s="1670"/>
      <c r="U99" s="1483"/>
      <c r="V99" s="1483"/>
      <c r="W99" s="1483"/>
      <c r="X99" s="1483"/>
      <c r="Y99" s="1483"/>
      <c r="Z99" s="1483"/>
      <c r="AA99" s="1483"/>
      <c r="AB99" s="1483"/>
      <c r="AC99" s="1483"/>
      <c r="AD99" s="1483"/>
      <c r="AE99" s="1483"/>
      <c r="AF99" s="1483"/>
      <c r="AG99" s="1483"/>
      <c r="AH99" s="1483"/>
      <c r="AI99" s="1483"/>
      <c r="AJ99" s="1483"/>
      <c r="AK99" s="1483"/>
      <c r="AL99" s="1483"/>
      <c r="AM99" s="1483"/>
      <c r="AN99" s="1483"/>
      <c r="AO99" s="1483"/>
      <c r="AP99" s="1483"/>
      <c r="AQ99" s="1483"/>
      <c r="AR99" s="1483"/>
      <c r="AS99" s="1483"/>
      <c r="AT99" s="1483"/>
      <c r="AU99" s="1483"/>
      <c r="AV99" s="1483"/>
      <c r="AW99" s="1483"/>
      <c r="AX99" s="1483"/>
      <c r="AY99" s="1483"/>
      <c r="AZ99" s="1483"/>
      <c r="BA99" s="1483"/>
      <c r="BB99" s="1483"/>
      <c r="BC99" s="1483"/>
      <c r="BD99" s="1483"/>
      <c r="BE99" s="1483"/>
      <c r="BF99" s="1483"/>
      <c r="BG99" s="1483"/>
      <c r="BH99" s="1483"/>
    </row>
    <row r="100" spans="1:71" s="123" customFormat="1" ht="6.95" customHeight="1" x14ac:dyDescent="0.2">
      <c r="B100" s="1631"/>
      <c r="C100" s="1882"/>
      <c r="D100" s="1673"/>
      <c r="E100" s="1883"/>
      <c r="F100" s="1673"/>
      <c r="G100" s="1884"/>
      <c r="H100" s="1676"/>
      <c r="I100" s="1883"/>
      <c r="J100" s="1676"/>
      <c r="K100" s="1885"/>
      <c r="L100" s="1605"/>
      <c r="M100" s="1673"/>
      <c r="N100" s="1883"/>
      <c r="O100" s="1676"/>
      <c r="P100" s="1605"/>
      <c r="Q100" s="1605"/>
      <c r="R100" s="1885"/>
      <c r="S100" s="1673"/>
      <c r="T100" s="1886"/>
      <c r="V100" s="132"/>
    </row>
    <row r="101" spans="1:71" s="39" customFormat="1" ht="19.5" customHeight="1" x14ac:dyDescent="0.2">
      <c r="A101" s="38"/>
      <c r="B101" s="2250" t="s">
        <v>968</v>
      </c>
      <c r="C101" s="2251"/>
      <c r="D101" s="1908"/>
      <c r="E101" s="1909"/>
      <c r="F101" s="1910"/>
      <c r="G101" s="1909"/>
      <c r="H101" s="1910"/>
      <c r="I101" s="1909"/>
      <c r="J101" s="1911"/>
      <c r="K101" s="1912">
        <f>L101*0.0929</f>
        <v>685.04459999999995</v>
      </c>
      <c r="L101" s="1913">
        <f>SUM(L99,L91,L54,L32)</f>
        <v>7374</v>
      </c>
      <c r="M101" s="1914"/>
      <c r="N101" s="1913">
        <f>SUM(N32,N54,N91,N99)</f>
        <v>4684</v>
      </c>
      <c r="O101" s="1911"/>
      <c r="P101" s="1913">
        <f>SUM(P32,P54,P91,P99)</f>
        <v>7455.5</v>
      </c>
      <c r="Q101" s="1913">
        <f>SUM(Q99,Q91,Q54,Q32)</f>
        <v>81.5</v>
      </c>
      <c r="R101" s="1915">
        <f>Q101/L101</f>
        <v>1.1052346080824518E-2</v>
      </c>
      <c r="S101" s="1914"/>
      <c r="T101" s="1916"/>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8"/>
      <c r="BJ101" s="38"/>
      <c r="BK101" s="38"/>
      <c r="BL101" s="38"/>
      <c r="BM101" s="38"/>
      <c r="BN101" s="38"/>
      <c r="BO101" s="38"/>
      <c r="BP101" s="38"/>
      <c r="BQ101" s="38"/>
      <c r="BR101" s="38"/>
      <c r="BS101" s="38"/>
    </row>
    <row r="102" spans="1:71" s="123" customFormat="1" ht="6.95" customHeight="1" x14ac:dyDescent="0.2">
      <c r="B102" s="1631"/>
      <c r="C102" s="1882"/>
      <c r="D102" s="1673"/>
      <c r="E102" s="1883"/>
      <c r="F102" s="1673"/>
      <c r="G102" s="1884"/>
      <c r="H102" s="1676"/>
      <c r="I102" s="1883"/>
      <c r="J102" s="1676"/>
      <c r="K102" s="1885"/>
      <c r="L102" s="1605"/>
      <c r="M102" s="1673"/>
      <c r="N102" s="1883"/>
      <c r="O102" s="1676"/>
      <c r="P102" s="1605"/>
      <c r="Q102" s="1605"/>
      <c r="R102" s="1885"/>
      <c r="S102" s="1673"/>
      <c r="T102" s="1886"/>
      <c r="V102" s="132"/>
    </row>
    <row r="103" spans="1:71" s="296" customFormat="1" ht="15.75" x14ac:dyDescent="0.25">
      <c r="A103" s="291"/>
      <c r="B103" s="2257" t="s">
        <v>948</v>
      </c>
      <c r="C103" s="2258"/>
      <c r="D103" s="1680"/>
      <c r="E103" s="1775"/>
      <c r="F103" s="1680"/>
      <c r="G103" s="1775"/>
      <c r="H103" s="1682"/>
      <c r="I103" s="1775"/>
      <c r="J103" s="1682"/>
      <c r="K103" s="1917"/>
      <c r="L103" s="1775"/>
      <c r="M103" s="1680"/>
      <c r="N103" s="1918" t="s">
        <v>955</v>
      </c>
      <c r="O103" s="1682"/>
      <c r="P103" s="1687"/>
      <c r="Q103" s="1775"/>
      <c r="R103" s="1919"/>
      <c r="S103" s="1680"/>
      <c r="T103" s="1775"/>
      <c r="U103" s="291"/>
      <c r="V103" s="295"/>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row>
    <row r="104" spans="1:71" s="296" customFormat="1" ht="15.75" x14ac:dyDescent="0.2">
      <c r="A104" s="291"/>
      <c r="B104" s="1920" t="s">
        <v>960</v>
      </c>
      <c r="C104" s="1921" t="s">
        <v>961</v>
      </c>
      <c r="D104" s="1631"/>
      <c r="E104" s="1922"/>
      <c r="F104" s="1631"/>
      <c r="G104" s="1923" t="str">
        <f>'Pre-Design Area Matrix'!G103</f>
        <v>Multiple</v>
      </c>
      <c r="H104" s="1633"/>
      <c r="I104" s="1922">
        <f>'Pre-Design Area Matrix'!I103</f>
        <v>37.244999999999997</v>
      </c>
      <c r="J104" s="1633"/>
      <c r="K104" s="1924">
        <f t="shared" ref="K104:K111" si="24">L104*0.0929</f>
        <v>3.4600604999999995</v>
      </c>
      <c r="L104" s="1925">
        <f>I104</f>
        <v>37.244999999999997</v>
      </c>
      <c r="M104" s="1631"/>
      <c r="N104" s="2026">
        <v>13</v>
      </c>
      <c r="O104" s="1633"/>
      <c r="P104" s="1925">
        <f t="shared" ref="P104:P110" si="25">N104</f>
        <v>13</v>
      </c>
      <c r="Q104" s="1925">
        <f t="shared" ref="Q104:Q110" si="26">P104-L104</f>
        <v>-24.244999999999997</v>
      </c>
      <c r="R104" s="1926">
        <f t="shared" ref="R104:R111" si="27">IF(L104=0,0,Q104/L104)</f>
        <v>-0.65095986038394416</v>
      </c>
      <c r="S104" s="1631"/>
      <c r="T104" s="1927" t="str">
        <f>'Pre-Design Area Matrix'!N103</f>
        <v>1/2% of Net Assigned Area</v>
      </c>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2260" t="s">
        <v>962</v>
      </c>
      <c r="C105" s="1928" t="s">
        <v>963</v>
      </c>
      <c r="D105" s="1631"/>
      <c r="E105" s="1929"/>
      <c r="F105" s="1631"/>
      <c r="G105" s="1930" t="str">
        <f>'Pre-Design Area Matrix'!G104</f>
        <v>Multiple</v>
      </c>
      <c r="H105" s="1633"/>
      <c r="I105" s="1929">
        <f>'Pre-Design Area Matrix'!I104</f>
        <v>149</v>
      </c>
      <c r="J105" s="1633"/>
      <c r="K105" s="1931">
        <f t="shared" si="24"/>
        <v>13.8421</v>
      </c>
      <c r="L105" s="1932">
        <f>I105</f>
        <v>149</v>
      </c>
      <c r="M105" s="1631"/>
      <c r="N105" s="1568">
        <v>115</v>
      </c>
      <c r="O105" s="1633"/>
      <c r="P105" s="1932">
        <f t="shared" si="25"/>
        <v>115</v>
      </c>
      <c r="Q105" s="1932">
        <f t="shared" si="26"/>
        <v>-34</v>
      </c>
      <c r="R105" s="1933">
        <f t="shared" si="27"/>
        <v>-0.22818791946308725</v>
      </c>
      <c r="S105" s="1631"/>
      <c r="T105" s="1934" t="str">
        <f>'Pre-Design Area Matrix'!N104</f>
        <v>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2262"/>
      <c r="C106" s="1935" t="s">
        <v>970</v>
      </c>
      <c r="D106" s="1631"/>
      <c r="E106" s="1936"/>
      <c r="F106" s="1631"/>
      <c r="G106" s="1937">
        <f>'Pre-Design Area Matrix'!G105</f>
        <v>1</v>
      </c>
      <c r="H106" s="1633"/>
      <c r="I106" s="1936">
        <f>'Pre-Design Area Matrix'!I105</f>
        <v>168</v>
      </c>
      <c r="J106" s="1633"/>
      <c r="K106" s="1938">
        <f t="shared" si="24"/>
        <v>15.607199999999999</v>
      </c>
      <c r="L106" s="1939">
        <f>G106*I106</f>
        <v>168</v>
      </c>
      <c r="M106" s="1631"/>
      <c r="N106" s="2023">
        <v>0</v>
      </c>
      <c r="O106" s="1633"/>
      <c r="P106" s="1939">
        <f t="shared" si="25"/>
        <v>0</v>
      </c>
      <c r="Q106" s="1939">
        <f t="shared" si="26"/>
        <v>-168</v>
      </c>
      <c r="R106" s="1940">
        <f t="shared" si="27"/>
        <v>-1</v>
      </c>
      <c r="S106" s="1631"/>
      <c r="T106" s="1941" t="str">
        <f>'Pre-Design Area Matrix'!N105</f>
        <v>Based upon Conditioned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2261"/>
      <c r="C107" s="1942" t="s">
        <v>971</v>
      </c>
      <c r="D107" s="1631"/>
      <c r="E107" s="1943"/>
      <c r="F107" s="1631"/>
      <c r="G107" s="1944">
        <f>'Pre-Design Area Matrix'!G106</f>
        <v>1</v>
      </c>
      <c r="H107" s="1633"/>
      <c r="I107" s="1943">
        <f>'Pre-Design Area Matrix'!I106</f>
        <v>336</v>
      </c>
      <c r="J107" s="1633"/>
      <c r="K107" s="1945">
        <f t="shared" si="24"/>
        <v>31.214399999999998</v>
      </c>
      <c r="L107" s="1946">
        <f>G107*I107</f>
        <v>336</v>
      </c>
      <c r="M107" s="1631"/>
      <c r="N107" s="2029">
        <v>176</v>
      </c>
      <c r="O107" s="1633"/>
      <c r="P107" s="1946">
        <f t="shared" si="25"/>
        <v>176</v>
      </c>
      <c r="Q107" s="1946">
        <f t="shared" si="26"/>
        <v>-160</v>
      </c>
      <c r="R107" s="1947">
        <f t="shared" si="27"/>
        <v>-0.47619047619047616</v>
      </c>
      <c r="S107" s="1631"/>
      <c r="T107" s="1941" t="str">
        <f>'Pre-Design Area Matrix'!N106</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58" customFormat="1" ht="15" outlineLevel="1" x14ac:dyDescent="0.2">
      <c r="A108" s="248"/>
      <c r="B108" s="2260" t="s">
        <v>958</v>
      </c>
      <c r="C108" s="1948" t="str">
        <f>'Space Program Data'!J50</f>
        <v>Base IT / Comms Room(s)</v>
      </c>
      <c r="D108" s="1631"/>
      <c r="E108" s="1949"/>
      <c r="F108" s="1631"/>
      <c r="G108" s="1950">
        <f>'Interactive Worksheet'!M219</f>
        <v>2</v>
      </c>
      <c r="H108" s="1633"/>
      <c r="I108" s="1951">
        <f>'Space Program Data'!H50</f>
        <v>60</v>
      </c>
      <c r="J108" s="1633"/>
      <c r="K108" s="1952">
        <f t="shared" si="24"/>
        <v>11.148</v>
      </c>
      <c r="L108" s="1953">
        <f>G108*I108</f>
        <v>120</v>
      </c>
      <c r="M108" s="1631"/>
      <c r="N108" s="2028">
        <v>124</v>
      </c>
      <c r="O108" s="1633"/>
      <c r="P108" s="1932">
        <f t="shared" si="25"/>
        <v>124</v>
      </c>
      <c r="Q108" s="1954">
        <f t="shared" si="26"/>
        <v>4</v>
      </c>
      <c r="R108" s="1955">
        <f t="shared" si="27"/>
        <v>3.3333333333333333E-2</v>
      </c>
      <c r="S108" s="1631"/>
      <c r="T108" s="1934"/>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row>
    <row r="109" spans="1:71" s="5" customFormat="1" ht="15" outlineLevel="1" x14ac:dyDescent="0.2">
      <c r="A109" s="17"/>
      <c r="B109" s="2261"/>
      <c r="C109" s="1956" t="str">
        <f>'Space Program Data'!J51</f>
        <v xml:space="preserve">IT / Comms </v>
      </c>
      <c r="D109" s="1631"/>
      <c r="E109" s="1957"/>
      <c r="F109" s="1631"/>
      <c r="G109" s="1958">
        <f>'Interactive Worksheet'!M221</f>
        <v>1</v>
      </c>
      <c r="H109" s="1633"/>
      <c r="I109" s="1957">
        <f>'Space Program Data'!H51</f>
        <v>60</v>
      </c>
      <c r="J109" s="1633"/>
      <c r="K109" s="1959">
        <f t="shared" si="24"/>
        <v>5.5739999999999998</v>
      </c>
      <c r="L109" s="1960">
        <f>G109*I109</f>
        <v>60</v>
      </c>
      <c r="M109" s="1631"/>
      <c r="N109" s="2024">
        <v>59</v>
      </c>
      <c r="O109" s="1633"/>
      <c r="P109" s="1960">
        <f t="shared" si="25"/>
        <v>59</v>
      </c>
      <c r="Q109" s="1960">
        <f t="shared" si="26"/>
        <v>-1</v>
      </c>
      <c r="R109" s="1961">
        <f t="shared" si="27"/>
        <v>-1.6666666666666666E-2</v>
      </c>
      <c r="S109" s="1631"/>
      <c r="T109" s="1941"/>
      <c r="U109" s="17"/>
      <c r="V109" s="29"/>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s="5" customFormat="1" ht="15" customHeight="1" outlineLevel="1" thickBot="1" x14ac:dyDescent="0.25">
      <c r="A110" s="17"/>
      <c r="B110" s="1962" t="s">
        <v>654</v>
      </c>
      <c r="C110" s="1963" t="str">
        <f>'Space Program Data'!J70</f>
        <v>Vending / Recycling</v>
      </c>
      <c r="D110" s="1631"/>
      <c r="E110" s="1949"/>
      <c r="F110" s="1631"/>
      <c r="G110" s="1950">
        <f>IF(I110&gt;0,1,0)</f>
        <v>1</v>
      </c>
      <c r="H110" s="1633"/>
      <c r="I110" s="1949">
        <f>'Interactive Worksheet'!Q155</f>
        <v>40</v>
      </c>
      <c r="J110" s="1633"/>
      <c r="K110" s="1952">
        <f t="shared" si="24"/>
        <v>3.7159999999999997</v>
      </c>
      <c r="L110" s="1953">
        <f>G110*I110</f>
        <v>40</v>
      </c>
      <c r="M110" s="1631"/>
      <c r="N110" s="2027">
        <v>43</v>
      </c>
      <c r="O110" s="1633"/>
      <c r="P110" s="1964">
        <f t="shared" si="25"/>
        <v>43</v>
      </c>
      <c r="Q110" s="1965">
        <f t="shared" si="26"/>
        <v>3</v>
      </c>
      <c r="R110" s="1966">
        <f t="shared" si="27"/>
        <v>7.4999999999999997E-2</v>
      </c>
      <c r="S110" s="1631"/>
      <c r="T110" s="1967" t="s">
        <v>952</v>
      </c>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1480" customFormat="1" ht="15.75" thickTop="1" x14ac:dyDescent="0.2">
      <c r="B111" s="2248" t="s">
        <v>959</v>
      </c>
      <c r="C111" s="2249"/>
      <c r="D111" s="1661"/>
      <c r="E111" s="1662"/>
      <c r="F111" s="1663"/>
      <c r="G111" s="1664"/>
      <c r="H111" s="1665"/>
      <c r="I111" s="1662"/>
      <c r="J111" s="1665"/>
      <c r="K111" s="1666">
        <f t="shared" si="24"/>
        <v>84.561760499999991</v>
      </c>
      <c r="L111" s="1667">
        <f>SUM(L104:L110)</f>
        <v>910.245</v>
      </c>
      <c r="M111" s="1663"/>
      <c r="N111" s="1662">
        <f>SUM(N104:N110)</f>
        <v>530</v>
      </c>
      <c r="O111" s="1665"/>
      <c r="P111" s="1907">
        <f>SUM(P104:P110)</f>
        <v>530</v>
      </c>
      <c r="Q111" s="1667">
        <f>SUM(Q104:Q110)</f>
        <v>-380.245</v>
      </c>
      <c r="R111" s="1774">
        <f t="shared" si="27"/>
        <v>-0.41773918011084926</v>
      </c>
      <c r="S111" s="1663"/>
      <c r="T111" s="1670"/>
      <c r="U111" s="1483"/>
      <c r="V111" s="1483"/>
      <c r="W111" s="1483"/>
      <c r="X111" s="1483"/>
      <c r="Y111" s="1483"/>
      <c r="Z111" s="1483"/>
      <c r="AA111" s="1483"/>
      <c r="AB111" s="1483"/>
      <c r="AC111" s="1483"/>
      <c r="AD111" s="1483"/>
      <c r="AE111" s="1483"/>
      <c r="AF111" s="1483"/>
      <c r="AG111" s="1483"/>
      <c r="AH111" s="1483"/>
      <c r="AI111" s="1483"/>
      <c r="AJ111" s="1483"/>
      <c r="AK111" s="1483"/>
      <c r="AL111" s="1483"/>
      <c r="AM111" s="1483"/>
      <c r="AN111" s="1483"/>
      <c r="AO111" s="1483"/>
      <c r="AP111" s="1483"/>
      <c r="AQ111" s="1483"/>
      <c r="AR111" s="1483"/>
      <c r="AS111" s="1483"/>
      <c r="AT111" s="1483"/>
      <c r="AU111" s="1483"/>
      <c r="AV111" s="1483"/>
      <c r="AW111" s="1483"/>
      <c r="AX111" s="1483"/>
      <c r="AY111" s="1483"/>
      <c r="AZ111" s="1483"/>
      <c r="BA111" s="1483"/>
      <c r="BB111" s="1483"/>
      <c r="BC111" s="1483"/>
      <c r="BD111" s="1483"/>
      <c r="BE111" s="1483"/>
      <c r="BF111" s="1483"/>
      <c r="BG111" s="1483"/>
      <c r="BH111" s="1483"/>
    </row>
    <row r="112" spans="1:71" s="123" customFormat="1" ht="6.75" customHeight="1" x14ac:dyDescent="0.2">
      <c r="B112" s="1631"/>
      <c r="C112" s="1882"/>
      <c r="D112" s="1673"/>
      <c r="E112" s="1883"/>
      <c r="F112" s="1673"/>
      <c r="G112" s="1884"/>
      <c r="H112" s="1676"/>
      <c r="I112" s="1883"/>
      <c r="J112" s="1676"/>
      <c r="K112" s="1885"/>
      <c r="L112" s="1605"/>
      <c r="M112" s="1673"/>
      <c r="N112" s="1883"/>
      <c r="O112" s="1676"/>
      <c r="P112" s="1605"/>
      <c r="Q112" s="1605"/>
      <c r="R112" s="1885"/>
      <c r="S112" s="1673"/>
      <c r="T112" s="1886"/>
      <c r="V112" s="132"/>
    </row>
    <row r="113" spans="1:71" s="123" customFormat="1" ht="18" x14ac:dyDescent="0.2">
      <c r="B113" s="2250" t="s">
        <v>967</v>
      </c>
      <c r="C113" s="2251"/>
      <c r="D113" s="1908"/>
      <c r="E113" s="1910"/>
      <c r="F113" s="1910"/>
      <c r="G113" s="1910"/>
      <c r="H113" s="1910"/>
      <c r="I113" s="1910"/>
      <c r="J113" s="1676"/>
      <c r="K113" s="1912">
        <f>L113*0.0929</f>
        <v>769.60636050000005</v>
      </c>
      <c r="L113" s="1913">
        <f>SUM(L101,L111)</f>
        <v>8284.2450000000008</v>
      </c>
      <c r="M113" s="1968"/>
      <c r="N113" s="1913">
        <f>N101+N111</f>
        <v>5214</v>
      </c>
      <c r="O113" s="1676"/>
      <c r="P113" s="1913">
        <f>P101+P111</f>
        <v>7985.5</v>
      </c>
      <c r="Q113" s="1913">
        <f>SUM(Q99,Q91,Q54,Q32,Q111)</f>
        <v>-298.745</v>
      </c>
      <c r="R113" s="1915">
        <f>Q113/L113</f>
        <v>-3.606182579100449E-2</v>
      </c>
      <c r="S113" s="1968"/>
      <c r="T113" s="1969"/>
      <c r="U113" s="1536"/>
      <c r="V113" s="1270"/>
    </row>
    <row r="114" spans="1:71" s="123" customFormat="1" ht="6.75" customHeight="1" x14ac:dyDescent="0.2">
      <c r="B114" s="1631"/>
      <c r="C114" s="1882"/>
      <c r="D114" s="1673"/>
      <c r="E114" s="1883"/>
      <c r="F114" s="1673"/>
      <c r="G114" s="1884"/>
      <c r="H114" s="1676"/>
      <c r="I114" s="1883"/>
      <c r="J114" s="1676"/>
      <c r="K114" s="1885"/>
      <c r="L114" s="1605"/>
      <c r="M114" s="1673"/>
      <c r="N114" s="1883"/>
      <c r="O114" s="1676"/>
      <c r="P114" s="1605"/>
      <c r="Q114" s="1605"/>
      <c r="R114" s="1885"/>
      <c r="S114" s="1673"/>
      <c r="T114" s="1886"/>
      <c r="V114" s="132"/>
    </row>
    <row r="115" spans="1:71" s="296" customFormat="1" ht="15.75" x14ac:dyDescent="0.25">
      <c r="A115" s="291"/>
      <c r="B115" s="2257" t="s">
        <v>975</v>
      </c>
      <c r="C115" s="2258"/>
      <c r="D115" s="1680"/>
      <c r="E115" s="1775"/>
      <c r="F115" s="1680"/>
      <c r="G115" s="1775"/>
      <c r="H115" s="1682"/>
      <c r="I115" s="1775"/>
      <c r="J115" s="1682"/>
      <c r="K115" s="1917"/>
      <c r="L115" s="1775"/>
      <c r="M115" s="1680"/>
      <c r="N115" s="1918" t="s">
        <v>955</v>
      </c>
      <c r="O115" s="1682"/>
      <c r="P115" s="1687"/>
      <c r="Q115" s="1775"/>
      <c r="R115" s="1919"/>
      <c r="S115" s="1680"/>
      <c r="T115" s="1775"/>
      <c r="U115" s="291"/>
      <c r="V115" s="295"/>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row>
    <row r="116" spans="1:71" s="296" customFormat="1" ht="15.75" x14ac:dyDescent="0.2">
      <c r="A116" s="291"/>
      <c r="B116" s="1920" t="s">
        <v>965</v>
      </c>
      <c r="C116" s="1921" t="s">
        <v>966</v>
      </c>
      <c r="D116" s="1631"/>
      <c r="E116" s="1922"/>
      <c r="F116" s="1631"/>
      <c r="G116" s="1970"/>
      <c r="H116" s="1633"/>
      <c r="I116" s="1922">
        <f>L101*0.15</f>
        <v>1106.0999999999999</v>
      </c>
      <c r="J116" s="1633"/>
      <c r="K116" s="1924">
        <f>L116*0.0929</f>
        <v>102.75668999999999</v>
      </c>
      <c r="L116" s="1925">
        <f>I116</f>
        <v>1106.0999999999999</v>
      </c>
      <c r="M116" s="1631"/>
      <c r="N116" s="2026">
        <v>1559</v>
      </c>
      <c r="O116" s="1633"/>
      <c r="P116" s="1925">
        <f>N116</f>
        <v>1559</v>
      </c>
      <c r="Q116" s="1925">
        <f>P116-L116</f>
        <v>452.90000000000009</v>
      </c>
      <c r="R116" s="1926">
        <f>IF(L116=0,0,Q116/L116)</f>
        <v>0.40945664948919641</v>
      </c>
      <c r="S116" s="1631"/>
      <c r="T116" s="1927" t="s">
        <v>977</v>
      </c>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971" t="s">
        <v>998</v>
      </c>
      <c r="C117" s="1921" t="s">
        <v>999</v>
      </c>
      <c r="D117" s="1631"/>
      <c r="E117" s="1922"/>
      <c r="F117" s="1631"/>
      <c r="G117" s="1970"/>
      <c r="H117" s="1633"/>
      <c r="I117" s="1922"/>
      <c r="J117" s="1633"/>
      <c r="K117" s="1924"/>
      <c r="L117" s="1925"/>
      <c r="M117" s="1631"/>
      <c r="N117" s="1568">
        <v>337.5</v>
      </c>
      <c r="O117" s="1633"/>
      <c r="P117" s="1932">
        <f>N117*0.5</f>
        <v>168.75</v>
      </c>
      <c r="Q117" s="1925">
        <f>P117-L117</f>
        <v>168.75</v>
      </c>
      <c r="R117" s="1926">
        <f>IF(L117=0,0,Q117/L117)</f>
        <v>0</v>
      </c>
      <c r="S117" s="1631"/>
      <c r="T117" s="1927" t="s">
        <v>1000</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6.5" thickBot="1" x14ac:dyDescent="0.25">
      <c r="A118" s="291"/>
      <c r="B118" s="1971" t="s">
        <v>964</v>
      </c>
      <c r="C118" s="1921" t="s">
        <v>969</v>
      </c>
      <c r="D118" s="1631"/>
      <c r="E118" s="1922"/>
      <c r="F118" s="1631"/>
      <c r="G118" s="1970"/>
      <c r="H118" s="1633"/>
      <c r="I118" s="1922">
        <f>L101*0.08</f>
        <v>589.91999999999996</v>
      </c>
      <c r="J118" s="1633"/>
      <c r="K118" s="1924">
        <f>L118*0.0929</f>
        <v>54.803567999999991</v>
      </c>
      <c r="L118" s="1925">
        <f>I118</f>
        <v>589.91999999999996</v>
      </c>
      <c r="M118" s="1631"/>
      <c r="N118" s="1932">
        <f>N121-N117-N116-N113</f>
        <v>4157.8700000000008</v>
      </c>
      <c r="O118" s="1633"/>
      <c r="P118" s="1932">
        <f>N118</f>
        <v>4157.8700000000008</v>
      </c>
      <c r="Q118" s="1925">
        <f>P118-L118</f>
        <v>3567.9500000000007</v>
      </c>
      <c r="R118" s="1926">
        <f>IF(L118=0,0,Q118/L118)</f>
        <v>6.0481929753186892</v>
      </c>
      <c r="S118" s="1631"/>
      <c r="T118" s="1927" t="s">
        <v>978</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1480" customFormat="1" ht="15.75" thickTop="1" x14ac:dyDescent="0.2">
      <c r="B119" s="2248" t="s">
        <v>976</v>
      </c>
      <c r="C119" s="2249"/>
      <c r="D119" s="1661"/>
      <c r="E119" s="1662"/>
      <c r="F119" s="1663"/>
      <c r="G119" s="1664"/>
      <c r="H119" s="1665"/>
      <c r="I119" s="1662"/>
      <c r="J119" s="1665"/>
      <c r="K119" s="1666">
        <f>L119*0.0929</f>
        <v>157.560258</v>
      </c>
      <c r="L119" s="1667">
        <f>SUM(L116:L118)</f>
        <v>1696.02</v>
      </c>
      <c r="M119" s="1663"/>
      <c r="N119" s="1662">
        <f>SUM(N116:N118)</f>
        <v>6054.3700000000008</v>
      </c>
      <c r="O119" s="1665"/>
      <c r="P119" s="1667">
        <f>SUM(P116:P118)</f>
        <v>5885.6200000000008</v>
      </c>
      <c r="Q119" s="1667">
        <f>SUM(Q116:Q118)</f>
        <v>4189.6000000000004</v>
      </c>
      <c r="R119" s="1774">
        <f>IF(L119=0,0,Q119/L119)</f>
        <v>2.4702538885154657</v>
      </c>
      <c r="S119" s="1663"/>
      <c r="T119" s="1670"/>
      <c r="U119" s="1483"/>
      <c r="V119" s="1483"/>
      <c r="W119" s="1483"/>
      <c r="X119" s="1483"/>
      <c r="Y119" s="1483"/>
      <c r="Z119" s="1483"/>
      <c r="AA119" s="1483"/>
      <c r="AB119" s="1483"/>
      <c r="AC119" s="1483"/>
      <c r="AD119" s="1483"/>
      <c r="AE119" s="1483"/>
      <c r="AF119" s="1483"/>
      <c r="AG119" s="1483"/>
      <c r="AH119" s="1483"/>
      <c r="AI119" s="1483"/>
      <c r="AJ119" s="1483"/>
      <c r="AK119" s="1483"/>
      <c r="AL119" s="1483"/>
      <c r="AM119" s="1483"/>
      <c r="AN119" s="1483"/>
      <c r="AO119" s="1483"/>
      <c r="AP119" s="1483"/>
      <c r="AQ119" s="1483"/>
      <c r="AR119" s="1483"/>
      <c r="AS119" s="1483"/>
      <c r="AT119" s="1483"/>
      <c r="AU119" s="1483"/>
      <c r="AV119" s="1483"/>
      <c r="AW119" s="1483"/>
      <c r="AX119" s="1483"/>
      <c r="AY119" s="1483"/>
      <c r="AZ119" s="1483"/>
      <c r="BA119" s="1483"/>
      <c r="BB119" s="1483"/>
      <c r="BC119" s="1483"/>
      <c r="BD119" s="1483"/>
      <c r="BE119" s="1483"/>
      <c r="BF119" s="1483"/>
      <c r="BG119" s="1483"/>
      <c r="BH119" s="1483"/>
    </row>
    <row r="120" spans="1:71" s="123" customFormat="1" ht="6.75" customHeight="1" x14ac:dyDescent="0.2">
      <c r="B120" s="1631"/>
      <c r="C120" s="1882"/>
      <c r="D120" s="1673"/>
      <c r="E120" s="1883"/>
      <c r="F120" s="1673"/>
      <c r="G120" s="1884"/>
      <c r="H120" s="1676"/>
      <c r="I120" s="1883"/>
      <c r="J120" s="1676"/>
      <c r="K120" s="1885"/>
      <c r="L120" s="1605"/>
      <c r="M120" s="1673"/>
      <c r="N120" s="1883"/>
      <c r="O120" s="1676"/>
      <c r="P120" s="1605"/>
      <c r="Q120" s="1605"/>
      <c r="R120" s="1885"/>
      <c r="S120" s="1673"/>
      <c r="T120" s="1886"/>
      <c r="V120" s="132"/>
    </row>
    <row r="121" spans="1:71" s="59" customFormat="1" ht="18" x14ac:dyDescent="0.2">
      <c r="B121" s="2250" t="s">
        <v>308</v>
      </c>
      <c r="C121" s="2251"/>
      <c r="D121" s="1908"/>
      <c r="E121" s="1909"/>
      <c r="F121" s="1910"/>
      <c r="G121" s="1909"/>
      <c r="H121" s="1910"/>
      <c r="I121" s="1909"/>
      <c r="J121" s="1676"/>
      <c r="K121" s="1912">
        <f>L121*0.0929</f>
        <v>927.16661850000003</v>
      </c>
      <c r="L121" s="1913">
        <f>L113+L119</f>
        <v>9980.2650000000012</v>
      </c>
      <c r="M121" s="1968"/>
      <c r="N121" s="2026">
        <v>11268.37</v>
      </c>
      <c r="O121" s="1676"/>
      <c r="P121" s="1913">
        <f>P113+P119</f>
        <v>13871.12</v>
      </c>
      <c r="Q121" s="1913">
        <f>Q113+Q119</f>
        <v>3890.8550000000005</v>
      </c>
      <c r="R121" s="1915">
        <f>Q121/L121</f>
        <v>0.38985487860292289</v>
      </c>
      <c r="S121" s="1968"/>
      <c r="T121" s="1969"/>
      <c r="U121" s="770"/>
      <c r="V121" s="303"/>
    </row>
    <row r="122" spans="1:71" s="123" customFormat="1" ht="6.75" customHeight="1" x14ac:dyDescent="0.2">
      <c r="B122" s="1631"/>
      <c r="C122" s="1882"/>
      <c r="D122" s="1673"/>
      <c r="E122" s="1883"/>
      <c r="F122" s="1673"/>
      <c r="G122" s="1884"/>
      <c r="H122" s="1676"/>
      <c r="I122" s="1883"/>
      <c r="J122" s="1676"/>
      <c r="K122" s="1885"/>
      <c r="L122" s="1605"/>
      <c r="M122" s="1673"/>
      <c r="N122" s="1883"/>
      <c r="O122" s="1676"/>
      <c r="P122" s="1605"/>
      <c r="Q122" s="1605"/>
      <c r="R122" s="1885"/>
      <c r="S122" s="1673"/>
      <c r="T122" s="1886"/>
      <c r="V122" s="132"/>
    </row>
    <row r="123" spans="1:71" s="59" customFormat="1" ht="18" x14ac:dyDescent="0.2">
      <c r="B123" s="2250" t="s">
        <v>979</v>
      </c>
      <c r="C123" s="2251"/>
      <c r="D123" s="1908"/>
      <c r="E123" s="1909"/>
      <c r="F123" s="1910"/>
      <c r="G123" s="1909"/>
      <c r="H123" s="1910"/>
      <c r="I123" s="1909"/>
      <c r="J123" s="1676"/>
      <c r="K123" s="1909"/>
      <c r="L123" s="1972">
        <f>L101/L121</f>
        <v>0.7388581365324467</v>
      </c>
      <c r="M123" s="1968"/>
      <c r="N123" s="1909"/>
      <c r="O123" s="1676"/>
      <c r="P123" s="1972">
        <f>IF(P121=0,0,P101/P121)</f>
        <v>0.53748363506335461</v>
      </c>
      <c r="Q123" s="1909"/>
      <c r="R123" s="1909"/>
      <c r="S123" s="1968"/>
      <c r="T123" s="1969"/>
      <c r="U123" s="770"/>
      <c r="V123" s="303"/>
    </row>
    <row r="124" spans="1:71" s="123" customFormat="1" ht="6.75" customHeight="1" x14ac:dyDescent="0.2">
      <c r="B124" s="1631"/>
      <c r="C124" s="1882"/>
      <c r="D124" s="1673"/>
      <c r="E124" s="1883"/>
      <c r="F124" s="1673"/>
      <c r="G124" s="1884"/>
      <c r="H124" s="1676"/>
      <c r="I124" s="1883"/>
      <c r="J124" s="1676"/>
      <c r="K124" s="1885"/>
      <c r="L124" s="1605"/>
      <c r="M124" s="1673"/>
      <c r="N124" s="1883"/>
      <c r="O124" s="1676"/>
      <c r="P124" s="1605"/>
      <c r="Q124" s="1605"/>
      <c r="R124" s="1885"/>
      <c r="S124" s="1673"/>
      <c r="T124" s="1886"/>
      <c r="V124" s="132"/>
    </row>
    <row r="125" spans="1:71" s="296" customFormat="1" ht="15.75" hidden="1" x14ac:dyDescent="0.25">
      <c r="A125" s="291"/>
      <c r="B125" s="2252" t="s">
        <v>336</v>
      </c>
      <c r="C125" s="2253"/>
      <c r="D125" s="1680"/>
      <c r="E125" s="1775"/>
      <c r="F125" s="1680"/>
      <c r="G125" s="1775"/>
      <c r="H125" s="1682"/>
      <c r="I125" s="1775"/>
      <c r="J125" s="1682"/>
      <c r="K125" s="1917"/>
      <c r="L125" s="1775"/>
      <c r="M125" s="1680"/>
      <c r="N125" s="1600" t="s">
        <v>955</v>
      </c>
      <c r="O125" s="1682"/>
      <c r="P125" s="1973"/>
      <c r="Q125" s="1775"/>
      <c r="R125" s="1919"/>
      <c r="S125" s="1680"/>
      <c r="T125" s="1775"/>
      <c r="U125" s="291"/>
      <c r="V125" s="295"/>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row>
    <row r="126" spans="1:71" s="258" customFormat="1" ht="15" hidden="1" customHeight="1" outlineLevel="1" x14ac:dyDescent="0.2">
      <c r="A126" s="248"/>
      <c r="B126" s="2254" t="s">
        <v>945</v>
      </c>
      <c r="C126" s="1974" t="str">
        <f>'Space Program Data'!J77</f>
        <v>Staff Parking</v>
      </c>
      <c r="D126" s="1629"/>
      <c r="E126" s="1975">
        <f>'Space Program Data'!L84</f>
        <v>12</v>
      </c>
      <c r="F126" s="1631"/>
      <c r="G126" s="1975">
        <f>E126</f>
        <v>12</v>
      </c>
      <c r="H126" s="1633"/>
      <c r="I126" s="1975">
        <f>'Space Program Data'!H77</f>
        <v>315</v>
      </c>
      <c r="J126" s="1633"/>
      <c r="K126" s="1976">
        <f t="shared" ref="K126:K129" si="28">L126*0.0929</f>
        <v>351.16199999999998</v>
      </c>
      <c r="L126" s="1977">
        <f>'Interactive Worksheet'!Q279</f>
        <v>3780</v>
      </c>
      <c r="M126" s="1631"/>
      <c r="N126" s="2022"/>
      <c r="O126" s="1633"/>
      <c r="P126" s="1977">
        <v>3780</v>
      </c>
      <c r="Q126" s="1977">
        <f t="shared" ref="Q126:Q129" si="29">P126-L126</f>
        <v>0</v>
      </c>
      <c r="R126" s="1978">
        <f t="shared" ref="R126:R130" si="30">IF(L126=0,0,Q126/L126)</f>
        <v>0</v>
      </c>
      <c r="S126" s="1631"/>
      <c r="T126" s="1979" t="s">
        <v>956</v>
      </c>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row>
    <row r="127" spans="1:71" s="258" customFormat="1" ht="15" hidden="1" customHeight="1" outlineLevel="1" x14ac:dyDescent="0.2">
      <c r="A127" s="248"/>
      <c r="B127" s="2255"/>
      <c r="C127" s="1980" t="str">
        <f>'Space Program Data'!J78</f>
        <v>Visitor Parking</v>
      </c>
      <c r="D127" s="1629"/>
      <c r="E127" s="1981"/>
      <c r="F127" s="1631"/>
      <c r="G127" s="1982">
        <f>'Interactive Worksheet'!K281</f>
        <v>2</v>
      </c>
      <c r="H127" s="1633"/>
      <c r="I127" s="1981">
        <f>'Space Program Data'!H78</f>
        <v>315</v>
      </c>
      <c r="J127" s="1633"/>
      <c r="K127" s="1983">
        <f t="shared" si="28"/>
        <v>58.527000000000001</v>
      </c>
      <c r="L127" s="1984">
        <f>'Interactive Worksheet'!Q281</f>
        <v>630</v>
      </c>
      <c r="M127" s="1631"/>
      <c r="N127" s="2023"/>
      <c r="O127" s="1633"/>
      <c r="P127" s="1984">
        <v>630</v>
      </c>
      <c r="Q127" s="1984">
        <f t="shared" si="29"/>
        <v>0</v>
      </c>
      <c r="R127" s="1985">
        <f t="shared" si="30"/>
        <v>0</v>
      </c>
      <c r="S127" s="1631"/>
      <c r="T127" s="1986" t="s">
        <v>990</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2256"/>
      <c r="C128" s="1987" t="str">
        <f>'Space Program Data'!J79</f>
        <v>Bicycle Rack Area</v>
      </c>
      <c r="D128" s="1629"/>
      <c r="E128" s="1988"/>
      <c r="F128" s="1631"/>
      <c r="G128" s="1989">
        <f>IF('Interactive Worksheet'!K283&gt;0,1,0)</f>
        <v>1</v>
      </c>
      <c r="H128" s="1633"/>
      <c r="I128" s="1988">
        <f>'Interactive Worksheet'!Q283</f>
        <v>160</v>
      </c>
      <c r="J128" s="1633"/>
      <c r="K128" s="1990">
        <f t="shared" si="28"/>
        <v>14.863999999999999</v>
      </c>
      <c r="L128" s="1991">
        <f>'Interactive Worksheet'!Q283</f>
        <v>160</v>
      </c>
      <c r="M128" s="1631"/>
      <c r="N128" s="2024"/>
      <c r="O128" s="1633"/>
      <c r="P128" s="1991">
        <v>160</v>
      </c>
      <c r="Q128" s="1991">
        <f t="shared" si="29"/>
        <v>0</v>
      </c>
      <c r="R128" s="1992">
        <f t="shared" si="30"/>
        <v>0</v>
      </c>
      <c r="S128" s="1631"/>
      <c r="T128" s="1993" t="s">
        <v>991</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customHeight="1" outlineLevel="1" thickBot="1" x14ac:dyDescent="0.25">
      <c r="A129" s="248"/>
      <c r="B129" s="1994" t="s">
        <v>947</v>
      </c>
      <c r="C129" s="1995" t="str">
        <f>'Space Program Data'!J80</f>
        <v>Site Approach to Apparatus Bays</v>
      </c>
      <c r="D129" s="1629"/>
      <c r="E129" s="1996"/>
      <c r="F129" s="1631"/>
      <c r="G129" s="1997">
        <v>1</v>
      </c>
      <c r="H129" s="1633"/>
      <c r="I129" s="1996">
        <f>'Interactive Worksheet'!Q285</f>
        <v>4000</v>
      </c>
      <c r="J129" s="1633"/>
      <c r="K129" s="1998">
        <f t="shared" si="28"/>
        <v>371.59999999999997</v>
      </c>
      <c r="L129" s="1999">
        <f>'Interactive Worksheet'!Q285</f>
        <v>4000</v>
      </c>
      <c r="M129" s="1631"/>
      <c r="N129" s="2025"/>
      <c r="O129" s="1633"/>
      <c r="P129" s="1999">
        <f t="shared" ref="P129" si="31">N129</f>
        <v>0</v>
      </c>
      <c r="Q129" s="1999">
        <f t="shared" si="29"/>
        <v>-4000</v>
      </c>
      <c r="R129" s="2000">
        <f t="shared" si="30"/>
        <v>-1</v>
      </c>
      <c r="S129" s="1631"/>
      <c r="T129" s="2001"/>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1490" customFormat="1" ht="15.75" hidden="1" outlineLevel="1" thickTop="1" x14ac:dyDescent="0.2">
      <c r="A130" s="1489"/>
      <c r="B130" s="2248" t="s">
        <v>335</v>
      </c>
      <c r="C130" s="2249"/>
      <c r="D130" s="1661"/>
      <c r="E130" s="1662"/>
      <c r="F130" s="1663"/>
      <c r="G130" s="1664"/>
      <c r="H130" s="1665"/>
      <c r="I130" s="1662"/>
      <c r="J130" s="1665"/>
      <c r="K130" s="1666">
        <f>L130*0.0929</f>
        <v>796.15300000000002</v>
      </c>
      <c r="L130" s="1667">
        <f>SUM(L126:L129)</f>
        <v>8570</v>
      </c>
      <c r="M130" s="1661"/>
      <c r="N130" s="1662">
        <f>SUM(N126:N129)</f>
        <v>0</v>
      </c>
      <c r="O130" s="1665"/>
      <c r="P130" s="1667">
        <f>SUM(P126:P129)</f>
        <v>4570</v>
      </c>
      <c r="Q130" s="1667">
        <f>SUM(Q126:Q129)</f>
        <v>-4000</v>
      </c>
      <c r="R130" s="1774">
        <f t="shared" si="30"/>
        <v>-0.46674445740956827</v>
      </c>
      <c r="S130" s="1661"/>
      <c r="T130" s="1670"/>
      <c r="U130" s="1489"/>
      <c r="V130" s="1489"/>
      <c r="W130" s="1489"/>
      <c r="X130" s="1489"/>
      <c r="Y130" s="1489"/>
      <c r="Z130" s="1489"/>
      <c r="AA130" s="1489"/>
      <c r="AB130" s="1489"/>
      <c r="AC130" s="1489"/>
      <c r="AD130" s="1489"/>
      <c r="AE130" s="1489"/>
      <c r="AF130" s="1489"/>
      <c r="AG130" s="1489"/>
      <c r="AH130" s="1489"/>
      <c r="AI130" s="1489"/>
      <c r="AJ130" s="1489"/>
      <c r="AK130" s="1489"/>
      <c r="AL130" s="1489"/>
      <c r="AM130" s="1489"/>
      <c r="AN130" s="1489"/>
      <c r="AO130" s="1489"/>
      <c r="AP130" s="1489"/>
      <c r="AQ130" s="1489"/>
      <c r="AR130" s="1489"/>
      <c r="AS130" s="1489"/>
      <c r="AT130" s="1489"/>
      <c r="AU130" s="1489"/>
      <c r="AV130" s="1489"/>
      <c r="AW130" s="1489"/>
      <c r="AX130" s="1489"/>
      <c r="AY130" s="1489"/>
      <c r="AZ130" s="1489"/>
      <c r="BA130" s="1489"/>
      <c r="BB130" s="1489"/>
      <c r="BC130" s="1489"/>
      <c r="BD130" s="1489"/>
      <c r="BE130" s="1489"/>
      <c r="BF130" s="1489"/>
      <c r="BG130" s="1489"/>
      <c r="BH130" s="1489"/>
      <c r="BI130" s="1489"/>
      <c r="BJ130" s="1489"/>
      <c r="BK130" s="1489"/>
      <c r="BL130" s="1489"/>
      <c r="BM130" s="1489"/>
      <c r="BN130" s="1489"/>
      <c r="BO130" s="1489"/>
      <c r="BP130" s="1489"/>
      <c r="BQ130" s="1489"/>
      <c r="BR130" s="1489"/>
      <c r="BS130" s="1489"/>
    </row>
    <row r="131" spans="1:71" s="123" customFormat="1" ht="6.75" hidden="1" customHeight="1" x14ac:dyDescent="0.2">
      <c r="B131" s="1631"/>
      <c r="C131" s="1882"/>
      <c r="D131" s="1673"/>
      <c r="E131" s="1883"/>
      <c r="F131" s="1673"/>
      <c r="G131" s="1884"/>
      <c r="H131" s="1676"/>
      <c r="I131" s="1883"/>
      <c r="J131" s="1676"/>
      <c r="K131" s="1885"/>
      <c r="L131" s="1605"/>
      <c r="M131" s="1673"/>
      <c r="N131" s="1883"/>
      <c r="O131" s="1676"/>
      <c r="P131" s="1605"/>
      <c r="Q131" s="1605"/>
      <c r="R131" s="1885"/>
      <c r="S131" s="1673"/>
      <c r="T131" s="1886"/>
      <c r="V131" s="132"/>
    </row>
    <row r="132" spans="1:71" s="39" customFormat="1" ht="18" hidden="1" x14ac:dyDescent="0.2">
      <c r="A132" s="38"/>
      <c r="B132" s="2250" t="s">
        <v>337</v>
      </c>
      <c r="C132" s="2251"/>
      <c r="D132" s="1908"/>
      <c r="E132" s="1910"/>
      <c r="F132" s="1910"/>
      <c r="G132" s="1910"/>
      <c r="H132" s="1910"/>
      <c r="I132" s="1910"/>
      <c r="J132" s="2002"/>
      <c r="K132" s="2003">
        <f>L132*0.0929</f>
        <v>1723.3196184999999</v>
      </c>
      <c r="L132" s="2004">
        <f>SUM(L121,L130)</f>
        <v>18550.264999999999</v>
      </c>
      <c r="M132" s="1914"/>
      <c r="N132" s="1910"/>
      <c r="O132" s="2002"/>
      <c r="P132" s="2005">
        <f>P121+P130</f>
        <v>18441.120000000003</v>
      </c>
      <c r="Q132" s="1913">
        <f>P132-L132</f>
        <v>-109.1449999999968</v>
      </c>
      <c r="R132" s="2006">
        <f>Q132/L132</f>
        <v>-5.8837434397835718E-3</v>
      </c>
      <c r="S132" s="1914"/>
      <c r="T132" s="1916"/>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8"/>
      <c r="BJ132" s="38"/>
      <c r="BK132" s="38"/>
      <c r="BL132" s="38"/>
      <c r="BM132" s="38"/>
      <c r="BN132" s="38"/>
      <c r="BO132" s="38"/>
      <c r="BP132" s="38"/>
      <c r="BQ132" s="38"/>
      <c r="BR132" s="38"/>
      <c r="BS132" s="38"/>
    </row>
    <row r="133" spans="1:71" s="119" customFormat="1" x14ac:dyDescent="0.2">
      <c r="A133" s="78"/>
      <c r="B133" s="2007"/>
      <c r="C133" s="2008"/>
      <c r="D133" s="2009"/>
      <c r="E133" s="2010"/>
      <c r="F133" s="1968"/>
      <c r="G133" s="2010"/>
      <c r="H133" s="2011"/>
      <c r="I133" s="2012"/>
      <c r="J133" s="1968"/>
      <c r="K133" s="2013"/>
      <c r="L133" s="2010"/>
      <c r="M133" s="1968"/>
      <c r="N133" s="2012"/>
      <c r="O133" s="1968"/>
      <c r="P133" s="2010"/>
      <c r="Q133" s="2010"/>
      <c r="R133" s="2013"/>
      <c r="S133" s="1968"/>
      <c r="T133" s="2014"/>
      <c r="U133" s="78"/>
      <c r="V133" s="30"/>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row>
    <row r="134" spans="1:71" s="119" customFormat="1" x14ac:dyDescent="0.2">
      <c r="A134" s="78"/>
      <c r="B134" s="2007"/>
      <c r="C134" s="2010"/>
      <c r="D134" s="1968"/>
      <c r="E134" s="2010"/>
      <c r="F134" s="2011"/>
      <c r="G134" s="2012"/>
      <c r="H134" s="1968"/>
      <c r="I134" s="2010"/>
      <c r="J134" s="2011"/>
      <c r="K134" s="2015"/>
      <c r="L134" s="2012"/>
      <c r="M134" s="2011"/>
      <c r="N134" s="2010"/>
      <c r="O134" s="2011"/>
      <c r="P134" s="2012"/>
      <c r="Q134" s="2012"/>
      <c r="R134" s="2015"/>
      <c r="S134" s="2011"/>
      <c r="T134" s="2016"/>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ht="12.75" customHeight="1" x14ac:dyDescent="0.2">
      <c r="A135" s="78"/>
      <c r="B135" s="2007"/>
      <c r="C135" s="2012"/>
      <c r="D135" s="2011"/>
      <c r="E135" s="2010"/>
      <c r="F135" s="1968"/>
      <c r="G135" s="2010"/>
      <c r="H135" s="1968"/>
      <c r="I135" s="2010"/>
      <c r="J135" s="1968"/>
      <c r="K135" s="2013"/>
      <c r="L135" s="2010"/>
      <c r="M135" s="1968"/>
      <c r="N135" s="2010"/>
      <c r="O135" s="1968"/>
      <c r="P135" s="2010"/>
      <c r="Q135" s="2010"/>
      <c r="R135" s="2013"/>
      <c r="S135" s="1968"/>
      <c r="T135" s="2014"/>
      <c r="U135" s="121"/>
      <c r="V135" s="121"/>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x14ac:dyDescent="0.2">
      <c r="A136" s="78"/>
      <c r="B136" s="2007"/>
      <c r="C136" s="2010"/>
      <c r="D136" s="1968"/>
      <c r="E136" s="2010"/>
      <c r="F136" s="1968"/>
      <c r="G136" s="2010"/>
      <c r="H136" s="1968"/>
      <c r="I136" s="2010"/>
      <c r="J136" s="1968"/>
      <c r="K136" s="2013"/>
      <c r="L136" s="2010"/>
      <c r="M136" s="1968"/>
      <c r="N136" s="2010"/>
      <c r="O136" s="1968"/>
      <c r="P136" s="2010"/>
      <c r="Q136" s="2010"/>
      <c r="R136" s="2013"/>
      <c r="S136" s="1968"/>
      <c r="T136" s="2014"/>
      <c r="U136" s="78"/>
      <c r="V136" s="30"/>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2007"/>
      <c r="C137" s="2010"/>
      <c r="D137" s="1968"/>
      <c r="E137" s="2010"/>
      <c r="F137" s="1968"/>
      <c r="G137" s="2010"/>
      <c r="H137" s="1968"/>
      <c r="I137" s="2010"/>
      <c r="J137" s="1968"/>
      <c r="K137" s="2013"/>
      <c r="L137" s="2010"/>
      <c r="M137" s="1968"/>
      <c r="N137" s="2010"/>
      <c r="O137" s="1968"/>
      <c r="P137" s="2010"/>
      <c r="Q137" s="2010"/>
      <c r="R137" s="2013"/>
      <c r="S137" s="1968"/>
      <c r="T137" s="2014"/>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2007"/>
      <c r="C138" s="2010"/>
      <c r="D138" s="1968"/>
      <c r="E138" s="2010"/>
      <c r="F138" s="1968"/>
      <c r="G138" s="2010"/>
      <c r="H138" s="1968"/>
      <c r="I138" s="2010"/>
      <c r="J138" s="1968"/>
      <c r="K138" s="2013"/>
      <c r="L138" s="2010"/>
      <c r="M138" s="1968"/>
      <c r="N138" s="2010"/>
      <c r="O138" s="1968"/>
      <c r="P138" s="2010"/>
      <c r="Q138" s="2010"/>
      <c r="R138" s="2013"/>
      <c r="S138" s="1968"/>
      <c r="T138" s="2014"/>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2007"/>
      <c r="C139" s="2010"/>
      <c r="D139" s="1968"/>
      <c r="E139" s="2010"/>
      <c r="F139" s="1968"/>
      <c r="G139" s="2010"/>
      <c r="H139" s="1968"/>
      <c r="I139" s="2010"/>
      <c r="J139" s="1968"/>
      <c r="K139" s="2013"/>
      <c r="L139" s="2010"/>
      <c r="M139" s="1968"/>
      <c r="N139" s="2010"/>
      <c r="O139" s="1968"/>
      <c r="P139" s="2010"/>
      <c r="Q139" s="2010"/>
      <c r="R139" s="2013"/>
      <c r="S139" s="1968"/>
      <c r="T139" s="2014"/>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2007"/>
      <c r="C140" s="2010"/>
      <c r="D140" s="1968"/>
      <c r="E140" s="2010"/>
      <c r="F140" s="1968"/>
      <c r="G140" s="2010"/>
      <c r="H140" s="1968"/>
      <c r="I140" s="2010"/>
      <c r="J140" s="1968"/>
      <c r="K140" s="2013"/>
      <c r="L140" s="2010"/>
      <c r="M140" s="1968"/>
      <c r="N140" s="2010"/>
      <c r="O140" s="1968"/>
      <c r="P140" s="2010"/>
      <c r="Q140" s="2010"/>
      <c r="R140" s="2013"/>
      <c r="S140" s="1968"/>
      <c r="T140" s="2014"/>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2007"/>
      <c r="C141" s="2010"/>
      <c r="D141" s="1968"/>
      <c r="E141" s="2010"/>
      <c r="F141" s="1968"/>
      <c r="G141" s="2010"/>
      <c r="H141" s="1968"/>
      <c r="I141" s="2010"/>
      <c r="J141" s="1968"/>
      <c r="K141" s="2013"/>
      <c r="L141" s="2010"/>
      <c r="M141" s="1968"/>
      <c r="N141" s="2010"/>
      <c r="O141" s="1968"/>
      <c r="P141" s="2010"/>
      <c r="Q141" s="2010"/>
      <c r="R141" s="2013"/>
      <c r="S141" s="1968"/>
      <c r="T141" s="2014"/>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2007"/>
      <c r="C142" s="2010"/>
      <c r="D142" s="1968"/>
      <c r="E142" s="2010"/>
      <c r="F142" s="1968"/>
      <c r="G142" s="2010"/>
      <c r="H142" s="1968"/>
      <c r="I142" s="2010"/>
      <c r="J142" s="1968"/>
      <c r="K142" s="2013"/>
      <c r="L142" s="2010"/>
      <c r="M142" s="1968"/>
      <c r="N142" s="2010"/>
      <c r="O142" s="1968"/>
      <c r="P142" s="2010"/>
      <c r="Q142" s="2010"/>
      <c r="R142" s="2013"/>
      <c r="S142" s="1968"/>
      <c r="T142" s="2014"/>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2007"/>
      <c r="C143" s="2010"/>
      <c r="D143" s="1968"/>
      <c r="E143" s="2010"/>
      <c r="F143" s="1968"/>
      <c r="G143" s="2010"/>
      <c r="H143" s="1968"/>
      <c r="I143" s="2010"/>
      <c r="J143" s="1968"/>
      <c r="K143" s="2013"/>
      <c r="L143" s="2010"/>
      <c r="M143" s="1968"/>
      <c r="N143" s="2010"/>
      <c r="O143" s="1968"/>
      <c r="P143" s="2010"/>
      <c r="Q143" s="2010"/>
      <c r="R143" s="2013"/>
      <c r="S143" s="1968"/>
      <c r="T143" s="2014"/>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2007"/>
      <c r="C144" s="2010"/>
      <c r="D144" s="1968"/>
      <c r="E144" s="2010"/>
      <c r="F144" s="1968"/>
      <c r="G144" s="2010"/>
      <c r="H144" s="1968"/>
      <c r="I144" s="2010"/>
      <c r="J144" s="1968"/>
      <c r="K144" s="2013"/>
      <c r="L144" s="2010"/>
      <c r="M144" s="1968"/>
      <c r="N144" s="2010"/>
      <c r="O144" s="1968"/>
      <c r="P144" s="2010"/>
      <c r="Q144" s="2010"/>
      <c r="R144" s="2013"/>
      <c r="S144" s="1968"/>
      <c r="T144" s="2014"/>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2007"/>
      <c r="C145" s="2010"/>
      <c r="D145" s="1968"/>
      <c r="E145" s="2010"/>
      <c r="F145" s="1968"/>
      <c r="G145" s="2010"/>
      <c r="H145" s="1968"/>
      <c r="I145" s="2010"/>
      <c r="J145" s="1968"/>
      <c r="K145" s="2013"/>
      <c r="L145" s="2010"/>
      <c r="M145" s="1968"/>
      <c r="N145" s="2010"/>
      <c r="O145" s="1968"/>
      <c r="P145" s="2010"/>
      <c r="Q145" s="2010"/>
      <c r="R145" s="2013"/>
      <c r="S145" s="1968"/>
      <c r="T145" s="2014"/>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2007"/>
      <c r="C146" s="2010"/>
      <c r="D146" s="1968"/>
      <c r="E146" s="2010"/>
      <c r="F146" s="1968"/>
      <c r="G146" s="2010"/>
      <c r="H146" s="1968"/>
      <c r="I146" s="2010"/>
      <c r="J146" s="1968"/>
      <c r="K146" s="2013"/>
      <c r="L146" s="2010"/>
      <c r="M146" s="1968"/>
      <c r="N146" s="2010"/>
      <c r="O146" s="1968"/>
      <c r="P146" s="2010"/>
      <c r="Q146" s="2010"/>
      <c r="R146" s="2013"/>
      <c r="S146" s="1968"/>
      <c r="T146" s="2014"/>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2007"/>
      <c r="C147" s="2010"/>
      <c r="D147" s="1968"/>
      <c r="E147" s="2010"/>
      <c r="F147" s="1968"/>
      <c r="G147" s="2010"/>
      <c r="H147" s="1968"/>
      <c r="I147" s="2010"/>
      <c r="J147" s="1968"/>
      <c r="K147" s="2013"/>
      <c r="L147" s="2010"/>
      <c r="M147" s="1968"/>
      <c r="N147" s="2010"/>
      <c r="O147" s="1968"/>
      <c r="P147" s="2010"/>
      <c r="Q147" s="2010"/>
      <c r="R147" s="2013"/>
      <c r="S147" s="1968"/>
      <c r="T147" s="2014"/>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2007"/>
      <c r="C148" s="2010"/>
      <c r="D148" s="1968"/>
      <c r="E148" s="2010"/>
      <c r="F148" s="1968"/>
      <c r="G148" s="2010"/>
      <c r="H148" s="1968"/>
      <c r="I148" s="2010"/>
      <c r="J148" s="1968"/>
      <c r="K148" s="2013"/>
      <c r="L148" s="2010"/>
      <c r="M148" s="1968"/>
      <c r="N148" s="2010"/>
      <c r="O148" s="1968"/>
      <c r="P148" s="2010"/>
      <c r="Q148" s="2010"/>
      <c r="R148" s="2013"/>
      <c r="S148" s="1968"/>
      <c r="T148" s="2014"/>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2007"/>
      <c r="C149" s="2010"/>
      <c r="D149" s="1968"/>
      <c r="E149" s="2010"/>
      <c r="F149" s="1968"/>
      <c r="G149" s="2010"/>
      <c r="H149" s="1968"/>
      <c r="I149" s="2010"/>
      <c r="J149" s="1968"/>
      <c r="K149" s="2013"/>
      <c r="L149" s="2010"/>
      <c r="M149" s="1968"/>
      <c r="N149" s="2010"/>
      <c r="O149" s="1968"/>
      <c r="P149" s="2010"/>
      <c r="Q149" s="2010"/>
      <c r="R149" s="2013"/>
      <c r="S149" s="1968"/>
      <c r="T149" s="2014"/>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2007"/>
      <c r="C150" s="2010"/>
      <c r="D150" s="1968"/>
      <c r="E150" s="2010"/>
      <c r="F150" s="1968"/>
      <c r="G150" s="2010"/>
      <c r="H150" s="1968"/>
      <c r="I150" s="2010"/>
      <c r="J150" s="1968"/>
      <c r="K150" s="2013"/>
      <c r="L150" s="2010"/>
      <c r="M150" s="1968"/>
      <c r="N150" s="2010"/>
      <c r="O150" s="1968"/>
      <c r="P150" s="2010"/>
      <c r="Q150" s="2010"/>
      <c r="R150" s="2013"/>
      <c r="S150" s="1968"/>
      <c r="T150" s="2014"/>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2007"/>
      <c r="C151" s="2010"/>
      <c r="D151" s="1968"/>
      <c r="E151" s="2010"/>
      <c r="F151" s="1968"/>
      <c r="G151" s="2010"/>
      <c r="H151" s="1968"/>
      <c r="I151" s="2010"/>
      <c r="J151" s="1968"/>
      <c r="K151" s="2013"/>
      <c r="L151" s="2010"/>
      <c r="M151" s="1968"/>
      <c r="N151" s="2010"/>
      <c r="O151" s="1968"/>
      <c r="P151" s="2010"/>
      <c r="Q151" s="2010"/>
      <c r="R151" s="2013"/>
      <c r="S151" s="1968"/>
      <c r="T151" s="2014"/>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2007"/>
      <c r="C152" s="2010"/>
      <c r="D152" s="1968"/>
      <c r="E152" s="2010"/>
      <c r="F152" s="1968"/>
      <c r="G152" s="2010"/>
      <c r="H152" s="1968"/>
      <c r="I152" s="2010"/>
      <c r="J152" s="1968"/>
      <c r="K152" s="2013"/>
      <c r="L152" s="2010"/>
      <c r="M152" s="1968"/>
      <c r="N152" s="2010"/>
      <c r="O152" s="1968"/>
      <c r="P152" s="2010"/>
      <c r="Q152" s="2010"/>
      <c r="R152" s="2013"/>
      <c r="S152" s="1968"/>
      <c r="T152" s="2014"/>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2007"/>
      <c r="C153" s="2010"/>
      <c r="D153" s="1968"/>
      <c r="E153" s="2010"/>
      <c r="F153" s="1968"/>
      <c r="G153" s="2010"/>
      <c r="H153" s="1968"/>
      <c r="I153" s="2010"/>
      <c r="J153" s="1968"/>
      <c r="K153" s="2013"/>
      <c r="L153" s="2010"/>
      <c r="M153" s="1968"/>
      <c r="N153" s="2010"/>
      <c r="O153" s="1968"/>
      <c r="P153" s="2010"/>
      <c r="Q153" s="2010"/>
      <c r="R153" s="2013"/>
      <c r="S153" s="1968"/>
      <c r="T153" s="2014"/>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2007"/>
      <c r="C154" s="2010"/>
      <c r="D154" s="1968"/>
      <c r="E154" s="2010"/>
      <c r="F154" s="1968"/>
      <c r="G154" s="2010"/>
      <c r="H154" s="1968"/>
      <c r="I154" s="2010"/>
      <c r="J154" s="1968"/>
      <c r="K154" s="2013"/>
      <c r="L154" s="2010"/>
      <c r="M154" s="1968"/>
      <c r="N154" s="2010"/>
      <c r="O154" s="1968"/>
      <c r="P154" s="2010"/>
      <c r="Q154" s="2010"/>
      <c r="R154" s="2013"/>
      <c r="S154" s="1968"/>
      <c r="T154" s="2014"/>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2007"/>
      <c r="C155" s="2010"/>
      <c r="D155" s="1968"/>
      <c r="E155" s="2010"/>
      <c r="F155" s="1968"/>
      <c r="G155" s="2010"/>
      <c r="H155" s="1968"/>
      <c r="I155" s="2010"/>
      <c r="J155" s="1968"/>
      <c r="K155" s="2013"/>
      <c r="L155" s="2010"/>
      <c r="M155" s="1968"/>
      <c r="N155" s="2010"/>
      <c r="O155" s="1968"/>
      <c r="P155" s="2010"/>
      <c r="Q155" s="2010"/>
      <c r="R155" s="2013"/>
      <c r="S155" s="1968"/>
      <c r="T155" s="2014"/>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2007"/>
      <c r="C156" s="2010"/>
      <c r="D156" s="1968"/>
      <c r="E156" s="2010"/>
      <c r="F156" s="1968"/>
      <c r="G156" s="2010"/>
      <c r="H156" s="1968"/>
      <c r="I156" s="2010"/>
      <c r="J156" s="1968"/>
      <c r="K156" s="2013"/>
      <c r="L156" s="2010"/>
      <c r="M156" s="1968"/>
      <c r="N156" s="2010"/>
      <c r="O156" s="1968"/>
      <c r="P156" s="2010"/>
      <c r="Q156" s="2010"/>
      <c r="R156" s="2013"/>
      <c r="S156" s="1968"/>
      <c r="T156" s="2014"/>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2007"/>
      <c r="C157" s="2010"/>
      <c r="D157" s="1968"/>
      <c r="E157" s="2010"/>
      <c r="F157" s="1968"/>
      <c r="G157" s="2010"/>
      <c r="H157" s="1968"/>
      <c r="I157" s="2010"/>
      <c r="J157" s="1968"/>
      <c r="K157" s="2013"/>
      <c r="L157" s="2010"/>
      <c r="M157" s="1968"/>
      <c r="N157" s="2010"/>
      <c r="O157" s="1968"/>
      <c r="P157" s="2010"/>
      <c r="Q157" s="2010"/>
      <c r="R157" s="2013"/>
      <c r="S157" s="1968"/>
      <c r="T157" s="2014"/>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2007"/>
      <c r="C158" s="2010"/>
      <c r="D158" s="1968"/>
      <c r="E158" s="2010"/>
      <c r="F158" s="1968"/>
      <c r="G158" s="2010"/>
      <c r="H158" s="1968"/>
      <c r="I158" s="2010"/>
      <c r="J158" s="1968"/>
      <c r="K158" s="2013"/>
      <c r="L158" s="2010"/>
      <c r="M158" s="1968"/>
      <c r="N158" s="2010"/>
      <c r="O158" s="1968"/>
      <c r="P158" s="2010"/>
      <c r="Q158" s="2010"/>
      <c r="R158" s="2013"/>
      <c r="S158" s="1968"/>
      <c r="T158" s="2014"/>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2007"/>
      <c r="C159" s="2010"/>
      <c r="D159" s="1968"/>
      <c r="E159" s="2010"/>
      <c r="F159" s="1968"/>
      <c r="G159" s="2010"/>
      <c r="H159" s="1968"/>
      <c r="I159" s="2010"/>
      <c r="J159" s="1968"/>
      <c r="K159" s="2013"/>
      <c r="L159" s="2010"/>
      <c r="M159" s="1968"/>
      <c r="N159" s="2010"/>
      <c r="O159" s="1968"/>
      <c r="P159" s="2010"/>
      <c r="Q159" s="2010"/>
      <c r="R159" s="2013"/>
      <c r="S159" s="1968"/>
      <c r="T159" s="2014"/>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2007"/>
      <c r="C160" s="2010"/>
      <c r="D160" s="1968"/>
      <c r="E160" s="2010"/>
      <c r="F160" s="1968"/>
      <c r="G160" s="2010"/>
      <c r="H160" s="1968"/>
      <c r="I160" s="2010"/>
      <c r="J160" s="1968"/>
      <c r="K160" s="2013"/>
      <c r="L160" s="2010"/>
      <c r="M160" s="1968"/>
      <c r="N160" s="2010"/>
      <c r="O160" s="1968"/>
      <c r="P160" s="2010"/>
      <c r="Q160" s="2010"/>
      <c r="R160" s="2013"/>
      <c r="S160" s="1968"/>
      <c r="T160" s="2014"/>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2007"/>
      <c r="C161" s="2010"/>
      <c r="D161" s="1968"/>
      <c r="E161" s="2010"/>
      <c r="F161" s="1968"/>
      <c r="G161" s="2010"/>
      <c r="H161" s="1968"/>
      <c r="I161" s="2010"/>
      <c r="J161" s="1968"/>
      <c r="K161" s="2013"/>
      <c r="L161" s="2010"/>
      <c r="M161" s="1968"/>
      <c r="N161" s="2010"/>
      <c r="O161" s="1968"/>
      <c r="P161" s="2010"/>
      <c r="Q161" s="2010"/>
      <c r="R161" s="2013"/>
      <c r="S161" s="1968"/>
      <c r="T161" s="2014"/>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2007"/>
      <c r="C162" s="2010"/>
      <c r="D162" s="1968"/>
      <c r="E162" s="2010"/>
      <c r="F162" s="1968"/>
      <c r="G162" s="2010"/>
      <c r="H162" s="1968"/>
      <c r="I162" s="2010"/>
      <c r="J162" s="1968"/>
      <c r="K162" s="2013"/>
      <c r="L162" s="2010"/>
      <c r="M162" s="1968"/>
      <c r="N162" s="2010"/>
      <c r="O162" s="1968"/>
      <c r="P162" s="2010"/>
      <c r="Q162" s="2010"/>
      <c r="R162" s="2013"/>
      <c r="S162" s="1968"/>
      <c r="T162" s="2014"/>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2007"/>
      <c r="C163" s="2010"/>
      <c r="D163" s="1968"/>
      <c r="E163" s="2010"/>
      <c r="F163" s="1968"/>
      <c r="G163" s="2010"/>
      <c r="H163" s="1968"/>
      <c r="I163" s="2010"/>
      <c r="J163" s="1968"/>
      <c r="K163" s="2013"/>
      <c r="L163" s="2010"/>
      <c r="M163" s="1968"/>
      <c r="N163" s="2010"/>
      <c r="O163" s="1968"/>
      <c r="P163" s="2010"/>
      <c r="Q163" s="2010"/>
      <c r="R163" s="2013"/>
      <c r="S163" s="1968"/>
      <c r="T163" s="2014"/>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2007"/>
      <c r="C164" s="2010"/>
      <c r="D164" s="1968"/>
      <c r="E164" s="2010"/>
      <c r="F164" s="1968"/>
      <c r="G164" s="2010"/>
      <c r="H164" s="1968"/>
      <c r="I164" s="2010"/>
      <c r="J164" s="1968"/>
      <c r="K164" s="2013"/>
      <c r="L164" s="2010"/>
      <c r="M164" s="1968"/>
      <c r="N164" s="2010"/>
      <c r="O164" s="1968"/>
      <c r="P164" s="2010"/>
      <c r="Q164" s="2010"/>
      <c r="R164" s="2013"/>
      <c r="S164" s="1968"/>
      <c r="T164" s="2014"/>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2007"/>
      <c r="C165" s="2010"/>
      <c r="D165" s="1968"/>
      <c r="E165" s="2010"/>
      <c r="F165" s="1968"/>
      <c r="G165" s="2010"/>
      <c r="H165" s="1968"/>
      <c r="I165" s="2010"/>
      <c r="J165" s="1968"/>
      <c r="K165" s="2013"/>
      <c r="L165" s="2010"/>
      <c r="M165" s="1968"/>
      <c r="N165" s="2010"/>
      <c r="O165" s="1968"/>
      <c r="P165" s="2010"/>
      <c r="Q165" s="2010"/>
      <c r="R165" s="2013"/>
      <c r="S165" s="1968"/>
      <c r="T165" s="2014"/>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2007"/>
      <c r="C166" s="2010"/>
      <c r="D166" s="1968"/>
      <c r="E166" s="2010"/>
      <c r="F166" s="1968"/>
      <c r="G166" s="2010"/>
      <c r="H166" s="1968"/>
      <c r="I166" s="2010"/>
      <c r="J166" s="1968"/>
      <c r="K166" s="2013"/>
      <c r="L166" s="2010"/>
      <c r="M166" s="1968"/>
      <c r="N166" s="2010"/>
      <c r="O166" s="1968"/>
      <c r="P166" s="2010"/>
      <c r="Q166" s="2010"/>
      <c r="R166" s="2013"/>
      <c r="S166" s="1968"/>
      <c r="T166" s="2014"/>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2007"/>
      <c r="C167" s="2010"/>
      <c r="D167" s="1968"/>
      <c r="E167" s="2010"/>
      <c r="F167" s="1968"/>
      <c r="G167" s="2010"/>
      <c r="H167" s="1968"/>
      <c r="I167" s="2010"/>
      <c r="J167" s="1968"/>
      <c r="K167" s="2013"/>
      <c r="L167" s="2010"/>
      <c r="M167" s="1968"/>
      <c r="N167" s="2010"/>
      <c r="O167" s="1968"/>
      <c r="P167" s="2010"/>
      <c r="Q167" s="2010"/>
      <c r="R167" s="2013"/>
      <c r="S167" s="1968"/>
      <c r="T167" s="2014"/>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2007"/>
      <c r="C168" s="2010"/>
      <c r="D168" s="1968"/>
      <c r="E168" s="2010"/>
      <c r="F168" s="1968"/>
      <c r="G168" s="2010"/>
      <c r="H168" s="1968"/>
      <c r="I168" s="2010"/>
      <c r="J168" s="1968"/>
      <c r="K168" s="2013"/>
      <c r="L168" s="2010"/>
      <c r="M168" s="1968"/>
      <c r="N168" s="2010"/>
      <c r="O168" s="1968"/>
      <c r="P168" s="2010"/>
      <c r="Q168" s="2010"/>
      <c r="R168" s="2013"/>
      <c r="S168" s="1968"/>
      <c r="T168" s="2014"/>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2007"/>
      <c r="C169" s="2010"/>
      <c r="D169" s="1968"/>
      <c r="E169" s="2010"/>
      <c r="F169" s="1968"/>
      <c r="G169" s="2010"/>
      <c r="H169" s="1968"/>
      <c r="I169" s="2010"/>
      <c r="J169" s="1968"/>
      <c r="K169" s="2013"/>
      <c r="L169" s="2010"/>
      <c r="M169" s="1968"/>
      <c r="N169" s="2010"/>
      <c r="O169" s="1968"/>
      <c r="P169" s="2010"/>
      <c r="Q169" s="2010"/>
      <c r="R169" s="2013"/>
      <c r="S169" s="1968"/>
      <c r="T169" s="2014"/>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2007"/>
      <c r="C170" s="2010"/>
      <c r="D170" s="1968"/>
      <c r="E170" s="2010"/>
      <c r="F170" s="1968"/>
      <c r="G170" s="2010"/>
      <c r="H170" s="1968"/>
      <c r="I170" s="2010"/>
      <c r="J170" s="1968"/>
      <c r="K170" s="2013"/>
      <c r="L170" s="2010"/>
      <c r="M170" s="1968"/>
      <c r="N170" s="2010"/>
      <c r="O170" s="1968"/>
      <c r="P170" s="2010"/>
      <c r="Q170" s="2010"/>
      <c r="R170" s="2013"/>
      <c r="S170" s="1968"/>
      <c r="T170" s="2014"/>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2007"/>
      <c r="C171" s="2010"/>
      <c r="D171" s="1968"/>
      <c r="E171" s="2010"/>
      <c r="F171" s="1968"/>
      <c r="G171" s="2010"/>
      <c r="H171" s="1968"/>
      <c r="I171" s="2010"/>
      <c r="J171" s="1968"/>
      <c r="K171" s="2013"/>
      <c r="L171" s="2010"/>
      <c r="M171" s="1968"/>
      <c r="N171" s="2010"/>
      <c r="O171" s="1968"/>
      <c r="P171" s="2010"/>
      <c r="Q171" s="2010"/>
      <c r="R171" s="2013"/>
      <c r="S171" s="1968"/>
      <c r="T171" s="2014"/>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2007"/>
      <c r="C172" s="2010"/>
      <c r="D172" s="1968"/>
      <c r="E172" s="2010"/>
      <c r="F172" s="1968"/>
      <c r="G172" s="2010"/>
      <c r="H172" s="1968"/>
      <c r="I172" s="2010"/>
      <c r="J172" s="1968"/>
      <c r="K172" s="2013"/>
      <c r="L172" s="2010"/>
      <c r="M172" s="1968"/>
      <c r="N172" s="2010"/>
      <c r="O172" s="1968"/>
      <c r="P172" s="2010"/>
      <c r="Q172" s="2010"/>
      <c r="R172" s="2013"/>
      <c r="S172" s="1968"/>
      <c r="T172" s="2014"/>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2007"/>
      <c r="C173" s="2010"/>
      <c r="D173" s="1968"/>
      <c r="E173" s="2010"/>
      <c r="F173" s="1968"/>
      <c r="G173" s="2010"/>
      <c r="H173" s="1968"/>
      <c r="I173" s="2010"/>
      <c r="J173" s="1968"/>
      <c r="K173" s="2013"/>
      <c r="L173" s="2010"/>
      <c r="M173" s="1968"/>
      <c r="N173" s="2010"/>
      <c r="O173" s="1968"/>
      <c r="P173" s="2010"/>
      <c r="Q173" s="2010"/>
      <c r="R173" s="2013"/>
      <c r="S173" s="1968"/>
      <c r="T173" s="2014"/>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2007"/>
      <c r="C174" s="2010"/>
      <c r="D174" s="1968"/>
      <c r="E174" s="2010"/>
      <c r="F174" s="1968"/>
      <c r="G174" s="2010"/>
      <c r="H174" s="1968"/>
      <c r="I174" s="2010"/>
      <c r="J174" s="1968"/>
      <c r="K174" s="2013"/>
      <c r="L174" s="2010"/>
      <c r="M174" s="1968"/>
      <c r="N174" s="2010"/>
      <c r="O174" s="1968"/>
      <c r="P174" s="2010"/>
      <c r="Q174" s="2010"/>
      <c r="R174" s="2013"/>
      <c r="S174" s="1968"/>
      <c r="T174" s="2014"/>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2007"/>
      <c r="C175" s="2010"/>
      <c r="D175" s="1968"/>
      <c r="E175" s="2010"/>
      <c r="F175" s="1968"/>
      <c r="G175" s="2010"/>
      <c r="H175" s="1968"/>
      <c r="I175" s="2010"/>
      <c r="J175" s="1968"/>
      <c r="K175" s="2013"/>
      <c r="L175" s="2010"/>
      <c r="M175" s="1968"/>
      <c r="N175" s="2010"/>
      <c r="O175" s="1968"/>
      <c r="P175" s="2010"/>
      <c r="Q175" s="2010"/>
      <c r="R175" s="2013"/>
      <c r="S175" s="1968"/>
      <c r="T175" s="2014"/>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2007"/>
      <c r="C176" s="2010"/>
      <c r="D176" s="1968"/>
      <c r="E176" s="2010"/>
      <c r="F176" s="1968"/>
      <c r="G176" s="2010"/>
      <c r="H176" s="1968"/>
      <c r="I176" s="2010"/>
      <c r="J176" s="1968"/>
      <c r="K176" s="2013"/>
      <c r="L176" s="2010"/>
      <c r="M176" s="1968"/>
      <c r="N176" s="2010"/>
      <c r="O176" s="1968"/>
      <c r="P176" s="2010"/>
      <c r="Q176" s="2010"/>
      <c r="R176" s="2013"/>
      <c r="S176" s="1968"/>
      <c r="T176" s="2014"/>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2007"/>
      <c r="C177" s="2010"/>
      <c r="D177" s="1968"/>
      <c r="E177" s="2010"/>
      <c r="F177" s="1968"/>
      <c r="G177" s="2010"/>
      <c r="H177" s="1968"/>
      <c r="I177" s="2010"/>
      <c r="J177" s="1968"/>
      <c r="K177" s="2013"/>
      <c r="L177" s="2010"/>
      <c r="M177" s="1968"/>
      <c r="N177" s="2010"/>
      <c r="O177" s="1968"/>
      <c r="P177" s="2010"/>
      <c r="Q177" s="2010"/>
      <c r="R177" s="2013"/>
      <c r="S177" s="1968"/>
      <c r="T177" s="2014"/>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2007"/>
      <c r="C178" s="2010"/>
      <c r="D178" s="1968"/>
      <c r="E178" s="2010"/>
      <c r="F178" s="1968"/>
      <c r="G178" s="2010"/>
      <c r="H178" s="1968"/>
      <c r="I178" s="2010"/>
      <c r="J178" s="1968"/>
      <c r="K178" s="2013"/>
      <c r="L178" s="2010"/>
      <c r="M178" s="1968"/>
      <c r="N178" s="2010"/>
      <c r="O178" s="1968"/>
      <c r="P178" s="2010"/>
      <c r="Q178" s="2010"/>
      <c r="R178" s="2013"/>
      <c r="S178" s="1968"/>
      <c r="T178" s="2014"/>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2007"/>
      <c r="C179" s="2010"/>
      <c r="D179" s="1968"/>
      <c r="E179" s="2010"/>
      <c r="F179" s="1968"/>
      <c r="G179" s="2010"/>
      <c r="H179" s="1968"/>
      <c r="I179" s="2010"/>
      <c r="J179" s="1968"/>
      <c r="K179" s="2013"/>
      <c r="L179" s="2010"/>
      <c r="M179" s="1968"/>
      <c r="N179" s="2010"/>
      <c r="O179" s="1968"/>
      <c r="P179" s="2010"/>
      <c r="Q179" s="2010"/>
      <c r="R179" s="2013"/>
      <c r="S179" s="1968"/>
      <c r="T179" s="2014"/>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2007"/>
      <c r="C180" s="2010"/>
      <c r="D180" s="1968"/>
      <c r="E180" s="2010"/>
      <c r="F180" s="1968"/>
      <c r="G180" s="2010"/>
      <c r="H180" s="1968"/>
      <c r="I180" s="2010"/>
      <c r="J180" s="1968"/>
      <c r="K180" s="2013"/>
      <c r="L180" s="2010"/>
      <c r="M180" s="1968"/>
      <c r="N180" s="2010"/>
      <c r="O180" s="1968"/>
      <c r="P180" s="2010"/>
      <c r="Q180" s="2010"/>
      <c r="R180" s="2013"/>
      <c r="S180" s="1968"/>
      <c r="T180" s="2014"/>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2007"/>
      <c r="C181" s="2010"/>
      <c r="D181" s="1968"/>
      <c r="E181" s="2010"/>
      <c r="F181" s="1968"/>
      <c r="G181" s="2010"/>
      <c r="H181" s="1968"/>
      <c r="I181" s="2010"/>
      <c r="J181" s="1968"/>
      <c r="K181" s="2013"/>
      <c r="L181" s="2010"/>
      <c r="M181" s="1968"/>
      <c r="N181" s="2010"/>
      <c r="O181" s="1968"/>
      <c r="P181" s="2010"/>
      <c r="Q181" s="2010"/>
      <c r="R181" s="2013"/>
      <c r="S181" s="1968"/>
      <c r="T181" s="2014"/>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2007"/>
      <c r="C182" s="2010"/>
      <c r="D182" s="1968"/>
      <c r="E182" s="2010"/>
      <c r="F182" s="1968"/>
      <c r="G182" s="2010"/>
      <c r="H182" s="1968"/>
      <c r="I182" s="2010"/>
      <c r="J182" s="1968"/>
      <c r="K182" s="2013"/>
      <c r="L182" s="2010"/>
      <c r="M182" s="1968"/>
      <c r="N182" s="2010"/>
      <c r="O182" s="1968"/>
      <c r="P182" s="2010"/>
      <c r="Q182" s="2010"/>
      <c r="R182" s="2013"/>
      <c r="S182" s="1968"/>
      <c r="T182" s="2014"/>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2007"/>
      <c r="C183" s="2010"/>
      <c r="D183" s="1968"/>
      <c r="E183" s="2010"/>
      <c r="F183" s="1968"/>
      <c r="G183" s="2010"/>
      <c r="H183" s="1968"/>
      <c r="I183" s="2010"/>
      <c r="J183" s="1968"/>
      <c r="K183" s="2013"/>
      <c r="L183" s="2010"/>
      <c r="M183" s="1968"/>
      <c r="N183" s="2010"/>
      <c r="O183" s="1968"/>
      <c r="P183" s="2010"/>
      <c r="Q183" s="2010"/>
      <c r="R183" s="2013"/>
      <c r="S183" s="1968"/>
      <c r="T183" s="2014"/>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2007"/>
      <c r="C184" s="2010"/>
      <c r="D184" s="1968"/>
      <c r="E184" s="2010"/>
      <c r="F184" s="1968"/>
      <c r="G184" s="2010"/>
      <c r="H184" s="1968"/>
      <c r="I184" s="2010"/>
      <c r="J184" s="1968"/>
      <c r="K184" s="2013"/>
      <c r="L184" s="2010"/>
      <c r="M184" s="1968"/>
      <c r="N184" s="2010"/>
      <c r="O184" s="1968"/>
      <c r="P184" s="2010"/>
      <c r="Q184" s="2010"/>
      <c r="R184" s="2013"/>
      <c r="S184" s="1968"/>
      <c r="T184" s="2014"/>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2007"/>
      <c r="C185" s="2010"/>
      <c r="D185" s="1968"/>
      <c r="E185" s="2010"/>
      <c r="F185" s="1968"/>
      <c r="G185" s="2010"/>
      <c r="H185" s="1968"/>
      <c r="I185" s="2010"/>
      <c r="J185" s="1968"/>
      <c r="K185" s="2013"/>
      <c r="L185" s="2010"/>
      <c r="M185" s="1968"/>
      <c r="N185" s="2010"/>
      <c r="O185" s="1968"/>
      <c r="P185" s="2010"/>
      <c r="Q185" s="2010"/>
      <c r="R185" s="2013"/>
      <c r="S185" s="1968"/>
      <c r="T185" s="2014"/>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2007"/>
      <c r="C186" s="2010"/>
      <c r="D186" s="1968"/>
      <c r="E186" s="2010"/>
      <c r="F186" s="1968"/>
      <c r="G186" s="2010"/>
      <c r="H186" s="1968"/>
      <c r="I186" s="2010"/>
      <c r="J186" s="1968"/>
      <c r="K186" s="2013"/>
      <c r="L186" s="2010"/>
      <c r="M186" s="1968"/>
      <c r="N186" s="2010"/>
      <c r="O186" s="1968"/>
      <c r="P186" s="2010"/>
      <c r="Q186" s="2010"/>
      <c r="R186" s="2013"/>
      <c r="S186" s="1968"/>
      <c r="T186" s="2014"/>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2007"/>
      <c r="C187" s="2010"/>
      <c r="D187" s="1968"/>
      <c r="E187" s="2010"/>
      <c r="F187" s="1968"/>
      <c r="G187" s="2010"/>
      <c r="H187" s="1968"/>
      <c r="I187" s="2010"/>
      <c r="J187" s="1968"/>
      <c r="K187" s="2013"/>
      <c r="L187" s="2010"/>
      <c r="M187" s="1968"/>
      <c r="N187" s="2010"/>
      <c r="O187" s="1968"/>
      <c r="P187" s="2010"/>
      <c r="Q187" s="2010"/>
      <c r="R187" s="2013"/>
      <c r="S187" s="1968"/>
      <c r="T187" s="2014"/>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2007"/>
      <c r="C188" s="2010"/>
      <c r="D188" s="1968"/>
      <c r="E188" s="2010"/>
      <c r="F188" s="1968"/>
      <c r="G188" s="2010"/>
      <c r="H188" s="1968"/>
      <c r="I188" s="2010"/>
      <c r="J188" s="1968"/>
      <c r="K188" s="2013"/>
      <c r="L188" s="2010"/>
      <c r="M188" s="1968"/>
      <c r="N188" s="2010"/>
      <c r="O188" s="1968"/>
      <c r="P188" s="2010"/>
      <c r="Q188" s="2010"/>
      <c r="R188" s="2013"/>
      <c r="S188" s="1968"/>
      <c r="T188" s="2014"/>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2007"/>
      <c r="C189" s="2010"/>
      <c r="D189" s="1968"/>
      <c r="E189" s="2010"/>
      <c r="F189" s="1968"/>
      <c r="G189" s="2010"/>
      <c r="H189" s="1968"/>
      <c r="I189" s="2010"/>
      <c r="J189" s="1968"/>
      <c r="K189" s="2013"/>
      <c r="L189" s="2010"/>
      <c r="M189" s="1968"/>
      <c r="N189" s="2010"/>
      <c r="O189" s="1968"/>
      <c r="P189" s="2010"/>
      <c r="Q189" s="2010"/>
      <c r="R189" s="2013"/>
      <c r="S189" s="1968"/>
      <c r="T189" s="2014"/>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2007"/>
      <c r="C190" s="2010"/>
      <c r="D190" s="1968"/>
      <c r="E190" s="2010"/>
      <c r="F190" s="1968"/>
      <c r="G190" s="2010"/>
      <c r="H190" s="1968"/>
      <c r="I190" s="2010"/>
      <c r="J190" s="1968"/>
      <c r="K190" s="2013"/>
      <c r="L190" s="2010"/>
      <c r="M190" s="1968"/>
      <c r="N190" s="2010"/>
      <c r="O190" s="1968"/>
      <c r="P190" s="2010"/>
      <c r="Q190" s="2010"/>
      <c r="R190" s="2013"/>
      <c r="S190" s="1968"/>
      <c r="T190" s="2014"/>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2007"/>
      <c r="C191" s="2010"/>
      <c r="D191" s="1968"/>
      <c r="E191" s="2010"/>
      <c r="F191" s="1968"/>
      <c r="G191" s="2010"/>
      <c r="H191" s="1968"/>
      <c r="I191" s="2010"/>
      <c r="J191" s="1968"/>
      <c r="K191" s="2013"/>
      <c r="L191" s="2010"/>
      <c r="M191" s="1968"/>
      <c r="N191" s="2010"/>
      <c r="O191" s="1968"/>
      <c r="P191" s="2010"/>
      <c r="Q191" s="2010"/>
      <c r="R191" s="2013"/>
      <c r="S191" s="1968"/>
      <c r="T191" s="2014"/>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2007"/>
      <c r="C192" s="2010"/>
      <c r="D192" s="1968"/>
      <c r="E192" s="2010"/>
      <c r="F192" s="1968"/>
      <c r="G192" s="2010"/>
      <c r="H192" s="1968"/>
      <c r="I192" s="2010"/>
      <c r="J192" s="1968"/>
      <c r="K192" s="2013"/>
      <c r="L192" s="2010"/>
      <c r="M192" s="1968"/>
      <c r="N192" s="2010"/>
      <c r="O192" s="1968"/>
      <c r="P192" s="2010"/>
      <c r="Q192" s="2010"/>
      <c r="R192" s="2013"/>
      <c r="S192" s="1968"/>
      <c r="T192" s="2014"/>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2007"/>
      <c r="C193" s="2010"/>
      <c r="D193" s="1968"/>
      <c r="E193" s="2010"/>
      <c r="F193" s="1968"/>
      <c r="G193" s="2010"/>
      <c r="H193" s="1968"/>
      <c r="I193" s="2010"/>
      <c r="J193" s="1968"/>
      <c r="K193" s="2013"/>
      <c r="L193" s="2010"/>
      <c r="M193" s="1968"/>
      <c r="N193" s="2010"/>
      <c r="O193" s="1968"/>
      <c r="P193" s="2010"/>
      <c r="Q193" s="2010"/>
      <c r="R193" s="2013"/>
      <c r="S193" s="1968"/>
      <c r="T193" s="2014"/>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2007"/>
      <c r="C194" s="2010"/>
      <c r="D194" s="1968"/>
      <c r="E194" s="2010"/>
      <c r="F194" s="1968"/>
      <c r="G194" s="2010"/>
      <c r="H194" s="1968"/>
      <c r="I194" s="2010"/>
      <c r="J194" s="1968"/>
      <c r="K194" s="2013"/>
      <c r="L194" s="2010"/>
      <c r="M194" s="1968"/>
      <c r="N194" s="2010"/>
      <c r="O194" s="1968"/>
      <c r="P194" s="2010"/>
      <c r="Q194" s="2010"/>
      <c r="R194" s="2013"/>
      <c r="S194" s="1968"/>
      <c r="T194" s="2014"/>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2007"/>
      <c r="C195" s="2010"/>
      <c r="D195" s="1968"/>
      <c r="E195" s="2010"/>
      <c r="F195" s="1968"/>
      <c r="G195" s="2010"/>
      <c r="H195" s="1968"/>
      <c r="I195" s="2010"/>
      <c r="J195" s="1968"/>
      <c r="K195" s="2013"/>
      <c r="L195" s="2010"/>
      <c r="M195" s="1968"/>
      <c r="N195" s="2010"/>
      <c r="O195" s="1968"/>
      <c r="P195" s="2010"/>
      <c r="Q195" s="2010"/>
      <c r="R195" s="2013"/>
      <c r="S195" s="1968"/>
      <c r="T195" s="2014"/>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2007"/>
      <c r="C196" s="2010"/>
      <c r="D196" s="1968"/>
      <c r="E196" s="2010"/>
      <c r="F196" s="1968"/>
      <c r="G196" s="2010"/>
      <c r="H196" s="1968"/>
      <c r="I196" s="2010"/>
      <c r="J196" s="1968"/>
      <c r="K196" s="2013"/>
      <c r="L196" s="2010"/>
      <c r="M196" s="1968"/>
      <c r="N196" s="2010"/>
      <c r="O196" s="1968"/>
      <c r="P196" s="2010"/>
      <c r="Q196" s="2010"/>
      <c r="R196" s="2013"/>
      <c r="S196" s="1968"/>
      <c r="T196" s="2014"/>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2007"/>
      <c r="C197" s="2010"/>
      <c r="D197" s="1968"/>
      <c r="E197" s="2010"/>
      <c r="F197" s="1968"/>
      <c r="G197" s="2010"/>
      <c r="H197" s="1968"/>
      <c r="I197" s="2010"/>
      <c r="J197" s="1968"/>
      <c r="K197" s="2013"/>
      <c r="L197" s="2010"/>
      <c r="M197" s="1968"/>
      <c r="N197" s="2010"/>
      <c r="O197" s="1968"/>
      <c r="P197" s="2010"/>
      <c r="Q197" s="2010"/>
      <c r="R197" s="2013"/>
      <c r="S197" s="1968"/>
      <c r="T197" s="2014"/>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2007"/>
      <c r="C198" s="2010"/>
      <c r="D198" s="1968"/>
      <c r="E198" s="2010"/>
      <c r="F198" s="1968"/>
      <c r="G198" s="2010"/>
      <c r="H198" s="1968"/>
      <c r="I198" s="2010"/>
      <c r="J198" s="1968"/>
      <c r="K198" s="2013"/>
      <c r="L198" s="2010"/>
      <c r="M198" s="1968"/>
      <c r="N198" s="2010"/>
      <c r="O198" s="1968"/>
      <c r="P198" s="2010"/>
      <c r="Q198" s="2010"/>
      <c r="R198" s="2013"/>
      <c r="S198" s="1968"/>
      <c r="T198" s="2014"/>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2007"/>
      <c r="C199" s="2010"/>
      <c r="D199" s="1968"/>
      <c r="E199" s="2010"/>
      <c r="F199" s="1968"/>
      <c r="G199" s="2010"/>
      <c r="H199" s="1968"/>
      <c r="I199" s="2010"/>
      <c r="J199" s="1968"/>
      <c r="K199" s="2013"/>
      <c r="L199" s="2010"/>
      <c r="M199" s="1968"/>
      <c r="N199" s="2010"/>
      <c r="O199" s="1968"/>
      <c r="P199" s="2010"/>
      <c r="Q199" s="2010"/>
      <c r="R199" s="2013"/>
      <c r="S199" s="1968"/>
      <c r="T199" s="2014"/>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2007"/>
      <c r="C200" s="2010"/>
      <c r="D200" s="1968"/>
      <c r="E200" s="2010"/>
      <c r="F200" s="1968"/>
      <c r="G200" s="2010"/>
      <c r="H200" s="1968"/>
      <c r="I200" s="2010"/>
      <c r="J200" s="1968"/>
      <c r="K200" s="2013"/>
      <c r="L200" s="2010"/>
      <c r="M200" s="1968"/>
      <c r="N200" s="2010"/>
      <c r="O200" s="1968"/>
      <c r="P200" s="2010"/>
      <c r="Q200" s="2010"/>
      <c r="R200" s="2013"/>
      <c r="S200" s="1968"/>
      <c r="T200" s="2014"/>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2007"/>
      <c r="C201" s="2010"/>
      <c r="D201" s="1968"/>
      <c r="E201" s="2010"/>
      <c r="F201" s="1968"/>
      <c r="G201" s="2010"/>
      <c r="H201" s="1968"/>
      <c r="I201" s="2010"/>
      <c r="J201" s="1968"/>
      <c r="K201" s="2013"/>
      <c r="L201" s="2010"/>
      <c r="M201" s="1968"/>
      <c r="N201" s="2010"/>
      <c r="O201" s="1968"/>
      <c r="P201" s="2010"/>
      <c r="Q201" s="2010"/>
      <c r="R201" s="2013"/>
      <c r="S201" s="1968"/>
      <c r="T201" s="2014"/>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2007"/>
      <c r="C202" s="2010"/>
      <c r="D202" s="1968"/>
      <c r="E202" s="2010"/>
      <c r="F202" s="1968"/>
      <c r="G202" s="2010"/>
      <c r="H202" s="1968"/>
      <c r="I202" s="2010"/>
      <c r="J202" s="1968"/>
      <c r="K202" s="2013"/>
      <c r="L202" s="2010"/>
      <c r="M202" s="1968"/>
      <c r="N202" s="2010"/>
      <c r="O202" s="1968"/>
      <c r="P202" s="2010"/>
      <c r="Q202" s="2010"/>
      <c r="R202" s="2013"/>
      <c r="S202" s="1968"/>
      <c r="T202" s="2014"/>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2007"/>
      <c r="C203" s="2010"/>
      <c r="D203" s="1968"/>
      <c r="E203" s="2010"/>
      <c r="F203" s="1968"/>
      <c r="G203" s="2010"/>
      <c r="H203" s="1968"/>
      <c r="I203" s="2010"/>
      <c r="J203" s="1968"/>
      <c r="K203" s="2013"/>
      <c r="L203" s="2010"/>
      <c r="M203" s="1968"/>
      <c r="N203" s="2010"/>
      <c r="O203" s="1968"/>
      <c r="P203" s="2010"/>
      <c r="Q203" s="2010"/>
      <c r="R203" s="2013"/>
      <c r="S203" s="1968"/>
      <c r="T203" s="2014"/>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2007"/>
      <c r="C204" s="2010"/>
      <c r="D204" s="1968"/>
      <c r="E204" s="2010"/>
      <c r="F204" s="1968"/>
      <c r="G204" s="2010"/>
      <c r="H204" s="1968"/>
      <c r="I204" s="2010"/>
      <c r="J204" s="1968"/>
      <c r="K204" s="2013"/>
      <c r="L204" s="2010"/>
      <c r="M204" s="1968"/>
      <c r="N204" s="2010"/>
      <c r="O204" s="1968"/>
      <c r="P204" s="2010"/>
      <c r="Q204" s="2010"/>
      <c r="R204" s="2013"/>
      <c r="S204" s="1968"/>
      <c r="T204" s="2014"/>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2007"/>
      <c r="C205" s="2010"/>
      <c r="D205" s="1968"/>
      <c r="E205" s="2010"/>
      <c r="F205" s="1968"/>
      <c r="G205" s="2010"/>
      <c r="H205" s="1968"/>
      <c r="I205" s="2010"/>
      <c r="J205" s="1968"/>
      <c r="K205" s="2013"/>
      <c r="L205" s="2010"/>
      <c r="M205" s="1968"/>
      <c r="N205" s="2010"/>
      <c r="O205" s="1968"/>
      <c r="P205" s="2010"/>
      <c r="Q205" s="2010"/>
      <c r="R205" s="2013"/>
      <c r="S205" s="1968"/>
      <c r="T205" s="2014"/>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2007"/>
      <c r="C206" s="2010"/>
      <c r="D206" s="1968"/>
      <c r="E206" s="2010"/>
      <c r="F206" s="1968"/>
      <c r="G206" s="2010"/>
      <c r="H206" s="1968"/>
      <c r="I206" s="2010"/>
      <c r="J206" s="1968"/>
      <c r="K206" s="2013"/>
      <c r="L206" s="2010"/>
      <c r="M206" s="1968"/>
      <c r="N206" s="2010"/>
      <c r="O206" s="1968"/>
      <c r="P206" s="2010"/>
      <c r="Q206" s="2010"/>
      <c r="R206" s="2013"/>
      <c r="S206" s="1968"/>
      <c r="T206" s="2014"/>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2007"/>
      <c r="C207" s="2010"/>
      <c r="D207" s="1968"/>
      <c r="E207" s="2010"/>
      <c r="F207" s="1968"/>
      <c r="G207" s="2010"/>
      <c r="H207" s="1968"/>
      <c r="I207" s="2010"/>
      <c r="J207" s="1968"/>
      <c r="K207" s="2013"/>
      <c r="L207" s="2010"/>
      <c r="M207" s="1968"/>
      <c r="N207" s="2010"/>
      <c r="O207" s="1968"/>
      <c r="P207" s="2010"/>
      <c r="Q207" s="2010"/>
      <c r="R207" s="2013"/>
      <c r="S207" s="1968"/>
      <c r="T207" s="2014"/>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2007"/>
      <c r="C208" s="2010"/>
      <c r="D208" s="1968"/>
      <c r="E208" s="2010"/>
      <c r="F208" s="1968"/>
      <c r="G208" s="2010"/>
      <c r="H208" s="1968"/>
      <c r="I208" s="2010"/>
      <c r="J208" s="1968"/>
      <c r="K208" s="2013"/>
      <c r="L208" s="2010"/>
      <c r="M208" s="1968"/>
      <c r="N208" s="2010"/>
      <c r="O208" s="1968"/>
      <c r="P208" s="2010"/>
      <c r="Q208" s="2010"/>
      <c r="R208" s="2013"/>
      <c r="S208" s="1968"/>
      <c r="T208" s="2014"/>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2007"/>
      <c r="C209" s="2010"/>
      <c r="D209" s="1968"/>
      <c r="E209" s="2010"/>
      <c r="F209" s="1968"/>
      <c r="G209" s="2010"/>
      <c r="H209" s="1968"/>
      <c r="I209" s="2010"/>
      <c r="J209" s="1968"/>
      <c r="K209" s="2013"/>
      <c r="L209" s="2010"/>
      <c r="M209" s="1968"/>
      <c r="N209" s="2010"/>
      <c r="O209" s="1968"/>
      <c r="P209" s="2010"/>
      <c r="Q209" s="2010"/>
      <c r="R209" s="2013"/>
      <c r="S209" s="1968"/>
      <c r="T209" s="2014"/>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2007"/>
      <c r="C210" s="2010"/>
      <c r="D210" s="1968"/>
      <c r="E210" s="2010"/>
      <c r="F210" s="1968"/>
      <c r="G210" s="2010"/>
      <c r="H210" s="1968"/>
      <c r="I210" s="2010"/>
      <c r="J210" s="1968"/>
      <c r="K210" s="2013"/>
      <c r="L210" s="2010"/>
      <c r="M210" s="1968"/>
      <c r="N210" s="2010"/>
      <c r="O210" s="1968"/>
      <c r="P210" s="2010"/>
      <c r="Q210" s="2010"/>
      <c r="R210" s="2013"/>
      <c r="S210" s="1968"/>
      <c r="T210" s="2014"/>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2007"/>
      <c r="C211" s="2010"/>
      <c r="D211" s="1968"/>
      <c r="E211" s="2010"/>
      <c r="F211" s="1968"/>
      <c r="G211" s="2010"/>
      <c r="H211" s="1968"/>
      <c r="I211" s="2010"/>
      <c r="J211" s="1968"/>
      <c r="K211" s="2013"/>
      <c r="L211" s="2010"/>
      <c r="M211" s="1968"/>
      <c r="N211" s="2010"/>
      <c r="O211" s="1968"/>
      <c r="P211" s="2010"/>
      <c r="Q211" s="2010"/>
      <c r="R211" s="2013"/>
      <c r="S211" s="1968"/>
      <c r="T211" s="2014"/>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2007"/>
      <c r="C212" s="2010"/>
      <c r="D212" s="1968"/>
      <c r="E212" s="2010"/>
      <c r="F212" s="1968"/>
      <c r="G212" s="2010"/>
      <c r="H212" s="1968"/>
      <c r="I212" s="2010"/>
      <c r="J212" s="1968"/>
      <c r="K212" s="2013"/>
      <c r="L212" s="2010"/>
      <c r="M212" s="1968"/>
      <c r="N212" s="2010"/>
      <c r="O212" s="1968"/>
      <c r="P212" s="2010"/>
      <c r="Q212" s="2010"/>
      <c r="R212" s="2013"/>
      <c r="S212" s="1968"/>
      <c r="T212" s="2014"/>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2007"/>
      <c r="C213" s="2010"/>
      <c r="D213" s="1968"/>
      <c r="E213" s="2010"/>
      <c r="F213" s="1968"/>
      <c r="G213" s="2010"/>
      <c r="H213" s="1968"/>
      <c r="I213" s="2010"/>
      <c r="J213" s="1968"/>
      <c r="K213" s="2013"/>
      <c r="L213" s="2010"/>
      <c r="M213" s="1968"/>
      <c r="N213" s="2010"/>
      <c r="O213" s="1968"/>
      <c r="P213" s="2010"/>
      <c r="Q213" s="2010"/>
      <c r="R213" s="2013"/>
      <c r="S213" s="1968"/>
      <c r="T213" s="2014"/>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2007"/>
      <c r="C214" s="2010"/>
      <c r="D214" s="1968"/>
      <c r="E214" s="2010"/>
      <c r="F214" s="1968"/>
      <c r="G214" s="2010"/>
      <c r="H214" s="1968"/>
      <c r="I214" s="2010"/>
      <c r="J214" s="1968"/>
      <c r="K214" s="2013"/>
      <c r="L214" s="2010"/>
      <c r="M214" s="1968"/>
      <c r="N214" s="2010"/>
      <c r="O214" s="1968"/>
      <c r="P214" s="2010"/>
      <c r="Q214" s="2010"/>
      <c r="R214" s="2013"/>
      <c r="S214" s="1968"/>
      <c r="T214" s="2014"/>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2007"/>
      <c r="C215" s="2010"/>
      <c r="D215" s="1968"/>
      <c r="E215" s="2010"/>
      <c r="F215" s="1968"/>
      <c r="G215" s="2010"/>
      <c r="H215" s="1968"/>
      <c r="I215" s="2010"/>
      <c r="J215" s="1968"/>
      <c r="K215" s="2013"/>
      <c r="L215" s="2010"/>
      <c r="M215" s="1968"/>
      <c r="N215" s="2010"/>
      <c r="O215" s="1968"/>
      <c r="P215" s="2010"/>
      <c r="Q215" s="2010"/>
      <c r="R215" s="2013"/>
      <c r="S215" s="1968"/>
      <c r="T215" s="2014"/>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2007"/>
      <c r="C216" s="2010"/>
      <c r="D216" s="1968"/>
      <c r="E216" s="2010"/>
      <c r="F216" s="1968"/>
      <c r="G216" s="2010"/>
      <c r="H216" s="1968"/>
      <c r="I216" s="2010"/>
      <c r="J216" s="1968"/>
      <c r="K216" s="2013"/>
      <c r="L216" s="2010"/>
      <c r="M216" s="1968"/>
      <c r="N216" s="2010"/>
      <c r="O216" s="1968"/>
      <c r="P216" s="2010"/>
      <c r="Q216" s="2010"/>
      <c r="R216" s="2013"/>
      <c r="S216" s="1968"/>
      <c r="T216" s="2014"/>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2007"/>
      <c r="C217" s="2010"/>
      <c r="D217" s="1968"/>
      <c r="E217" s="2010"/>
      <c r="F217" s="1968"/>
      <c r="G217" s="2010"/>
      <c r="H217" s="1968"/>
      <c r="I217" s="2010"/>
      <c r="J217" s="1968"/>
      <c r="K217" s="2013"/>
      <c r="L217" s="2010"/>
      <c r="M217" s="1968"/>
      <c r="N217" s="2010"/>
      <c r="O217" s="1968"/>
      <c r="P217" s="2010"/>
      <c r="Q217" s="2010"/>
      <c r="R217" s="2013"/>
      <c r="S217" s="1968"/>
      <c r="T217" s="2014"/>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2007"/>
      <c r="C218" s="2010"/>
      <c r="D218" s="1968"/>
      <c r="E218" s="2010"/>
      <c r="F218" s="1968"/>
      <c r="G218" s="2010"/>
      <c r="H218" s="1968"/>
      <c r="I218" s="2010"/>
      <c r="J218" s="1968"/>
      <c r="K218" s="2013"/>
      <c r="L218" s="2010"/>
      <c r="M218" s="1968"/>
      <c r="N218" s="2010"/>
      <c r="O218" s="1968"/>
      <c r="P218" s="2010"/>
      <c r="Q218" s="2010"/>
      <c r="R218" s="2013"/>
      <c r="S218" s="1968"/>
      <c r="T218" s="2014"/>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2007"/>
      <c r="C219" s="2010"/>
      <c r="D219" s="1968"/>
      <c r="E219" s="2010"/>
      <c r="F219" s="1968"/>
      <c r="G219" s="2010"/>
      <c r="H219" s="1968"/>
      <c r="I219" s="2010"/>
      <c r="J219" s="1968"/>
      <c r="K219" s="2013"/>
      <c r="L219" s="2010"/>
      <c r="M219" s="1968"/>
      <c r="N219" s="2010"/>
      <c r="O219" s="1968"/>
      <c r="P219" s="2010"/>
      <c r="Q219" s="2010"/>
      <c r="R219" s="2013"/>
      <c r="S219" s="1968"/>
      <c r="T219" s="2014"/>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2007"/>
      <c r="C220" s="2010"/>
      <c r="D220" s="1968"/>
      <c r="E220" s="2010"/>
      <c r="F220" s="1968"/>
      <c r="G220" s="2010"/>
      <c r="H220" s="1968"/>
      <c r="I220" s="2010"/>
      <c r="J220" s="1968"/>
      <c r="K220" s="2013"/>
      <c r="L220" s="2010"/>
      <c r="M220" s="1968"/>
      <c r="N220" s="2010"/>
      <c r="O220" s="1968"/>
      <c r="P220" s="2010"/>
      <c r="Q220" s="2010"/>
      <c r="R220" s="2013"/>
      <c r="S220" s="1968"/>
      <c r="T220" s="2014"/>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2007"/>
      <c r="C221" s="2010"/>
      <c r="D221" s="1968"/>
      <c r="E221" s="2010"/>
      <c r="F221" s="1968"/>
      <c r="G221" s="2010"/>
      <c r="H221" s="1968"/>
      <c r="I221" s="2010"/>
      <c r="J221" s="1968"/>
      <c r="K221" s="2013"/>
      <c r="L221" s="2010"/>
      <c r="M221" s="1968"/>
      <c r="N221" s="2010"/>
      <c r="O221" s="1968"/>
      <c r="P221" s="2010"/>
      <c r="Q221" s="2010"/>
      <c r="R221" s="2013"/>
      <c r="S221" s="1968"/>
      <c r="T221" s="2014"/>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2007"/>
      <c r="C222" s="2010"/>
      <c r="D222" s="1968"/>
      <c r="E222" s="2010"/>
      <c r="F222" s="1968"/>
      <c r="G222" s="2010"/>
      <c r="H222" s="1968"/>
      <c r="I222" s="2010"/>
      <c r="J222" s="1968"/>
      <c r="K222" s="2013"/>
      <c r="L222" s="2010"/>
      <c r="M222" s="1968"/>
      <c r="N222" s="2010"/>
      <c r="O222" s="1968"/>
      <c r="P222" s="2010"/>
      <c r="Q222" s="2010"/>
      <c r="R222" s="2013"/>
      <c r="S222" s="1968"/>
      <c r="T222" s="2014"/>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2007"/>
      <c r="C223" s="2010"/>
      <c r="D223" s="1968"/>
      <c r="E223" s="2010"/>
      <c r="F223" s="1968"/>
      <c r="G223" s="2010"/>
      <c r="H223" s="1968"/>
      <c r="I223" s="2010"/>
      <c r="J223" s="1968"/>
      <c r="K223" s="2013"/>
      <c r="L223" s="2010"/>
      <c r="M223" s="1968"/>
      <c r="N223" s="2010"/>
      <c r="O223" s="1968"/>
      <c r="P223" s="2010"/>
      <c r="Q223" s="2010"/>
      <c r="R223" s="2013"/>
      <c r="S223" s="1968"/>
      <c r="T223" s="2014"/>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2007"/>
      <c r="C224" s="2010"/>
      <c r="D224" s="1968"/>
      <c r="E224" s="2010"/>
      <c r="F224" s="1968"/>
      <c r="G224" s="2010"/>
      <c r="H224" s="1968"/>
      <c r="I224" s="2010"/>
      <c r="J224" s="1968"/>
      <c r="K224" s="2013"/>
      <c r="L224" s="2010"/>
      <c r="M224" s="1968"/>
      <c r="N224" s="2010"/>
      <c r="O224" s="1968"/>
      <c r="P224" s="2010"/>
      <c r="Q224" s="2010"/>
      <c r="R224" s="2013"/>
      <c r="S224" s="1968"/>
      <c r="T224" s="2014"/>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2007"/>
      <c r="C225" s="2010"/>
      <c r="D225" s="1968"/>
      <c r="E225" s="2010"/>
      <c r="F225" s="1968"/>
      <c r="G225" s="2010"/>
      <c r="H225" s="1968"/>
      <c r="I225" s="2010"/>
      <c r="J225" s="1968"/>
      <c r="K225" s="2013"/>
      <c r="L225" s="2010"/>
      <c r="M225" s="1968"/>
      <c r="N225" s="2010"/>
      <c r="O225" s="1968"/>
      <c r="P225" s="2010"/>
      <c r="Q225" s="2010"/>
      <c r="R225" s="2013"/>
      <c r="S225" s="1968"/>
      <c r="T225" s="2014"/>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2007"/>
      <c r="C226" s="2010"/>
      <c r="D226" s="1968"/>
      <c r="E226" s="2010"/>
      <c r="F226" s="1968"/>
      <c r="G226" s="2010"/>
      <c r="H226" s="1968"/>
      <c r="I226" s="2010"/>
      <c r="J226" s="1968"/>
      <c r="K226" s="2013"/>
      <c r="L226" s="2010"/>
      <c r="M226" s="1968"/>
      <c r="N226" s="2010"/>
      <c r="O226" s="1968"/>
      <c r="P226" s="2010"/>
      <c r="Q226" s="2010"/>
      <c r="R226" s="2013"/>
      <c r="S226" s="1968"/>
      <c r="T226" s="2014"/>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2007"/>
      <c r="C227" s="2010"/>
      <c r="D227" s="1968"/>
      <c r="E227" s="2010"/>
      <c r="F227" s="1968"/>
      <c r="G227" s="2010"/>
      <c r="H227" s="1968"/>
      <c r="I227" s="2010"/>
      <c r="J227" s="1968"/>
      <c r="K227" s="2013"/>
      <c r="L227" s="2010"/>
      <c r="M227" s="1968"/>
      <c r="N227" s="2010"/>
      <c r="O227" s="1968"/>
      <c r="P227" s="2010"/>
      <c r="Q227" s="2010"/>
      <c r="R227" s="2013"/>
      <c r="S227" s="1968"/>
      <c r="T227" s="2014"/>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2007"/>
      <c r="C228" s="2010"/>
      <c r="D228" s="1968"/>
      <c r="E228" s="2010"/>
      <c r="F228" s="1968"/>
      <c r="G228" s="2010"/>
      <c r="H228" s="1968"/>
      <c r="I228" s="2010"/>
      <c r="J228" s="1968"/>
      <c r="K228" s="2013"/>
      <c r="L228" s="2010"/>
      <c r="M228" s="1968"/>
      <c r="N228" s="2010"/>
      <c r="O228" s="1968"/>
      <c r="P228" s="2010"/>
      <c r="Q228" s="2010"/>
      <c r="R228" s="2013"/>
      <c r="S228" s="1968"/>
      <c r="T228" s="2014"/>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2007"/>
      <c r="C229" s="2010"/>
      <c r="D229" s="1968"/>
      <c r="E229" s="2010"/>
      <c r="F229" s="1968"/>
      <c r="G229" s="2010"/>
      <c r="H229" s="1968"/>
      <c r="I229" s="2010"/>
      <c r="J229" s="1968"/>
      <c r="K229" s="2013"/>
      <c r="L229" s="2010"/>
      <c r="M229" s="1968"/>
      <c r="N229" s="2010"/>
      <c r="O229" s="1968"/>
      <c r="P229" s="2010"/>
      <c r="Q229" s="2010"/>
      <c r="R229" s="2013"/>
      <c r="S229" s="1968"/>
      <c r="T229" s="2014"/>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2007"/>
      <c r="C230" s="2010"/>
      <c r="D230" s="1968"/>
      <c r="E230" s="2010"/>
      <c r="F230" s="1968"/>
      <c r="G230" s="2010"/>
      <c r="H230" s="1968"/>
      <c r="I230" s="2010"/>
      <c r="J230" s="1968"/>
      <c r="K230" s="2013"/>
      <c r="L230" s="2010"/>
      <c r="M230" s="1968"/>
      <c r="N230" s="2010"/>
      <c r="O230" s="1968"/>
      <c r="P230" s="2010"/>
      <c r="Q230" s="2010"/>
      <c r="R230" s="2013"/>
      <c r="S230" s="1968"/>
      <c r="T230" s="2014"/>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2007"/>
      <c r="C231" s="2010"/>
      <c r="D231" s="1968"/>
      <c r="E231" s="2010"/>
      <c r="F231" s="1968"/>
      <c r="G231" s="2010"/>
      <c r="H231" s="1968"/>
      <c r="I231" s="2010"/>
      <c r="J231" s="1968"/>
      <c r="K231" s="2013"/>
      <c r="L231" s="2010"/>
      <c r="M231" s="1968"/>
      <c r="N231" s="2010"/>
      <c r="O231" s="1968"/>
      <c r="P231" s="2010"/>
      <c r="Q231" s="2010"/>
      <c r="R231" s="2013"/>
      <c r="S231" s="1968"/>
      <c r="T231" s="2014"/>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2007"/>
      <c r="C232" s="2010"/>
      <c r="D232" s="1968"/>
      <c r="E232" s="2010"/>
      <c r="F232" s="1968"/>
      <c r="G232" s="2010"/>
      <c r="H232" s="1968"/>
      <c r="I232" s="2010"/>
      <c r="J232" s="1968"/>
      <c r="K232" s="2013"/>
      <c r="L232" s="2010"/>
      <c r="M232" s="1968"/>
      <c r="N232" s="2010"/>
      <c r="O232" s="1968"/>
      <c r="P232" s="2010"/>
      <c r="Q232" s="2010"/>
      <c r="R232" s="2013"/>
      <c r="S232" s="1968"/>
      <c r="T232" s="2014"/>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2007"/>
      <c r="C233" s="2010"/>
      <c r="D233" s="1968"/>
      <c r="E233" s="2010"/>
      <c r="F233" s="1968"/>
      <c r="G233" s="2010"/>
      <c r="H233" s="1968"/>
      <c r="I233" s="2010"/>
      <c r="J233" s="1968"/>
      <c r="K233" s="2013"/>
      <c r="L233" s="2010"/>
      <c r="M233" s="1968"/>
      <c r="N233" s="2010"/>
      <c r="O233" s="1968"/>
      <c r="P233" s="2010"/>
      <c r="Q233" s="2010"/>
      <c r="R233" s="2013"/>
      <c r="S233" s="1968"/>
      <c r="T233" s="2014"/>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2007"/>
      <c r="C234" s="2010"/>
      <c r="D234" s="1968"/>
      <c r="E234" s="2010"/>
      <c r="F234" s="1968"/>
      <c r="G234" s="2010"/>
      <c r="H234" s="1968"/>
      <c r="I234" s="2010"/>
      <c r="J234" s="1968"/>
      <c r="K234" s="2013"/>
      <c r="L234" s="2010"/>
      <c r="M234" s="1968"/>
      <c r="N234" s="2010"/>
      <c r="O234" s="1968"/>
      <c r="P234" s="2010"/>
      <c r="Q234" s="2010"/>
      <c r="R234" s="2013"/>
      <c r="S234" s="1968"/>
      <c r="T234" s="2014"/>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2007"/>
      <c r="C235" s="2010"/>
      <c r="D235" s="1968"/>
      <c r="E235" s="2010"/>
      <c r="F235" s="1968"/>
      <c r="G235" s="2010"/>
      <c r="H235" s="1968"/>
      <c r="I235" s="2010"/>
      <c r="J235" s="1968"/>
      <c r="K235" s="2013"/>
      <c r="L235" s="2010"/>
      <c r="M235" s="1968"/>
      <c r="N235" s="2010"/>
      <c r="O235" s="1968"/>
      <c r="P235" s="2010"/>
      <c r="Q235" s="2010"/>
      <c r="R235" s="2013"/>
      <c r="S235" s="1968"/>
      <c r="T235" s="2014"/>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2007"/>
      <c r="C236" s="2010"/>
      <c r="D236" s="1968"/>
      <c r="E236" s="2010"/>
      <c r="F236" s="1968"/>
      <c r="G236" s="2010"/>
      <c r="H236" s="1968"/>
      <c r="I236" s="2010"/>
      <c r="J236" s="1968"/>
      <c r="K236" s="2013"/>
      <c r="L236" s="2010"/>
      <c r="M236" s="1968"/>
      <c r="N236" s="2010"/>
      <c r="O236" s="1968"/>
      <c r="P236" s="2010"/>
      <c r="Q236" s="2010"/>
      <c r="R236" s="2013"/>
      <c r="S236" s="1968"/>
      <c r="T236" s="2014"/>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x14ac:dyDescent="0.2">
      <c r="C237" s="2017"/>
      <c r="E237" s="2017"/>
      <c r="G237" s="2017"/>
      <c r="I237" s="2017"/>
      <c r="K237" s="2018"/>
      <c r="N237" s="2017"/>
      <c r="R237" s="2018"/>
      <c r="T237" s="2014"/>
    </row>
    <row r="238" spans="1:71" x14ac:dyDescent="0.2">
      <c r="C238" s="2017"/>
      <c r="E238" s="2017"/>
      <c r="G238" s="2017"/>
      <c r="I238" s="2017"/>
      <c r="K238" s="2018"/>
      <c r="N238" s="2017"/>
      <c r="R238" s="2018"/>
      <c r="T238" s="2014"/>
    </row>
    <row r="239" spans="1:71" x14ac:dyDescent="0.2">
      <c r="C239" s="2017"/>
      <c r="E239" s="2017"/>
      <c r="G239" s="2017"/>
      <c r="I239" s="2017"/>
      <c r="K239" s="2018"/>
      <c r="N239" s="2017"/>
      <c r="R239" s="2018"/>
      <c r="T239" s="2014"/>
    </row>
    <row r="240" spans="1:71" x14ac:dyDescent="0.2">
      <c r="C240" s="2017"/>
      <c r="E240" s="2017"/>
      <c r="G240" s="2017"/>
      <c r="I240" s="2017"/>
      <c r="K240" s="2018"/>
      <c r="N240" s="2017"/>
      <c r="R240" s="2018"/>
      <c r="T240" s="2014"/>
    </row>
    <row r="241" spans="2:22" x14ac:dyDescent="0.2">
      <c r="C241" s="2017"/>
      <c r="E241" s="2017"/>
      <c r="G241" s="2017"/>
      <c r="I241" s="2017"/>
      <c r="K241" s="2018"/>
      <c r="N241" s="2017"/>
      <c r="R241" s="2018"/>
      <c r="T241" s="2014"/>
    </row>
    <row r="242" spans="2:22" x14ac:dyDescent="0.2">
      <c r="C242" s="2017"/>
      <c r="E242" s="2017"/>
      <c r="G242" s="2017"/>
      <c r="I242" s="2017"/>
      <c r="K242" s="2018"/>
      <c r="N242" s="2017"/>
      <c r="R242" s="2018"/>
      <c r="T242" s="2014"/>
    </row>
    <row r="243" spans="2:22" x14ac:dyDescent="0.2">
      <c r="C243" s="2017"/>
      <c r="E243" s="2017"/>
      <c r="G243" s="2017"/>
      <c r="I243" s="2017"/>
      <c r="K243" s="2018"/>
      <c r="N243" s="2017"/>
      <c r="R243" s="2018"/>
      <c r="T243" s="2014"/>
    </row>
    <row r="244" spans="2:22" x14ac:dyDescent="0.2">
      <c r="C244" s="2017"/>
      <c r="E244" s="2017"/>
      <c r="G244" s="2017"/>
      <c r="I244" s="2017"/>
      <c r="K244" s="2018"/>
      <c r="N244" s="2017"/>
      <c r="R244" s="2018"/>
      <c r="T244" s="2014"/>
    </row>
    <row r="245" spans="2:22" x14ac:dyDescent="0.2">
      <c r="C245" s="2017"/>
      <c r="E245" s="2017"/>
      <c r="G245" s="2017"/>
      <c r="I245" s="2017"/>
      <c r="K245" s="2018"/>
      <c r="N245" s="2017"/>
      <c r="R245" s="2018"/>
      <c r="T245" s="2014"/>
    </row>
    <row r="246" spans="2:22" x14ac:dyDescent="0.2">
      <c r="C246" s="2017"/>
      <c r="E246" s="2017"/>
      <c r="G246" s="2017"/>
      <c r="I246" s="2017"/>
      <c r="K246" s="2018"/>
      <c r="N246" s="2017"/>
      <c r="R246" s="2018"/>
      <c r="T246" s="2014"/>
    </row>
    <row r="247" spans="2:22" x14ac:dyDescent="0.2">
      <c r="C247" s="2017"/>
      <c r="E247" s="2017"/>
      <c r="G247" s="2017"/>
      <c r="I247" s="2017"/>
      <c r="K247" s="2018"/>
      <c r="N247" s="2017"/>
      <c r="R247" s="2018"/>
      <c r="T247" s="2014"/>
    </row>
    <row r="248" spans="2:22" x14ac:dyDescent="0.2">
      <c r="C248" s="2017"/>
      <c r="E248" s="2017"/>
      <c r="G248" s="2017"/>
      <c r="I248" s="2017"/>
      <c r="K248" s="2018"/>
      <c r="N248" s="2017"/>
      <c r="R248" s="2018"/>
      <c r="T248" s="2014"/>
    </row>
    <row r="249" spans="2:22" x14ac:dyDescent="0.2">
      <c r="C249" s="2017"/>
      <c r="E249" s="2017"/>
      <c r="G249" s="2017"/>
      <c r="I249" s="2017"/>
      <c r="K249" s="2018"/>
      <c r="N249" s="2017"/>
      <c r="R249" s="2018"/>
      <c r="T249" s="2014"/>
    </row>
    <row r="250" spans="2:22" x14ac:dyDescent="0.2">
      <c r="C250" s="2017"/>
      <c r="E250" s="2017"/>
      <c r="G250" s="2017"/>
      <c r="I250" s="2017"/>
      <c r="K250" s="2018"/>
      <c r="N250" s="2017"/>
      <c r="R250" s="2018"/>
      <c r="T250" s="2014"/>
    </row>
    <row r="251" spans="2:22" x14ac:dyDescent="0.2">
      <c r="C251" s="2017"/>
      <c r="E251" s="2017"/>
      <c r="G251" s="2017"/>
      <c r="I251" s="2017"/>
      <c r="K251" s="2018"/>
      <c r="N251" s="2017"/>
      <c r="R251" s="2018"/>
      <c r="T251" s="2014"/>
    </row>
    <row r="252" spans="2:22" s="10" customFormat="1" x14ac:dyDescent="0.2">
      <c r="B252" s="2007"/>
      <c r="C252" s="2017"/>
      <c r="D252" s="1590"/>
      <c r="E252" s="2017"/>
      <c r="F252" s="1590"/>
      <c r="G252" s="2017"/>
      <c r="H252" s="1590"/>
      <c r="I252" s="2017"/>
      <c r="J252" s="1590"/>
      <c r="K252" s="2018"/>
      <c r="L252" s="2017"/>
      <c r="M252" s="1590"/>
      <c r="N252" s="2017"/>
      <c r="O252" s="1590"/>
      <c r="P252" s="2017"/>
      <c r="Q252" s="2017"/>
      <c r="R252" s="2018"/>
      <c r="S252" s="1590"/>
      <c r="T252" s="2014"/>
      <c r="V252" s="30"/>
    </row>
    <row r="253" spans="2:22" s="10" customFormat="1" x14ac:dyDescent="0.2">
      <c r="B253" s="2007"/>
      <c r="C253" s="2017"/>
      <c r="D253" s="1590"/>
      <c r="E253" s="2017"/>
      <c r="F253" s="1590"/>
      <c r="G253" s="2017"/>
      <c r="H253" s="1590"/>
      <c r="I253" s="2017"/>
      <c r="J253" s="1590"/>
      <c r="K253" s="2018"/>
      <c r="L253" s="2017"/>
      <c r="M253" s="1590"/>
      <c r="N253" s="2017"/>
      <c r="O253" s="1590"/>
      <c r="P253" s="2017"/>
      <c r="Q253" s="2017"/>
      <c r="R253" s="2018"/>
      <c r="S253" s="1590"/>
      <c r="T253" s="2014"/>
      <c r="V253" s="30"/>
    </row>
    <row r="254" spans="2:22" s="10" customFormat="1" x14ac:dyDescent="0.2">
      <c r="B254" s="2007"/>
      <c r="C254" s="2017"/>
      <c r="D254" s="1590"/>
      <c r="E254" s="2017"/>
      <c r="F254" s="1590"/>
      <c r="G254" s="2017"/>
      <c r="H254" s="1590"/>
      <c r="I254" s="2017"/>
      <c r="J254" s="1590"/>
      <c r="K254" s="2018"/>
      <c r="L254" s="2017"/>
      <c r="M254" s="1590"/>
      <c r="N254" s="2017"/>
      <c r="O254" s="1590"/>
      <c r="P254" s="2017"/>
      <c r="Q254" s="2017"/>
      <c r="R254" s="2018"/>
      <c r="S254" s="1590"/>
      <c r="T254" s="2014"/>
      <c r="V254" s="30"/>
    </row>
    <row r="255" spans="2:22" s="10" customFormat="1" x14ac:dyDescent="0.2">
      <c r="B255" s="2007"/>
      <c r="C255" s="2017"/>
      <c r="D255" s="1590"/>
      <c r="E255" s="2017"/>
      <c r="F255" s="1590"/>
      <c r="G255" s="2017"/>
      <c r="H255" s="1590"/>
      <c r="I255" s="2017"/>
      <c r="J255" s="1590"/>
      <c r="K255" s="2018"/>
      <c r="L255" s="2017"/>
      <c r="M255" s="1590"/>
      <c r="N255" s="2017"/>
      <c r="O255" s="1590"/>
      <c r="P255" s="2017"/>
      <c r="Q255" s="2017"/>
      <c r="R255" s="2018"/>
      <c r="S255" s="1590"/>
      <c r="T255" s="2014"/>
      <c r="V255" s="30"/>
    </row>
    <row r="256" spans="2:22" s="10" customFormat="1" x14ac:dyDescent="0.2">
      <c r="B256" s="2007"/>
      <c r="C256" s="2017"/>
      <c r="D256" s="1590"/>
      <c r="E256" s="2017"/>
      <c r="F256" s="1590"/>
      <c r="G256" s="2017"/>
      <c r="H256" s="1590"/>
      <c r="I256" s="2017"/>
      <c r="J256" s="1590"/>
      <c r="K256" s="2018"/>
      <c r="L256" s="2017"/>
      <c r="M256" s="1590"/>
      <c r="N256" s="2017"/>
      <c r="O256" s="1590"/>
      <c r="P256" s="2017"/>
      <c r="Q256" s="2017"/>
      <c r="R256" s="2018"/>
      <c r="S256" s="1590"/>
      <c r="T256" s="2014"/>
      <c r="V256" s="30"/>
    </row>
    <row r="257" spans="2:22" s="10" customFormat="1" x14ac:dyDescent="0.2">
      <c r="B257" s="2007"/>
      <c r="C257" s="2017"/>
      <c r="D257" s="1590"/>
      <c r="E257" s="2017"/>
      <c r="F257" s="1590"/>
      <c r="G257" s="2017"/>
      <c r="H257" s="1590"/>
      <c r="I257" s="2017"/>
      <c r="J257" s="1590"/>
      <c r="K257" s="2018"/>
      <c r="L257" s="2017"/>
      <c r="M257" s="1590"/>
      <c r="N257" s="2017"/>
      <c r="O257" s="1590"/>
      <c r="P257" s="2017"/>
      <c r="Q257" s="2017"/>
      <c r="R257" s="2018"/>
      <c r="S257" s="1590"/>
      <c r="T257" s="2014"/>
      <c r="V257" s="30"/>
    </row>
    <row r="258" spans="2:22" s="10" customFormat="1" x14ac:dyDescent="0.2">
      <c r="B258" s="2007"/>
      <c r="C258" s="2017"/>
      <c r="D258" s="1590"/>
      <c r="E258" s="2017"/>
      <c r="F258" s="1590"/>
      <c r="G258" s="2017"/>
      <c r="H258" s="1590"/>
      <c r="I258" s="2017"/>
      <c r="J258" s="1590"/>
      <c r="K258" s="2018"/>
      <c r="L258" s="2017"/>
      <c r="M258" s="1590"/>
      <c r="N258" s="2017"/>
      <c r="O258" s="1590"/>
      <c r="P258" s="2017"/>
      <c r="Q258" s="2017"/>
      <c r="R258" s="2018"/>
      <c r="S258" s="1590"/>
      <c r="T258" s="2014"/>
      <c r="V258" s="30"/>
    </row>
    <row r="259" spans="2:22" s="10" customFormat="1" x14ac:dyDescent="0.2">
      <c r="B259" s="2007"/>
      <c r="C259" s="2017"/>
      <c r="D259" s="1590"/>
      <c r="E259" s="2017"/>
      <c r="F259" s="1590"/>
      <c r="G259" s="2017"/>
      <c r="H259" s="1590"/>
      <c r="I259" s="2017"/>
      <c r="J259" s="1590"/>
      <c r="K259" s="2018"/>
      <c r="L259" s="2017"/>
      <c r="M259" s="1590"/>
      <c r="N259" s="2017"/>
      <c r="O259" s="1590"/>
      <c r="P259" s="2017"/>
      <c r="Q259" s="2017"/>
      <c r="R259" s="2018"/>
      <c r="S259" s="1590"/>
      <c r="T259" s="2014"/>
      <c r="V259" s="30"/>
    </row>
    <row r="260" spans="2:22" s="10" customFormat="1" x14ac:dyDescent="0.2">
      <c r="B260" s="2007"/>
      <c r="C260" s="2017"/>
      <c r="D260" s="1590"/>
      <c r="E260" s="2017"/>
      <c r="F260" s="1590"/>
      <c r="G260" s="2017"/>
      <c r="H260" s="1590"/>
      <c r="I260" s="2017"/>
      <c r="J260" s="1590"/>
      <c r="K260" s="2018"/>
      <c r="L260" s="2017"/>
      <c r="M260" s="1590"/>
      <c r="N260" s="2017"/>
      <c r="O260" s="1590"/>
      <c r="P260" s="2017"/>
      <c r="Q260" s="2017"/>
      <c r="R260" s="2018"/>
      <c r="S260" s="1590"/>
      <c r="T260" s="2014"/>
      <c r="V260" s="30"/>
    </row>
    <row r="261" spans="2:22" s="10" customFormat="1" x14ac:dyDescent="0.2">
      <c r="B261" s="2007"/>
      <c r="C261" s="2017"/>
      <c r="D261" s="1590"/>
      <c r="E261" s="2017"/>
      <c r="F261" s="1590"/>
      <c r="G261" s="2017"/>
      <c r="H261" s="1590"/>
      <c r="I261" s="2017"/>
      <c r="J261" s="1590"/>
      <c r="K261" s="2018"/>
      <c r="L261" s="2017"/>
      <c r="M261" s="1590"/>
      <c r="N261" s="2017"/>
      <c r="O261" s="1590"/>
      <c r="P261" s="2017"/>
      <c r="Q261" s="2017"/>
      <c r="R261" s="2018"/>
      <c r="S261" s="1590"/>
      <c r="T261" s="2014"/>
      <c r="V261" s="30"/>
    </row>
    <row r="262" spans="2:22" s="10" customFormat="1" x14ac:dyDescent="0.2">
      <c r="B262" s="2007"/>
      <c r="C262" s="2017"/>
      <c r="D262" s="1590"/>
      <c r="E262" s="2017"/>
      <c r="F262" s="1590"/>
      <c r="G262" s="2017"/>
      <c r="H262" s="1590"/>
      <c r="I262" s="2017"/>
      <c r="J262" s="1590"/>
      <c r="K262" s="2018"/>
      <c r="L262" s="2017"/>
      <c r="M262" s="1590"/>
      <c r="N262" s="2017"/>
      <c r="O262" s="1590"/>
      <c r="P262" s="2017"/>
      <c r="Q262" s="2017"/>
      <c r="R262" s="2018"/>
      <c r="S262" s="1590"/>
      <c r="T262" s="2014"/>
      <c r="V262" s="30"/>
    </row>
    <row r="263" spans="2:22" s="10" customFormat="1" x14ac:dyDescent="0.2">
      <c r="B263" s="2007"/>
      <c r="C263" s="2017"/>
      <c r="D263" s="1590"/>
      <c r="E263" s="2017"/>
      <c r="F263" s="1590"/>
      <c r="G263" s="2017"/>
      <c r="H263" s="1590"/>
      <c r="I263" s="2017"/>
      <c r="J263" s="1590"/>
      <c r="K263" s="2018"/>
      <c r="L263" s="2017"/>
      <c r="M263" s="1590"/>
      <c r="N263" s="2017"/>
      <c r="O263" s="1590"/>
      <c r="P263" s="2017"/>
      <c r="Q263" s="2017"/>
      <c r="R263" s="2018"/>
      <c r="S263" s="1590"/>
      <c r="T263" s="2014"/>
      <c r="V263" s="30"/>
    </row>
    <row r="264" spans="2:22" s="10" customFormat="1" x14ac:dyDescent="0.2">
      <c r="B264" s="2007"/>
      <c r="C264" s="2017"/>
      <c r="D264" s="1590"/>
      <c r="E264" s="2017"/>
      <c r="F264" s="1590"/>
      <c r="G264" s="2017"/>
      <c r="H264" s="1590"/>
      <c r="I264" s="2017"/>
      <c r="J264" s="1590"/>
      <c r="K264" s="2018"/>
      <c r="L264" s="2017"/>
      <c r="M264" s="1590"/>
      <c r="N264" s="2017"/>
      <c r="O264" s="1590"/>
      <c r="P264" s="2017"/>
      <c r="Q264" s="2017"/>
      <c r="R264" s="2018"/>
      <c r="S264" s="1590"/>
      <c r="T264" s="2014"/>
      <c r="V264" s="30"/>
    </row>
    <row r="265" spans="2:22" s="10" customFormat="1" x14ac:dyDescent="0.2">
      <c r="B265" s="2007"/>
      <c r="C265" s="2017"/>
      <c r="D265" s="1590"/>
      <c r="E265" s="2017"/>
      <c r="F265" s="1590"/>
      <c r="G265" s="2017"/>
      <c r="H265" s="1590"/>
      <c r="I265" s="2017"/>
      <c r="J265" s="1590"/>
      <c r="K265" s="2018"/>
      <c r="L265" s="2017"/>
      <c r="M265" s="1590"/>
      <c r="N265" s="2017"/>
      <c r="O265" s="1590"/>
      <c r="P265" s="2017"/>
      <c r="Q265" s="2017"/>
      <c r="R265" s="2018"/>
      <c r="S265" s="1590"/>
      <c r="T265" s="2014"/>
      <c r="V265" s="30"/>
    </row>
    <row r="266" spans="2:22" s="10" customFormat="1" x14ac:dyDescent="0.2">
      <c r="B266" s="2007"/>
      <c r="C266" s="2017"/>
      <c r="D266" s="1590"/>
      <c r="E266" s="2017"/>
      <c r="F266" s="1590"/>
      <c r="G266" s="2017"/>
      <c r="H266" s="1590"/>
      <c r="I266" s="2017"/>
      <c r="J266" s="1590"/>
      <c r="K266" s="2018"/>
      <c r="L266" s="2017"/>
      <c r="M266" s="1590"/>
      <c r="N266" s="2017"/>
      <c r="O266" s="1590"/>
      <c r="P266" s="2017"/>
      <c r="Q266" s="2017"/>
      <c r="R266" s="2018"/>
      <c r="S266" s="1590"/>
      <c r="T266" s="2014"/>
      <c r="V266" s="30"/>
    </row>
    <row r="267" spans="2:22" s="10" customFormat="1" x14ac:dyDescent="0.2">
      <c r="B267" s="2007"/>
      <c r="C267" s="2017"/>
      <c r="D267" s="1590"/>
      <c r="E267" s="2017"/>
      <c r="F267" s="1590"/>
      <c r="G267" s="2017"/>
      <c r="H267" s="1590"/>
      <c r="I267" s="2017"/>
      <c r="J267" s="1590"/>
      <c r="K267" s="2018"/>
      <c r="L267" s="2017"/>
      <c r="M267" s="1590"/>
      <c r="N267" s="2017"/>
      <c r="O267" s="1590"/>
      <c r="P267" s="2017"/>
      <c r="Q267" s="2017"/>
      <c r="R267" s="2018"/>
      <c r="S267" s="1590"/>
      <c r="T267" s="2014"/>
      <c r="V267" s="30"/>
    </row>
    <row r="268" spans="2:22" s="10" customFormat="1" x14ac:dyDescent="0.2">
      <c r="B268" s="2007"/>
      <c r="C268" s="2017"/>
      <c r="D268" s="1590"/>
      <c r="E268" s="2017"/>
      <c r="F268" s="1590"/>
      <c r="G268" s="2017"/>
      <c r="H268" s="1590"/>
      <c r="I268" s="2017"/>
      <c r="J268" s="1590"/>
      <c r="K268" s="2018"/>
      <c r="L268" s="2017"/>
      <c r="M268" s="1590"/>
      <c r="N268" s="2017"/>
      <c r="O268" s="1590"/>
      <c r="P268" s="2017"/>
      <c r="Q268" s="2017"/>
      <c r="R268" s="2018"/>
      <c r="S268" s="1590"/>
      <c r="T268" s="2014"/>
      <c r="V268" s="30"/>
    </row>
    <row r="269" spans="2:22" s="10" customFormat="1" x14ac:dyDescent="0.2">
      <c r="B269" s="2007"/>
      <c r="C269" s="2017"/>
      <c r="D269" s="1590"/>
      <c r="E269" s="2017"/>
      <c r="F269" s="1590"/>
      <c r="G269" s="2017"/>
      <c r="H269" s="1590"/>
      <c r="I269" s="2017"/>
      <c r="J269" s="1590"/>
      <c r="K269" s="2018"/>
      <c r="L269" s="2017"/>
      <c r="M269" s="1590"/>
      <c r="N269" s="2017"/>
      <c r="O269" s="1590"/>
      <c r="P269" s="2017"/>
      <c r="Q269" s="2017"/>
      <c r="R269" s="2018"/>
      <c r="S269" s="1590"/>
      <c r="T269" s="2014"/>
      <c r="V269" s="30"/>
    </row>
    <row r="270" spans="2:22" s="10" customFormat="1" x14ac:dyDescent="0.2">
      <c r="B270" s="2007"/>
      <c r="C270" s="2017"/>
      <c r="D270" s="1590"/>
      <c r="E270" s="2017"/>
      <c r="F270" s="1590"/>
      <c r="G270" s="2017"/>
      <c r="H270" s="1590"/>
      <c r="I270" s="2017"/>
      <c r="J270" s="1590"/>
      <c r="K270" s="2018"/>
      <c r="L270" s="2017"/>
      <c r="M270" s="1590"/>
      <c r="N270" s="2017"/>
      <c r="O270" s="1590"/>
      <c r="P270" s="2017"/>
      <c r="Q270" s="2017"/>
      <c r="R270" s="2018"/>
      <c r="S270" s="1590"/>
      <c r="T270" s="2014"/>
      <c r="V270" s="30"/>
    </row>
    <row r="271" spans="2:22" s="10" customFormat="1" x14ac:dyDescent="0.2">
      <c r="B271" s="2007"/>
      <c r="C271" s="2017"/>
      <c r="D271" s="1590"/>
      <c r="E271" s="2017"/>
      <c r="F271" s="1590"/>
      <c r="G271" s="2017"/>
      <c r="H271" s="1590"/>
      <c r="I271" s="2017"/>
      <c r="J271" s="1590"/>
      <c r="K271" s="2018"/>
      <c r="L271" s="2017"/>
      <c r="M271" s="1590"/>
      <c r="N271" s="2017"/>
      <c r="O271" s="1590"/>
      <c r="P271" s="2017"/>
      <c r="Q271" s="2017"/>
      <c r="R271" s="2018"/>
      <c r="S271" s="1590"/>
      <c r="T271" s="2014"/>
      <c r="V271" s="30"/>
    </row>
    <row r="272" spans="2:22" s="10" customFormat="1" x14ac:dyDescent="0.2">
      <c r="B272" s="2007"/>
      <c r="C272" s="2017"/>
      <c r="D272" s="1590"/>
      <c r="E272" s="2019"/>
      <c r="F272" s="1590"/>
      <c r="G272" s="2017"/>
      <c r="H272" s="1590"/>
      <c r="I272" s="2017"/>
      <c r="J272" s="1590"/>
      <c r="K272" s="2018"/>
      <c r="L272" s="2017"/>
      <c r="M272" s="1590"/>
      <c r="N272" s="2017"/>
      <c r="O272" s="1590"/>
      <c r="P272" s="2017"/>
      <c r="Q272" s="2017"/>
      <c r="R272" s="2018"/>
      <c r="S272" s="1590"/>
      <c r="T272" s="2014"/>
      <c r="V272" s="30"/>
    </row>
    <row r="273" spans="2:22" s="10" customFormat="1" x14ac:dyDescent="0.2">
      <c r="B273" s="2007"/>
      <c r="C273" s="2017"/>
      <c r="D273" s="1590"/>
      <c r="E273" s="2019"/>
      <c r="F273" s="1590"/>
      <c r="G273" s="2017"/>
      <c r="H273" s="1590"/>
      <c r="I273" s="2017"/>
      <c r="J273" s="1590"/>
      <c r="K273" s="2018"/>
      <c r="L273" s="2017"/>
      <c r="M273" s="1590"/>
      <c r="N273" s="2017"/>
      <c r="O273" s="1590"/>
      <c r="P273" s="2017"/>
      <c r="Q273" s="2017"/>
      <c r="R273" s="2018"/>
      <c r="S273" s="1590"/>
      <c r="T273" s="2014"/>
      <c r="V273" s="30"/>
    </row>
    <row r="274" spans="2:22" s="10" customFormat="1" x14ac:dyDescent="0.2">
      <c r="B274" s="2007"/>
      <c r="C274" s="2017"/>
      <c r="D274" s="1590"/>
      <c r="E274" s="2019"/>
      <c r="F274" s="1590"/>
      <c r="G274" s="2017"/>
      <c r="H274" s="1590"/>
      <c r="I274" s="2017"/>
      <c r="J274" s="1590"/>
      <c r="K274" s="2018"/>
      <c r="L274" s="2017"/>
      <c r="M274" s="1590"/>
      <c r="N274" s="2017"/>
      <c r="O274" s="1590"/>
      <c r="P274" s="2017"/>
      <c r="Q274" s="2017"/>
      <c r="R274" s="2018"/>
      <c r="S274" s="1590"/>
      <c r="T274" s="2014"/>
      <c r="V274" s="30"/>
    </row>
    <row r="275" spans="2:22" s="10" customFormat="1" x14ac:dyDescent="0.2">
      <c r="B275" s="2007"/>
      <c r="C275" s="2017"/>
      <c r="D275" s="1590"/>
      <c r="E275" s="2019"/>
      <c r="F275" s="1590"/>
      <c r="G275" s="2017"/>
      <c r="H275" s="1590"/>
      <c r="I275" s="2017"/>
      <c r="J275" s="1590"/>
      <c r="K275" s="2018"/>
      <c r="L275" s="2017"/>
      <c r="M275" s="1590"/>
      <c r="N275" s="2017"/>
      <c r="O275" s="1590"/>
      <c r="P275" s="2017"/>
      <c r="Q275" s="2017"/>
      <c r="R275" s="2018"/>
      <c r="S275" s="1590"/>
      <c r="T275" s="2014"/>
      <c r="V275" s="30"/>
    </row>
    <row r="276" spans="2:22" s="10" customFormat="1" x14ac:dyDescent="0.2">
      <c r="B276" s="2007"/>
      <c r="C276" s="2017"/>
      <c r="D276" s="1590"/>
      <c r="E276" s="2019"/>
      <c r="F276" s="1590"/>
      <c r="G276" s="2017"/>
      <c r="H276" s="1590"/>
      <c r="I276" s="2017"/>
      <c r="J276" s="1590"/>
      <c r="K276" s="2018"/>
      <c r="L276" s="2017"/>
      <c r="M276" s="1590"/>
      <c r="N276" s="2017"/>
      <c r="O276" s="1590"/>
      <c r="P276" s="2017"/>
      <c r="Q276" s="2017"/>
      <c r="R276" s="2018"/>
      <c r="S276" s="1590"/>
      <c r="T276" s="2014"/>
      <c r="V276" s="30"/>
    </row>
    <row r="277" spans="2:22" s="10" customFormat="1" x14ac:dyDescent="0.2">
      <c r="B277" s="2007"/>
      <c r="C277" s="2017"/>
      <c r="D277" s="1590"/>
      <c r="E277" s="2019"/>
      <c r="F277" s="1590"/>
      <c r="G277" s="2017"/>
      <c r="H277" s="1590"/>
      <c r="I277" s="2019"/>
      <c r="J277" s="1590"/>
      <c r="K277" s="2018"/>
      <c r="L277" s="2017"/>
      <c r="M277" s="1590"/>
      <c r="N277" s="2019"/>
      <c r="O277" s="1590"/>
      <c r="P277" s="2017"/>
      <c r="Q277" s="2017"/>
      <c r="R277" s="2018"/>
      <c r="S277" s="1590"/>
      <c r="T277" s="2014"/>
      <c r="V277" s="30"/>
    </row>
    <row r="278" spans="2:22" s="10" customFormat="1" x14ac:dyDescent="0.2">
      <c r="B278" s="2007"/>
      <c r="C278" s="2017"/>
      <c r="D278" s="1590"/>
      <c r="E278" s="2019"/>
      <c r="F278" s="1590"/>
      <c r="G278" s="2019"/>
      <c r="H278" s="1590"/>
      <c r="I278" s="2019"/>
      <c r="J278" s="1590"/>
      <c r="K278" s="2020"/>
      <c r="L278" s="2017"/>
      <c r="M278" s="1590"/>
      <c r="N278" s="2019"/>
      <c r="O278" s="1590"/>
      <c r="P278" s="2017"/>
      <c r="Q278" s="2017"/>
      <c r="R278" s="2020"/>
      <c r="S278" s="1590"/>
      <c r="T278" s="2021"/>
      <c r="V278" s="30"/>
    </row>
  </sheetData>
  <sheetProtection formatColumns="0" formatRows="0" selectLockedCells="1"/>
  <mergeCells count="35">
    <mergeCell ref="B105:B107"/>
    <mergeCell ref="B81:B84"/>
    <mergeCell ref="B85:B86"/>
    <mergeCell ref="B59:B80"/>
    <mergeCell ref="B132:C132"/>
    <mergeCell ref="B108:B109"/>
    <mergeCell ref="B111:C111"/>
    <mergeCell ref="B113:C113"/>
    <mergeCell ref="B115:C115"/>
    <mergeCell ref="B119:C119"/>
    <mergeCell ref="B121:C121"/>
    <mergeCell ref="B123:C123"/>
    <mergeCell ref="B125:C125"/>
    <mergeCell ref="B126:B128"/>
    <mergeCell ref="B130:C130"/>
    <mergeCell ref="B101:C101"/>
    <mergeCell ref="B103:C103"/>
    <mergeCell ref="B56:C56"/>
    <mergeCell ref="B2:C2"/>
    <mergeCell ref="K2:L2"/>
    <mergeCell ref="B35:B39"/>
    <mergeCell ref="B41:B50"/>
    <mergeCell ref="B54:C54"/>
    <mergeCell ref="B87:B90"/>
    <mergeCell ref="B91:C91"/>
    <mergeCell ref="B93:C93"/>
    <mergeCell ref="B94:B98"/>
    <mergeCell ref="B99:C99"/>
    <mergeCell ref="B57:B58"/>
    <mergeCell ref="P2:R2"/>
    <mergeCell ref="B5:C5"/>
    <mergeCell ref="B6:B11"/>
    <mergeCell ref="B32:C32"/>
    <mergeCell ref="B34:C34"/>
    <mergeCell ref="B12:B31"/>
  </mergeCells>
  <pageMargins left="0.5" right="0.5" top="0.75" bottom="0.75" header="0.4" footer="0.47"/>
  <pageSetup scale="50" fitToHeight="2" orientation="portrait" r:id="rId1"/>
  <headerFooter alignWithMargins="0">
    <oddHeader>&amp;LDraft &amp;D</oddHeader>
    <oddFooter>&amp;L&amp;"Arial,Bold"Jacobs Confidential
&amp;A&amp;C&amp;D&amp;RPage &amp;P</oddFooter>
  </headerFooter>
  <rowBreaks count="2" manualBreakCount="2">
    <brk id="54" max="16383" man="1"/>
    <brk id="1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opLeftCell="C1" zoomScale="85" zoomScaleNormal="85" workbookViewId="0">
      <selection activeCell="F32" sqref="F32"/>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35" customWidth="1"/>
    <col min="13" max="13" width="5.28515625" style="1028" bestFit="1" customWidth="1"/>
    <col min="14" max="25" width="9.140625" style="1028"/>
  </cols>
  <sheetData>
    <row r="1" spans="1:13" ht="12.75" customHeight="1" x14ac:dyDescent="0.2">
      <c r="A1" s="2295" t="s">
        <v>587</v>
      </c>
      <c r="B1" s="2297" t="s">
        <v>673</v>
      </c>
      <c r="C1" s="2304" t="s">
        <v>699</v>
      </c>
      <c r="D1" s="2305"/>
      <c r="E1" s="2305"/>
      <c r="F1" s="2306"/>
      <c r="G1" s="2299" t="s">
        <v>985</v>
      </c>
      <c r="H1" s="2300"/>
      <c r="I1" s="2300"/>
      <c r="J1" s="2297" t="s">
        <v>673</v>
      </c>
      <c r="K1" s="1235"/>
      <c r="L1" s="2320" t="s">
        <v>718</v>
      </c>
      <c r="M1" s="2320"/>
    </row>
    <row r="2" spans="1:13" ht="15" thickBot="1" x14ac:dyDescent="0.25">
      <c r="A2" s="2296"/>
      <c r="B2" s="2298"/>
      <c r="C2" s="1079" t="s">
        <v>566</v>
      </c>
      <c r="D2" s="1080" t="s">
        <v>567</v>
      </c>
      <c r="E2" s="1081" t="s">
        <v>588</v>
      </c>
      <c r="F2" s="1082" t="s">
        <v>405</v>
      </c>
      <c r="G2" s="1046" t="s">
        <v>566</v>
      </c>
      <c r="H2" s="1047" t="s">
        <v>567</v>
      </c>
      <c r="I2" s="1043" t="s">
        <v>588</v>
      </c>
      <c r="J2" s="2298"/>
      <c r="K2" s="1228"/>
      <c r="L2" s="1166" t="s">
        <v>814</v>
      </c>
      <c r="M2" s="1047" t="s">
        <v>815</v>
      </c>
    </row>
    <row r="3" spans="1:13" x14ac:dyDescent="0.2">
      <c r="A3" s="2291" t="s">
        <v>616</v>
      </c>
      <c r="B3" s="1032" t="s">
        <v>614</v>
      </c>
      <c r="C3" s="1083"/>
      <c r="D3" s="1084"/>
      <c r="E3" s="1085" t="s">
        <v>615</v>
      </c>
      <c r="F3" s="1086" t="s">
        <v>595</v>
      </c>
      <c r="G3" s="1033"/>
      <c r="H3" s="1034"/>
      <c r="I3" s="1035" t="s">
        <v>615</v>
      </c>
      <c r="J3" s="1032" t="s">
        <v>614</v>
      </c>
      <c r="K3" s="1109"/>
      <c r="L3" s="1165">
        <v>0</v>
      </c>
    </row>
    <row r="4" spans="1:13" x14ac:dyDescent="0.2">
      <c r="A4" s="2301"/>
      <c r="B4" s="1036" t="s">
        <v>590</v>
      </c>
      <c r="C4" s="1087">
        <f>D4*0.0929</f>
        <v>0.92899999999999994</v>
      </c>
      <c r="D4" s="1088">
        <v>10</v>
      </c>
      <c r="E4" s="1089" t="s">
        <v>589</v>
      </c>
      <c r="F4" s="1090" t="s">
        <v>595</v>
      </c>
      <c r="G4" s="1037">
        <f>H4*0.0929</f>
        <v>0.92899999999999994</v>
      </c>
      <c r="H4" s="1038">
        <v>10</v>
      </c>
      <c r="I4" s="1039" t="s">
        <v>589</v>
      </c>
      <c r="J4" s="1036" t="s">
        <v>590</v>
      </c>
      <c r="K4" s="1036"/>
      <c r="L4" s="1130">
        <v>0</v>
      </c>
    </row>
    <row r="5" spans="1:13" x14ac:dyDescent="0.2">
      <c r="A5" s="2301"/>
      <c r="B5" s="1036" t="s">
        <v>591</v>
      </c>
      <c r="C5" s="1087">
        <f t="shared" ref="C5:C83" si="0">D5*0.0929</f>
        <v>5.0165999999999995</v>
      </c>
      <c r="D5" s="1088">
        <v>54</v>
      </c>
      <c r="E5" s="1089" t="s">
        <v>679</v>
      </c>
      <c r="F5" s="1090" t="s">
        <v>596</v>
      </c>
      <c r="G5" s="1037">
        <f t="shared" ref="G5:G83" si="1">H5*0.0929</f>
        <v>5.0165999999999995</v>
      </c>
      <c r="H5" s="1038">
        <v>54</v>
      </c>
      <c r="I5" s="1039" t="s">
        <v>679</v>
      </c>
      <c r="J5" s="1036" t="s">
        <v>591</v>
      </c>
      <c r="K5" s="1036"/>
      <c r="L5" s="1130">
        <v>0</v>
      </c>
    </row>
    <row r="6" spans="1:13" x14ac:dyDescent="0.2">
      <c r="A6" s="2301"/>
      <c r="B6" s="1036" t="s">
        <v>259</v>
      </c>
      <c r="C6" s="1087">
        <f t="shared" si="0"/>
        <v>13.377599999999999</v>
      </c>
      <c r="D6" s="1088">
        <v>144</v>
      </c>
      <c r="E6" s="1089" t="s">
        <v>592</v>
      </c>
      <c r="F6" s="1090" t="s">
        <v>596</v>
      </c>
      <c r="G6" s="1118">
        <f t="shared" si="1"/>
        <v>1.3935</v>
      </c>
      <c r="H6" s="1119">
        <v>15</v>
      </c>
      <c r="I6" s="1120" t="s">
        <v>713</v>
      </c>
      <c r="J6" s="1238" t="s">
        <v>259</v>
      </c>
      <c r="K6" s="1121"/>
      <c r="L6" s="1132">
        <v>0</v>
      </c>
    </row>
    <row r="7" spans="1:13" x14ac:dyDescent="0.2">
      <c r="A7" s="2301"/>
      <c r="B7" s="1036" t="s">
        <v>260</v>
      </c>
      <c r="C7" s="1087">
        <f t="shared" si="0"/>
        <v>4.6449999999999996</v>
      </c>
      <c r="D7" s="1088">
        <v>50</v>
      </c>
      <c r="E7" s="1089" t="s">
        <v>592</v>
      </c>
      <c r="F7" s="1090" t="s">
        <v>596</v>
      </c>
      <c r="G7" s="1118">
        <f t="shared" si="1"/>
        <v>9.2899999999999991</v>
      </c>
      <c r="H7" s="1119">
        <v>100</v>
      </c>
      <c r="I7" s="1120" t="s">
        <v>599</v>
      </c>
      <c r="J7" s="1238" t="s">
        <v>260</v>
      </c>
      <c r="K7" s="1121"/>
      <c r="L7" s="1132">
        <v>0</v>
      </c>
    </row>
    <row r="8" spans="1:13" x14ac:dyDescent="0.2">
      <c r="A8" s="2301"/>
      <c r="B8" s="1036" t="s">
        <v>263</v>
      </c>
      <c r="C8" s="1087">
        <f t="shared" si="0"/>
        <v>9.2899999999999991</v>
      </c>
      <c r="D8" s="1088">
        <v>100</v>
      </c>
      <c r="E8" s="1089" t="s">
        <v>593</v>
      </c>
      <c r="F8" s="1090" t="s">
        <v>595</v>
      </c>
      <c r="G8" s="1118">
        <f t="shared" si="1"/>
        <v>1.3935</v>
      </c>
      <c r="H8" s="1119">
        <v>15</v>
      </c>
      <c r="I8" s="1120" t="s">
        <v>713</v>
      </c>
      <c r="J8" s="1036" t="s">
        <v>263</v>
      </c>
      <c r="K8" s="1036"/>
      <c r="L8" s="1130">
        <v>0</v>
      </c>
    </row>
    <row r="9" spans="1:13" x14ac:dyDescent="0.2">
      <c r="A9" s="2301"/>
      <c r="B9" s="1036" t="s">
        <v>598</v>
      </c>
      <c r="C9" s="1087">
        <f t="shared" si="0"/>
        <v>13.934999999999999</v>
      </c>
      <c r="D9" s="1088">
        <v>150</v>
      </c>
      <c r="E9" s="1089" t="s">
        <v>594</v>
      </c>
      <c r="F9" s="1090" t="s">
        <v>595</v>
      </c>
      <c r="G9" s="1037">
        <f t="shared" si="1"/>
        <v>13.934999999999999</v>
      </c>
      <c r="H9" s="1038">
        <v>150</v>
      </c>
      <c r="I9" s="1039" t="s">
        <v>594</v>
      </c>
      <c r="J9" s="1036" t="s">
        <v>598</v>
      </c>
      <c r="K9" s="1036"/>
      <c r="L9" s="1130">
        <v>0</v>
      </c>
    </row>
    <row r="10" spans="1:13" x14ac:dyDescent="0.2">
      <c r="A10" s="2301"/>
      <c r="B10" s="1036" t="s">
        <v>597</v>
      </c>
      <c r="C10" s="1087">
        <f t="shared" si="0"/>
        <v>11.148</v>
      </c>
      <c r="D10" s="1088">
        <v>120</v>
      </c>
      <c r="E10" s="1089" t="s">
        <v>594</v>
      </c>
      <c r="F10" s="1090" t="s">
        <v>595</v>
      </c>
      <c r="G10" s="1037">
        <f t="shared" si="1"/>
        <v>11.148</v>
      </c>
      <c r="H10" s="1038">
        <v>120</v>
      </c>
      <c r="I10" s="1039" t="s">
        <v>594</v>
      </c>
      <c r="J10" s="1036" t="s">
        <v>597</v>
      </c>
      <c r="K10" s="1036"/>
      <c r="L10" s="1130">
        <v>0</v>
      </c>
    </row>
    <row r="11" spans="1:13" x14ac:dyDescent="0.2">
      <c r="A11" s="2301"/>
      <c r="B11" s="1036" t="s">
        <v>437</v>
      </c>
      <c r="C11" s="1087">
        <f t="shared" si="0"/>
        <v>37.159999999999997</v>
      </c>
      <c r="D11" s="1088">
        <v>400</v>
      </c>
      <c r="E11" s="1089" t="s">
        <v>599</v>
      </c>
      <c r="F11" s="1090" t="s">
        <v>600</v>
      </c>
      <c r="G11" s="1037">
        <f t="shared" si="1"/>
        <v>37.159999999999997</v>
      </c>
      <c r="H11" s="1038">
        <v>400</v>
      </c>
      <c r="I11" s="1039" t="s">
        <v>599</v>
      </c>
      <c r="J11" s="1036" t="s">
        <v>437</v>
      </c>
      <c r="K11" s="1036"/>
      <c r="L11" s="1130">
        <v>0</v>
      </c>
    </row>
    <row r="12" spans="1:13" x14ac:dyDescent="0.2">
      <c r="A12" s="2301"/>
      <c r="B12" s="1036" t="s">
        <v>601</v>
      </c>
      <c r="C12" s="1087">
        <f t="shared" si="0"/>
        <v>3.7159999999999997</v>
      </c>
      <c r="D12" s="1088">
        <v>40</v>
      </c>
      <c r="E12" s="1089" t="s">
        <v>599</v>
      </c>
      <c r="F12" s="1090" t="s">
        <v>595</v>
      </c>
      <c r="G12" s="1037">
        <f t="shared" si="1"/>
        <v>3.7159999999999997</v>
      </c>
      <c r="H12" s="1038">
        <v>40</v>
      </c>
      <c r="I12" s="1039" t="s">
        <v>599</v>
      </c>
      <c r="J12" s="2309" t="s">
        <v>892</v>
      </c>
      <c r="K12" s="1121" t="s">
        <v>908</v>
      </c>
      <c r="L12" s="1130">
        <v>0</v>
      </c>
    </row>
    <row r="13" spans="1:13" x14ac:dyDescent="0.2">
      <c r="A13" s="2301"/>
      <c r="B13" s="1036"/>
      <c r="C13" s="1087"/>
      <c r="D13" s="1088"/>
      <c r="E13" s="1089"/>
      <c r="F13" s="1090"/>
      <c r="G13" s="1118">
        <f t="shared" ref="G13" si="2">H13*0.0929</f>
        <v>0.92899999999999994</v>
      </c>
      <c r="H13" s="1119">
        <v>10</v>
      </c>
      <c r="I13" s="1120" t="s">
        <v>599</v>
      </c>
      <c r="J13" s="2310"/>
      <c r="K13" s="1121" t="s">
        <v>894</v>
      </c>
      <c r="L13" s="1132">
        <v>0</v>
      </c>
    </row>
    <row r="14" spans="1:13" x14ac:dyDescent="0.2">
      <c r="A14" s="2301"/>
      <c r="B14" s="1036" t="s">
        <v>1002</v>
      </c>
      <c r="C14" s="1087">
        <f t="shared" si="0"/>
        <v>11.148</v>
      </c>
      <c r="D14" s="1088">
        <v>120</v>
      </c>
      <c r="E14" s="1089" t="s">
        <v>602</v>
      </c>
      <c r="F14" s="1090" t="s">
        <v>596</v>
      </c>
      <c r="G14" s="1037">
        <f t="shared" si="1"/>
        <v>11.148</v>
      </c>
      <c r="H14" s="1038">
        <v>120</v>
      </c>
      <c r="I14" s="1039" t="s">
        <v>602</v>
      </c>
      <c r="J14" s="1036" t="s">
        <v>1002</v>
      </c>
      <c r="K14" s="1036"/>
      <c r="L14" s="1130">
        <v>0</v>
      </c>
    </row>
    <row r="15" spans="1:13" x14ac:dyDescent="0.2">
      <c r="A15" s="2301"/>
      <c r="B15" s="1036"/>
      <c r="C15" s="1087"/>
      <c r="D15" s="1088"/>
      <c r="E15" s="1089"/>
      <c r="F15" s="1090"/>
      <c r="G15" s="1118">
        <f t="shared" si="1"/>
        <v>0.74319999999999997</v>
      </c>
      <c r="H15" s="1119">
        <v>8</v>
      </c>
      <c r="I15" s="1120" t="s">
        <v>713</v>
      </c>
      <c r="J15" s="2309" t="s">
        <v>824</v>
      </c>
      <c r="K15" s="1121" t="s">
        <v>928</v>
      </c>
      <c r="L15" s="2317">
        <v>0</v>
      </c>
    </row>
    <row r="16" spans="1:13" x14ac:dyDescent="0.2">
      <c r="A16" s="2301"/>
      <c r="B16" s="1036"/>
      <c r="C16" s="1087"/>
      <c r="D16" s="1088"/>
      <c r="E16" s="1089"/>
      <c r="F16" s="1090"/>
      <c r="G16" s="1118"/>
      <c r="H16" s="1119"/>
      <c r="I16" s="1120" t="s">
        <v>930</v>
      </c>
      <c r="J16" s="2313"/>
      <c r="K16" s="1121" t="s">
        <v>929</v>
      </c>
      <c r="L16" s="2318"/>
    </row>
    <row r="17" spans="1:14" x14ac:dyDescent="0.2">
      <c r="A17" s="2301"/>
      <c r="B17" s="1036"/>
      <c r="C17" s="1087"/>
      <c r="D17" s="1088"/>
      <c r="E17" s="1089"/>
      <c r="F17" s="1090"/>
      <c r="G17" s="1118"/>
      <c r="H17" s="1119"/>
      <c r="I17" s="1120" t="s">
        <v>599</v>
      </c>
      <c r="J17" s="2310"/>
      <c r="K17" s="1121" t="s">
        <v>931</v>
      </c>
      <c r="L17" s="2319"/>
    </row>
    <row r="18" spans="1:14" x14ac:dyDescent="0.2">
      <c r="A18" s="2301"/>
      <c r="B18" s="1036" t="s">
        <v>603</v>
      </c>
      <c r="C18" s="1087">
        <f t="shared" si="0"/>
        <v>5.9455999999999998</v>
      </c>
      <c r="D18" s="1088">
        <v>64</v>
      </c>
      <c r="E18" s="1089" t="s">
        <v>594</v>
      </c>
      <c r="F18" s="1090" t="s">
        <v>604</v>
      </c>
      <c r="G18" s="1037">
        <f t="shared" si="1"/>
        <v>5.9455999999999998</v>
      </c>
      <c r="H18" s="1038">
        <v>64</v>
      </c>
      <c r="I18" s="1039" t="s">
        <v>594</v>
      </c>
      <c r="J18" s="1036" t="s">
        <v>603</v>
      </c>
      <c r="K18" s="1036"/>
      <c r="L18" s="1130">
        <v>0</v>
      </c>
    </row>
    <row r="19" spans="1:14" x14ac:dyDescent="0.2">
      <c r="A19" s="2301"/>
      <c r="B19" s="1036" t="s">
        <v>439</v>
      </c>
      <c r="C19" s="1087">
        <f t="shared" si="0"/>
        <v>2.2296</v>
      </c>
      <c r="D19" s="1088">
        <v>24</v>
      </c>
      <c r="E19" s="1089" t="s">
        <v>605</v>
      </c>
      <c r="F19" s="1090" t="s">
        <v>606</v>
      </c>
      <c r="G19" s="1037">
        <f t="shared" si="1"/>
        <v>2.2296</v>
      </c>
      <c r="H19" s="1038">
        <v>24</v>
      </c>
      <c r="I19" s="1039" t="s">
        <v>605</v>
      </c>
      <c r="J19" s="1036" t="s">
        <v>439</v>
      </c>
      <c r="K19" s="1036"/>
      <c r="L19" s="1130">
        <v>0</v>
      </c>
    </row>
    <row r="20" spans="1:14" x14ac:dyDescent="0.2">
      <c r="A20" s="2301"/>
      <c r="B20" s="1036" t="s">
        <v>607</v>
      </c>
      <c r="C20" s="1087">
        <f t="shared" si="0"/>
        <v>11.148</v>
      </c>
      <c r="D20" s="1088">
        <v>120</v>
      </c>
      <c r="E20" s="1089" t="s">
        <v>594</v>
      </c>
      <c r="F20" s="1090" t="s">
        <v>606</v>
      </c>
      <c r="G20" s="1037">
        <f t="shared" si="1"/>
        <v>11.148</v>
      </c>
      <c r="H20" s="1038">
        <v>120</v>
      </c>
      <c r="I20" s="1039" t="s">
        <v>594</v>
      </c>
      <c r="J20" s="1036" t="s">
        <v>607</v>
      </c>
      <c r="K20" s="1036"/>
      <c r="L20" s="1130">
        <v>0</v>
      </c>
    </row>
    <row r="21" spans="1:14" x14ac:dyDescent="0.2">
      <c r="A21" s="2301"/>
      <c r="B21" s="1036" t="s">
        <v>608</v>
      </c>
      <c r="C21" s="1087">
        <f t="shared" si="0"/>
        <v>14.863999999999999</v>
      </c>
      <c r="D21" s="1088">
        <v>160</v>
      </c>
      <c r="E21" s="1089" t="s">
        <v>599</v>
      </c>
      <c r="F21" s="1090" t="s">
        <v>606</v>
      </c>
      <c r="G21" s="1037">
        <f t="shared" si="1"/>
        <v>14.863999999999999</v>
      </c>
      <c r="H21" s="1038">
        <v>160</v>
      </c>
      <c r="I21" s="1039" t="s">
        <v>599</v>
      </c>
      <c r="J21" s="1036" t="s">
        <v>608</v>
      </c>
      <c r="K21" s="1036"/>
      <c r="L21" s="1130">
        <v>0</v>
      </c>
    </row>
    <row r="22" spans="1:14" x14ac:dyDescent="0.2">
      <c r="A22" s="2301"/>
      <c r="B22" s="1036" t="s">
        <v>609</v>
      </c>
      <c r="C22" s="1087">
        <f t="shared" si="0"/>
        <v>3.7159999999999997</v>
      </c>
      <c r="D22" s="1088">
        <v>40</v>
      </c>
      <c r="E22" s="1089" t="s">
        <v>594</v>
      </c>
      <c r="F22" s="1090" t="s">
        <v>606</v>
      </c>
      <c r="G22" s="1037">
        <f t="shared" si="1"/>
        <v>3.7159999999999997</v>
      </c>
      <c r="H22" s="1038">
        <v>40</v>
      </c>
      <c r="I22" s="1039" t="s">
        <v>594</v>
      </c>
      <c r="J22" s="1036" t="s">
        <v>983</v>
      </c>
      <c r="K22" s="1036"/>
      <c r="L22" s="1130">
        <v>0</v>
      </c>
    </row>
    <row r="23" spans="1:14" x14ac:dyDescent="0.2">
      <c r="A23" s="2301"/>
      <c r="B23" s="1036" t="s">
        <v>909</v>
      </c>
      <c r="C23" s="1087">
        <f t="shared" si="0"/>
        <v>0.83609999999999995</v>
      </c>
      <c r="D23" s="1088">
        <v>9</v>
      </c>
      <c r="E23" s="1089" t="s">
        <v>680</v>
      </c>
      <c r="F23" s="1090" t="s">
        <v>600</v>
      </c>
      <c r="G23" s="1037">
        <f t="shared" si="1"/>
        <v>0.83609999999999995</v>
      </c>
      <c r="H23" s="1038">
        <v>9</v>
      </c>
      <c r="I23" s="1039" t="s">
        <v>680</v>
      </c>
      <c r="J23" s="1036" t="s">
        <v>909</v>
      </c>
      <c r="K23" s="1036"/>
      <c r="L23" s="1130">
        <v>0</v>
      </c>
    </row>
    <row r="24" spans="1:14" x14ac:dyDescent="0.2">
      <c r="A24" s="2301"/>
      <c r="B24" s="1036" t="s">
        <v>610</v>
      </c>
      <c r="C24" s="1087">
        <f t="shared" si="0"/>
        <v>111.47999999999999</v>
      </c>
      <c r="D24" s="1088">
        <v>1200</v>
      </c>
      <c r="E24" s="1089" t="s">
        <v>599</v>
      </c>
      <c r="F24" s="1090" t="s">
        <v>611</v>
      </c>
      <c r="G24" s="1037">
        <f t="shared" si="1"/>
        <v>111.47999999999999</v>
      </c>
      <c r="H24" s="1038">
        <v>1200</v>
      </c>
      <c r="I24" s="1039" t="s">
        <v>599</v>
      </c>
      <c r="J24" s="1036" t="s">
        <v>610</v>
      </c>
      <c r="K24" s="1036"/>
      <c r="L24" s="1130">
        <v>0</v>
      </c>
    </row>
    <row r="25" spans="1:14" ht="13.5" thickBot="1" x14ac:dyDescent="0.25">
      <c r="A25" s="2302"/>
      <c r="B25" s="1040" t="s">
        <v>436</v>
      </c>
      <c r="C25" s="1091">
        <f t="shared" si="0"/>
        <v>13.934999999999999</v>
      </c>
      <c r="D25" s="1092">
        <v>150</v>
      </c>
      <c r="E25" s="1081" t="s">
        <v>612</v>
      </c>
      <c r="F25" s="1093" t="s">
        <v>613</v>
      </c>
      <c r="G25" s="1041">
        <f t="shared" si="1"/>
        <v>13.934999999999999</v>
      </c>
      <c r="H25" s="1042">
        <v>150</v>
      </c>
      <c r="I25" s="1043" t="s">
        <v>612</v>
      </c>
      <c r="J25" s="1040" t="s">
        <v>436</v>
      </c>
      <c r="K25" s="1040"/>
      <c r="L25" s="1131">
        <f>IF('Interactive Worksheet'!L108="Yes",1,0)</f>
        <v>0</v>
      </c>
    </row>
    <row r="26" spans="1:14" x14ac:dyDescent="0.2">
      <c r="A26" s="2291" t="s">
        <v>642</v>
      </c>
      <c r="B26" s="1032" t="s">
        <v>275</v>
      </c>
      <c r="C26" s="1094">
        <f t="shared" si="0"/>
        <v>11.148</v>
      </c>
      <c r="D26" s="1095">
        <v>120</v>
      </c>
      <c r="E26" s="1085" t="s">
        <v>612</v>
      </c>
      <c r="F26" s="1086" t="s">
        <v>595</v>
      </c>
      <c r="G26" s="1044">
        <f t="shared" si="1"/>
        <v>11.148</v>
      </c>
      <c r="H26" s="1045">
        <v>120</v>
      </c>
      <c r="I26" s="1035" t="s">
        <v>612</v>
      </c>
      <c r="J26" s="1032" t="s">
        <v>1004</v>
      </c>
      <c r="K26" s="1032"/>
      <c r="L26" s="1129">
        <v>1</v>
      </c>
      <c r="M26" s="1028">
        <f>SUM(L26:L51)</f>
        <v>2</v>
      </c>
      <c r="N26" s="1128" t="s">
        <v>759</v>
      </c>
    </row>
    <row r="27" spans="1:14" x14ac:dyDescent="0.2">
      <c r="A27" s="2293"/>
      <c r="B27" s="1036" t="s">
        <v>276</v>
      </c>
      <c r="C27" s="1087">
        <f t="shared" si="0"/>
        <v>32.0505</v>
      </c>
      <c r="D27" s="1088">
        <v>345</v>
      </c>
      <c r="E27" s="1089" t="s">
        <v>612</v>
      </c>
      <c r="F27" s="1090" t="s">
        <v>596</v>
      </c>
      <c r="G27" s="1118">
        <f t="shared" si="1"/>
        <v>11.148</v>
      </c>
      <c r="H27" s="1119">
        <v>120</v>
      </c>
      <c r="I27" s="1039" t="s">
        <v>612</v>
      </c>
      <c r="J27" s="1036" t="s">
        <v>276</v>
      </c>
      <c r="K27" s="1036"/>
      <c r="L27" s="1130">
        <f>IF('Interactive Worksheet'!J178="Yes",1,0)</f>
        <v>0</v>
      </c>
      <c r="M27" s="1028">
        <f>M26-L27-L29-L33-L34</f>
        <v>1</v>
      </c>
      <c r="N27" s="1128" t="s">
        <v>762</v>
      </c>
    </row>
    <row r="28" spans="1:14" x14ac:dyDescent="0.2">
      <c r="A28" s="2293"/>
      <c r="B28" s="1036" t="s">
        <v>284</v>
      </c>
      <c r="C28" s="1087">
        <f t="shared" si="0"/>
        <v>11.148</v>
      </c>
      <c r="D28" s="1088">
        <v>120</v>
      </c>
      <c r="E28" s="1089" t="s">
        <v>594</v>
      </c>
      <c r="F28" s="1090" t="s">
        <v>617</v>
      </c>
      <c r="G28" s="1037">
        <f t="shared" si="1"/>
        <v>11.148</v>
      </c>
      <c r="H28" s="1038">
        <v>120</v>
      </c>
      <c r="I28" s="1039" t="s">
        <v>594</v>
      </c>
      <c r="J28" s="1036" t="s">
        <v>284</v>
      </c>
      <c r="K28" s="1036"/>
      <c r="L28" s="1130">
        <v>0</v>
      </c>
    </row>
    <row r="29" spans="1:14" x14ac:dyDescent="0.2">
      <c r="A29" s="2293"/>
      <c r="B29" s="1036" t="s">
        <v>618</v>
      </c>
      <c r="C29" s="1087">
        <f t="shared" si="0"/>
        <v>11.148</v>
      </c>
      <c r="D29" s="1088">
        <v>120</v>
      </c>
      <c r="E29" s="1089" t="s">
        <v>612</v>
      </c>
      <c r="F29" s="1090" t="s">
        <v>606</v>
      </c>
      <c r="G29" s="1037">
        <f t="shared" si="1"/>
        <v>11.148</v>
      </c>
      <c r="H29" s="1038">
        <v>120</v>
      </c>
      <c r="I29" s="1039" t="s">
        <v>612</v>
      </c>
      <c r="J29" s="1036" t="s">
        <v>618</v>
      </c>
      <c r="K29" s="1036"/>
      <c r="L29" s="1130">
        <f>IF('Interactive Worksheet'!J185="Yes",1,0)</f>
        <v>0</v>
      </c>
    </row>
    <row r="30" spans="1:14" x14ac:dyDescent="0.2">
      <c r="A30" s="2293"/>
      <c r="B30" s="1036"/>
      <c r="C30" s="1087"/>
      <c r="D30" s="1088"/>
      <c r="E30" s="1089"/>
      <c r="F30" s="1090"/>
      <c r="G30" s="1118">
        <f t="shared" si="1"/>
        <v>5.9455999999999998</v>
      </c>
      <c r="H30" s="1119">
        <v>64</v>
      </c>
      <c r="I30" s="1120" t="s">
        <v>599</v>
      </c>
      <c r="J30" s="1121" t="s">
        <v>884</v>
      </c>
      <c r="K30" s="1121"/>
      <c r="L30" s="1132">
        <v>0</v>
      </c>
    </row>
    <row r="31" spans="1:14" x14ac:dyDescent="0.2">
      <c r="A31" s="2293"/>
      <c r="B31" s="1036" t="s">
        <v>279</v>
      </c>
      <c r="C31" s="1087">
        <f t="shared" si="0"/>
        <v>9.2899999999999991</v>
      </c>
      <c r="D31" s="1088">
        <v>100</v>
      </c>
      <c r="E31" s="1089" t="s">
        <v>619</v>
      </c>
      <c r="F31" s="1090" t="s">
        <v>617</v>
      </c>
      <c r="G31" s="1037">
        <f t="shared" si="1"/>
        <v>9.2899999999999991</v>
      </c>
      <c r="H31" s="1038">
        <v>100</v>
      </c>
      <c r="I31" s="1039" t="s">
        <v>619</v>
      </c>
      <c r="J31" s="1036" t="s">
        <v>279</v>
      </c>
      <c r="K31" s="1036"/>
      <c r="L31" s="1130">
        <v>0</v>
      </c>
    </row>
    <row r="32" spans="1:14" x14ac:dyDescent="0.2">
      <c r="A32" s="2293"/>
      <c r="B32" s="1036" t="s">
        <v>620</v>
      </c>
      <c r="C32" s="1087">
        <f t="shared" si="0"/>
        <v>5.9455999999999998</v>
      </c>
      <c r="D32" s="1088">
        <v>64</v>
      </c>
      <c r="E32" s="1089" t="s">
        <v>612</v>
      </c>
      <c r="F32" s="1090" t="s">
        <v>617</v>
      </c>
      <c r="G32" s="1037">
        <f t="shared" si="1"/>
        <v>5.9455999999999998</v>
      </c>
      <c r="H32" s="1038">
        <v>64</v>
      </c>
      <c r="I32" s="1039" t="s">
        <v>612</v>
      </c>
      <c r="J32" s="1036" t="s">
        <v>620</v>
      </c>
      <c r="K32" s="1036"/>
      <c r="L32" s="1130">
        <f>IF('Interactive Worksheet'!J187="Yes",1,0)</f>
        <v>0</v>
      </c>
    </row>
    <row r="33" spans="1:12" x14ac:dyDescent="0.2">
      <c r="A33" s="2293"/>
      <c r="B33" s="1036" t="s">
        <v>285</v>
      </c>
      <c r="C33" s="1087">
        <f t="shared" si="0"/>
        <v>11.148</v>
      </c>
      <c r="D33" s="1088">
        <v>120</v>
      </c>
      <c r="E33" s="1089" t="s">
        <v>612</v>
      </c>
      <c r="F33" s="1090" t="s">
        <v>606</v>
      </c>
      <c r="G33" s="1037">
        <f t="shared" si="1"/>
        <v>11.148</v>
      </c>
      <c r="H33" s="1038">
        <v>120</v>
      </c>
      <c r="I33" s="1039" t="s">
        <v>612</v>
      </c>
      <c r="J33" s="1036" t="s">
        <v>285</v>
      </c>
      <c r="K33" s="1036"/>
      <c r="L33" s="1130">
        <f>IF('Interactive Worksheet'!J189="Yes",1,0)</f>
        <v>1</v>
      </c>
    </row>
    <row r="34" spans="1:12" x14ac:dyDescent="0.2">
      <c r="A34" s="2293"/>
      <c r="B34" s="1036" t="s">
        <v>446</v>
      </c>
      <c r="C34" s="1087">
        <f t="shared" si="0"/>
        <v>11.148</v>
      </c>
      <c r="D34" s="1088">
        <v>120</v>
      </c>
      <c r="E34" s="1089" t="s">
        <v>612</v>
      </c>
      <c r="F34" s="1090" t="s">
        <v>606</v>
      </c>
      <c r="G34" s="1037">
        <f t="shared" si="1"/>
        <v>11.148</v>
      </c>
      <c r="H34" s="1038">
        <v>120</v>
      </c>
      <c r="I34" s="1039" t="s">
        <v>612</v>
      </c>
      <c r="J34" s="1036" t="s">
        <v>446</v>
      </c>
      <c r="K34" s="1036"/>
      <c r="L34" s="1130">
        <f>IF('Interactive Worksheet'!J192="Yes",1,0)</f>
        <v>0</v>
      </c>
    </row>
    <row r="35" spans="1:12" x14ac:dyDescent="0.2">
      <c r="A35" s="2293"/>
      <c r="B35" s="1036" t="s">
        <v>621</v>
      </c>
      <c r="C35" s="1087">
        <f t="shared" si="0"/>
        <v>4.4592000000000001</v>
      </c>
      <c r="D35" s="1088">
        <v>48</v>
      </c>
      <c r="E35" s="1089" t="s">
        <v>622</v>
      </c>
      <c r="F35" s="1090" t="s">
        <v>623</v>
      </c>
      <c r="G35" s="1118">
        <f t="shared" si="1"/>
        <v>5.9455999999999998</v>
      </c>
      <c r="H35" s="1119">
        <v>64</v>
      </c>
      <c r="I35" s="1039" t="s">
        <v>622</v>
      </c>
      <c r="J35" s="1036" t="s">
        <v>916</v>
      </c>
      <c r="K35" s="1036"/>
      <c r="L35" s="1130">
        <f>'Interactive Worksheet'!J194</f>
        <v>0</v>
      </c>
    </row>
    <row r="36" spans="1:12" x14ac:dyDescent="0.2">
      <c r="A36" s="2293"/>
      <c r="B36" s="1036" t="s">
        <v>288</v>
      </c>
      <c r="C36" s="1087">
        <f t="shared" si="0"/>
        <v>7.4319999999999995</v>
      </c>
      <c r="D36" s="1088">
        <v>80</v>
      </c>
      <c r="E36" s="1089" t="s">
        <v>612</v>
      </c>
      <c r="F36" s="1090" t="s">
        <v>624</v>
      </c>
      <c r="G36" s="1037">
        <f t="shared" si="1"/>
        <v>7.4319999999999995</v>
      </c>
      <c r="H36" s="1038">
        <v>80</v>
      </c>
      <c r="I36" s="1039" t="s">
        <v>612</v>
      </c>
      <c r="J36" s="1036" t="s">
        <v>288</v>
      </c>
      <c r="K36" s="1036"/>
      <c r="L36" s="1130">
        <f>IF('Interactive Worksheet'!J196="Yes",1,0)</f>
        <v>0</v>
      </c>
    </row>
    <row r="37" spans="1:12" x14ac:dyDescent="0.2">
      <c r="A37" s="2293"/>
      <c r="B37" s="1036" t="s">
        <v>625</v>
      </c>
      <c r="C37" s="1087">
        <f t="shared" si="0"/>
        <v>11.148</v>
      </c>
      <c r="D37" s="1088">
        <v>120</v>
      </c>
      <c r="E37" s="1089" t="s">
        <v>612</v>
      </c>
      <c r="F37" s="1090" t="s">
        <v>606</v>
      </c>
      <c r="G37" s="1037">
        <f t="shared" si="1"/>
        <v>11.148</v>
      </c>
      <c r="H37" s="1038">
        <v>120</v>
      </c>
      <c r="I37" s="1039" t="s">
        <v>612</v>
      </c>
      <c r="J37" s="1036" t="s">
        <v>625</v>
      </c>
      <c r="K37" s="1036"/>
      <c r="L37" s="1130">
        <f>IF('Interactive Worksheet'!J198="Yes",1,0)</f>
        <v>0</v>
      </c>
    </row>
    <row r="38" spans="1:12" x14ac:dyDescent="0.2">
      <c r="A38" s="2293"/>
      <c r="B38" s="1036" t="s">
        <v>290</v>
      </c>
      <c r="C38" s="1087">
        <f t="shared" si="0"/>
        <v>7.4319999999999995</v>
      </c>
      <c r="D38" s="1088">
        <v>80</v>
      </c>
      <c r="E38" s="1089" t="s">
        <v>612</v>
      </c>
      <c r="F38" s="1090" t="s">
        <v>606</v>
      </c>
      <c r="G38" s="1037">
        <f t="shared" si="1"/>
        <v>7.4319999999999995</v>
      </c>
      <c r="H38" s="1038">
        <v>80</v>
      </c>
      <c r="I38" s="1039" t="s">
        <v>612</v>
      </c>
      <c r="J38" s="1036" t="s">
        <v>290</v>
      </c>
      <c r="K38" s="1036"/>
      <c r="L38" s="1130">
        <f>IF('Interactive Worksheet'!J200="Yes",1,0)</f>
        <v>0</v>
      </c>
    </row>
    <row r="39" spans="1:12" x14ac:dyDescent="0.2">
      <c r="A39" s="2293"/>
      <c r="B39" s="1036"/>
      <c r="C39" s="1087"/>
      <c r="D39" s="1088"/>
      <c r="E39" s="1089"/>
      <c r="F39" s="1090"/>
      <c r="G39" s="1118">
        <f t="shared" si="1"/>
        <v>1.2077</v>
      </c>
      <c r="H39" s="1119">
        <v>13</v>
      </c>
      <c r="I39" s="1120" t="s">
        <v>723</v>
      </c>
      <c r="J39" s="1121" t="s">
        <v>722</v>
      </c>
      <c r="K39" s="1121"/>
      <c r="L39" s="1132">
        <v>0</v>
      </c>
    </row>
    <row r="40" spans="1:12" x14ac:dyDescent="0.2">
      <c r="A40" s="2293"/>
      <c r="B40" s="1036"/>
      <c r="C40" s="1087"/>
      <c r="D40" s="1088"/>
      <c r="E40" s="1089"/>
      <c r="F40" s="1090"/>
      <c r="G40" s="1118">
        <f t="shared" si="1"/>
        <v>0</v>
      </c>
      <c r="H40" s="1119">
        <v>0</v>
      </c>
      <c r="I40" s="1120" t="s">
        <v>599</v>
      </c>
      <c r="J40" s="2309" t="s">
        <v>917</v>
      </c>
      <c r="K40" s="1121" t="s">
        <v>837</v>
      </c>
      <c r="L40" s="2317">
        <f>IF(NOT('Interactive Worksheet'!F205=K40),1,0)</f>
        <v>0</v>
      </c>
    </row>
    <row r="41" spans="1:12" x14ac:dyDescent="0.2">
      <c r="A41" s="2293"/>
      <c r="B41" s="1036"/>
      <c r="C41" s="1087"/>
      <c r="D41" s="1088"/>
      <c r="E41" s="1089"/>
      <c r="F41" s="1090"/>
      <c r="G41" s="1118">
        <f t="shared" si="1"/>
        <v>5.9455999999999998</v>
      </c>
      <c r="H41" s="1119">
        <v>64</v>
      </c>
      <c r="I41" s="1120" t="s">
        <v>599</v>
      </c>
      <c r="J41" s="2313"/>
      <c r="K41" s="1121" t="s">
        <v>836</v>
      </c>
      <c r="L41" s="2318"/>
    </row>
    <row r="42" spans="1:12" x14ac:dyDescent="0.2">
      <c r="A42" s="2293"/>
      <c r="B42" s="1036"/>
      <c r="C42" s="1087"/>
      <c r="D42" s="1088"/>
      <c r="E42" s="1089"/>
      <c r="F42" s="1090"/>
      <c r="G42" s="1118">
        <f t="shared" si="1"/>
        <v>9.2899999999999991</v>
      </c>
      <c r="H42" s="1119">
        <v>100</v>
      </c>
      <c r="I42" s="1120" t="s">
        <v>599</v>
      </c>
      <c r="J42" s="2310"/>
      <c r="K42" s="1121" t="s">
        <v>835</v>
      </c>
      <c r="L42" s="2319"/>
    </row>
    <row r="43" spans="1:12" x14ac:dyDescent="0.2">
      <c r="A43" s="2293"/>
      <c r="B43" s="1036"/>
      <c r="C43" s="1087"/>
      <c r="D43" s="1088"/>
      <c r="E43" s="1089"/>
      <c r="F43" s="1090"/>
      <c r="G43" s="1118">
        <f t="shared" si="1"/>
        <v>9.2899999999999991</v>
      </c>
      <c r="H43" s="1119">
        <v>100</v>
      </c>
      <c r="I43" s="1120" t="s">
        <v>599</v>
      </c>
      <c r="J43" s="1232" t="s">
        <v>988</v>
      </c>
      <c r="K43" s="1121"/>
      <c r="L43" s="1234"/>
    </row>
    <row r="44" spans="1:12" x14ac:dyDescent="0.2">
      <c r="A44" s="2293"/>
      <c r="B44" s="1036" t="s">
        <v>292</v>
      </c>
      <c r="C44" s="1087">
        <f t="shared" si="0"/>
        <v>2.6012</v>
      </c>
      <c r="D44" s="1088">
        <v>28</v>
      </c>
      <c r="E44" s="1089" t="s">
        <v>589</v>
      </c>
      <c r="F44" s="1090" t="s">
        <v>626</v>
      </c>
      <c r="G44" s="1118">
        <f t="shared" si="1"/>
        <v>2.6012</v>
      </c>
      <c r="H44" s="1119">
        <v>28</v>
      </c>
      <c r="I44" s="1120" t="s">
        <v>589</v>
      </c>
      <c r="J44" s="1121" t="s">
        <v>724</v>
      </c>
      <c r="K44" s="1121"/>
      <c r="L44" s="1133">
        <v>0</v>
      </c>
    </row>
    <row r="45" spans="1:12" x14ac:dyDescent="0.2">
      <c r="A45" s="2293"/>
      <c r="B45" s="1036" t="s">
        <v>293</v>
      </c>
      <c r="C45" s="1087">
        <f t="shared" si="0"/>
        <v>7.4319999999999995</v>
      </c>
      <c r="D45" s="1088">
        <v>80</v>
      </c>
      <c r="E45" s="1089" t="s">
        <v>627</v>
      </c>
      <c r="F45" s="1090" t="s">
        <v>628</v>
      </c>
      <c r="G45" s="1037">
        <f t="shared" si="1"/>
        <v>7.4319999999999995</v>
      </c>
      <c r="H45" s="1038">
        <v>80</v>
      </c>
      <c r="I45" s="1039" t="s">
        <v>627</v>
      </c>
      <c r="J45" s="1036" t="s">
        <v>293</v>
      </c>
      <c r="K45" s="1036"/>
      <c r="L45" s="1130">
        <v>0</v>
      </c>
    </row>
    <row r="46" spans="1:12" x14ac:dyDescent="0.2">
      <c r="A46" s="2293"/>
      <c r="B46" s="1036" t="s">
        <v>291</v>
      </c>
      <c r="C46" s="1087">
        <f t="shared" si="0"/>
        <v>9.2899999999999991</v>
      </c>
      <c r="D46" s="1088">
        <v>100</v>
      </c>
      <c r="E46" s="1089" t="s">
        <v>612</v>
      </c>
      <c r="F46" s="1090" t="s">
        <v>596</v>
      </c>
      <c r="G46" s="1037">
        <f t="shared" si="1"/>
        <v>9.2899999999999991</v>
      </c>
      <c r="H46" s="1038">
        <v>100</v>
      </c>
      <c r="I46" s="1039" t="s">
        <v>612</v>
      </c>
      <c r="J46" s="1036" t="s">
        <v>291</v>
      </c>
      <c r="K46" s="1036"/>
      <c r="L46" s="1130">
        <f>IF('Interactive Worksheet'!J209="Yes",1,0)</f>
        <v>0</v>
      </c>
    </row>
    <row r="47" spans="1:12" x14ac:dyDescent="0.2">
      <c r="A47" s="2293"/>
      <c r="B47" s="1036" t="s">
        <v>629</v>
      </c>
      <c r="C47" s="1087">
        <f t="shared" si="0"/>
        <v>13.006</v>
      </c>
      <c r="D47" s="1088">
        <v>140</v>
      </c>
      <c r="E47" s="1089" t="s">
        <v>630</v>
      </c>
      <c r="F47" s="1090" t="s">
        <v>631</v>
      </c>
      <c r="G47" s="2311">
        <f>H47*0.0929</f>
        <v>3.2515000000000001</v>
      </c>
      <c r="H47" s="2307">
        <v>35</v>
      </c>
      <c r="I47" s="2309" t="s">
        <v>709</v>
      </c>
      <c r="J47" s="2309" t="s">
        <v>725</v>
      </c>
      <c r="K47" s="1229"/>
      <c r="L47" s="2317">
        <v>0</v>
      </c>
    </row>
    <row r="48" spans="1:12" x14ac:dyDescent="0.2">
      <c r="A48" s="2293"/>
      <c r="B48" s="1036" t="s">
        <v>632</v>
      </c>
      <c r="C48" s="1087">
        <f t="shared" si="0"/>
        <v>17.651</v>
      </c>
      <c r="D48" s="1088">
        <v>190</v>
      </c>
      <c r="E48" s="1089" t="s">
        <v>633</v>
      </c>
      <c r="F48" s="1090" t="s">
        <v>634</v>
      </c>
      <c r="G48" s="2312"/>
      <c r="H48" s="2308"/>
      <c r="I48" s="2310"/>
      <c r="J48" s="2310"/>
      <c r="K48" s="1230"/>
      <c r="L48" s="2319"/>
    </row>
    <row r="49" spans="1:12" x14ac:dyDescent="0.2">
      <c r="A49" s="2293"/>
      <c r="B49" s="1036" t="s">
        <v>635</v>
      </c>
      <c r="C49" s="1087">
        <f t="shared" si="0"/>
        <v>7.4319999999999995</v>
      </c>
      <c r="D49" s="1088">
        <v>80</v>
      </c>
      <c r="E49" s="1089" t="s">
        <v>599</v>
      </c>
      <c r="F49" s="1090" t="s">
        <v>595</v>
      </c>
      <c r="G49" s="1037">
        <f t="shared" si="1"/>
        <v>7.4319999999999995</v>
      </c>
      <c r="H49" s="1038">
        <v>80</v>
      </c>
      <c r="I49" s="1039" t="s">
        <v>599</v>
      </c>
      <c r="J49" s="1036" t="s">
        <v>635</v>
      </c>
      <c r="K49" s="1036"/>
      <c r="L49" s="1130">
        <v>0</v>
      </c>
    </row>
    <row r="50" spans="1:12" x14ac:dyDescent="0.2">
      <c r="A50" s="2293"/>
      <c r="B50" s="1136"/>
      <c r="C50" s="1137"/>
      <c r="D50" s="1138"/>
      <c r="E50" s="1139"/>
      <c r="F50" s="1140"/>
      <c r="G50" s="1179">
        <f t="shared" si="1"/>
        <v>5.5739999999999998</v>
      </c>
      <c r="H50" s="1180">
        <v>60</v>
      </c>
      <c r="I50" s="1181" t="s">
        <v>594</v>
      </c>
      <c r="J50" s="1182" t="s">
        <v>995</v>
      </c>
      <c r="K50" s="1182"/>
      <c r="L50" s="1233">
        <v>0</v>
      </c>
    </row>
    <row r="51" spans="1:12" ht="13.5" thickBot="1" x14ac:dyDescent="0.25">
      <c r="A51" s="2293"/>
      <c r="B51" s="1136" t="s">
        <v>297</v>
      </c>
      <c r="C51" s="1137">
        <f t="shared" si="0"/>
        <v>1.8579999999999999</v>
      </c>
      <c r="D51" s="1138">
        <v>20</v>
      </c>
      <c r="E51" s="1139" t="s">
        <v>594</v>
      </c>
      <c r="F51" s="1140" t="s">
        <v>595</v>
      </c>
      <c r="G51" s="1141">
        <f t="shared" si="1"/>
        <v>5.5739999999999998</v>
      </c>
      <c r="H51" s="1142">
        <v>60</v>
      </c>
      <c r="I51" s="1143" t="s">
        <v>594</v>
      </c>
      <c r="J51" s="1182" t="s">
        <v>987</v>
      </c>
      <c r="K51" s="1136"/>
      <c r="L51" s="1144">
        <v>0</v>
      </c>
    </row>
    <row r="52" spans="1:12" ht="13.5" thickTop="1" x14ac:dyDescent="0.2">
      <c r="A52" s="2293"/>
      <c r="B52" s="1145" t="s">
        <v>378</v>
      </c>
      <c r="C52" s="1146">
        <f t="shared" si="0"/>
        <v>17.8368</v>
      </c>
      <c r="D52" s="1147">
        <v>192</v>
      </c>
      <c r="E52" s="1148" t="s">
        <v>636</v>
      </c>
      <c r="F52" s="1149" t="s">
        <v>637</v>
      </c>
      <c r="G52" s="1150">
        <f t="shared" si="1"/>
        <v>17.8368</v>
      </c>
      <c r="H52" s="1151">
        <v>192</v>
      </c>
      <c r="I52" s="1152" t="s">
        <v>612</v>
      </c>
      <c r="J52" s="1236" t="s">
        <v>711</v>
      </c>
      <c r="K52" s="1145"/>
      <c r="L52" s="1153">
        <f>IF('Interactive Worksheet'!J237="Yes",1,0)</f>
        <v>0</v>
      </c>
    </row>
    <row r="53" spans="1:12" x14ac:dyDescent="0.2">
      <c r="A53" s="2293"/>
      <c r="B53" s="1036" t="s">
        <v>402</v>
      </c>
      <c r="C53" s="1087">
        <f t="shared" si="0"/>
        <v>5.9455999999999998</v>
      </c>
      <c r="D53" s="1088">
        <v>64</v>
      </c>
      <c r="E53" s="1089" t="s">
        <v>622</v>
      </c>
      <c r="F53" s="1090" t="s">
        <v>638</v>
      </c>
      <c r="G53" s="1037">
        <f t="shared" si="1"/>
        <v>5.9455999999999998</v>
      </c>
      <c r="H53" s="1038">
        <v>64</v>
      </c>
      <c r="I53" s="1039" t="s">
        <v>622</v>
      </c>
      <c r="J53" s="1121" t="s">
        <v>719</v>
      </c>
      <c r="K53" s="1036"/>
      <c r="L53" s="1130">
        <f>'Interactive Worksheet'!J239</f>
        <v>0</v>
      </c>
    </row>
    <row r="54" spans="1:12" x14ac:dyDescent="0.2">
      <c r="A54" s="2293"/>
      <c r="B54" s="1036" t="s">
        <v>309</v>
      </c>
      <c r="C54" s="1087">
        <f t="shared" si="0"/>
        <v>4.4592000000000001</v>
      </c>
      <c r="D54" s="1088">
        <v>48</v>
      </c>
      <c r="E54" s="1089" t="s">
        <v>639</v>
      </c>
      <c r="F54" s="1090" t="s">
        <v>638</v>
      </c>
      <c r="G54" s="1037">
        <f t="shared" si="1"/>
        <v>4.4592000000000001</v>
      </c>
      <c r="H54" s="1038">
        <v>48</v>
      </c>
      <c r="I54" s="1039" t="s">
        <v>639</v>
      </c>
      <c r="J54" s="1121" t="s">
        <v>957</v>
      </c>
      <c r="K54" s="1036"/>
      <c r="L54" s="1130">
        <v>0</v>
      </c>
    </row>
    <row r="55" spans="1:12" x14ac:dyDescent="0.2">
      <c r="A55" s="2293"/>
      <c r="B55" s="1036" t="s">
        <v>310</v>
      </c>
      <c r="C55" s="1087">
        <f t="shared" si="0"/>
        <v>1.8579999999999999</v>
      </c>
      <c r="D55" s="1088">
        <v>20</v>
      </c>
      <c r="E55" s="1089" t="s">
        <v>640</v>
      </c>
      <c r="F55" s="1090" t="s">
        <v>638</v>
      </c>
      <c r="G55" s="1037">
        <f t="shared" si="1"/>
        <v>1.8579999999999999</v>
      </c>
      <c r="H55" s="1038">
        <v>20</v>
      </c>
      <c r="I55" s="1039" t="s">
        <v>640</v>
      </c>
      <c r="J55" s="1121" t="s">
        <v>712</v>
      </c>
      <c r="K55" s="1036"/>
      <c r="L55" s="1130">
        <v>0</v>
      </c>
    </row>
    <row r="56" spans="1:12" ht="13.5" thickBot="1" x14ac:dyDescent="0.25">
      <c r="A56" s="2294"/>
      <c r="B56" s="1040" t="s">
        <v>311</v>
      </c>
      <c r="C56" s="1091">
        <f t="shared" si="0"/>
        <v>5.5739999999999998</v>
      </c>
      <c r="D56" s="1092">
        <v>60</v>
      </c>
      <c r="E56" s="1081" t="s">
        <v>594</v>
      </c>
      <c r="F56" s="1093" t="s">
        <v>641</v>
      </c>
      <c r="G56" s="1041">
        <f t="shared" si="1"/>
        <v>5.5739999999999998</v>
      </c>
      <c r="H56" s="1042">
        <v>60</v>
      </c>
      <c r="I56" s="1043" t="s">
        <v>594</v>
      </c>
      <c r="J56" s="1237" t="s">
        <v>918</v>
      </c>
      <c r="K56" s="1040"/>
      <c r="L56" s="1131">
        <v>0</v>
      </c>
    </row>
    <row r="57" spans="1:12" x14ac:dyDescent="0.2">
      <c r="A57" s="2291" t="s">
        <v>656</v>
      </c>
      <c r="B57" s="1032" t="s">
        <v>643</v>
      </c>
      <c r="C57" s="1094">
        <f t="shared" si="0"/>
        <v>60.199199999999998</v>
      </c>
      <c r="D57" s="1095">
        <v>648</v>
      </c>
      <c r="E57" s="1085" t="s">
        <v>593</v>
      </c>
      <c r="F57" s="1086" t="s">
        <v>644</v>
      </c>
      <c r="G57" s="1171">
        <f t="shared" si="1"/>
        <v>11.148</v>
      </c>
      <c r="H57" s="1172">
        <v>120</v>
      </c>
      <c r="I57" s="1173" t="s">
        <v>713</v>
      </c>
      <c r="J57" s="1174" t="s">
        <v>267</v>
      </c>
      <c r="K57" s="1239"/>
      <c r="L57" s="1240">
        <v>0</v>
      </c>
    </row>
    <row r="58" spans="1:12" x14ac:dyDescent="0.2">
      <c r="A58" s="2293"/>
      <c r="B58" s="1036" t="s">
        <v>645</v>
      </c>
      <c r="C58" s="1087">
        <f t="shared" si="0"/>
        <v>10.033199999999999</v>
      </c>
      <c r="D58" s="1088">
        <v>108</v>
      </c>
      <c r="E58" s="1089" t="s">
        <v>594</v>
      </c>
      <c r="F58" s="1090" t="s">
        <v>646</v>
      </c>
      <c r="G58" s="1037">
        <f t="shared" si="1"/>
        <v>10.033199999999999</v>
      </c>
      <c r="H58" s="1038">
        <v>108</v>
      </c>
      <c r="I58" s="1039" t="s">
        <v>594</v>
      </c>
      <c r="J58" s="2309" t="s">
        <v>913</v>
      </c>
      <c r="K58" s="1036" t="s">
        <v>910</v>
      </c>
      <c r="L58" s="2314">
        <f>'Interactive Worksheet'!I75</f>
        <v>8</v>
      </c>
    </row>
    <row r="59" spans="1:12" x14ac:dyDescent="0.2">
      <c r="A59" s="2293"/>
      <c r="B59" s="1036" t="s">
        <v>647</v>
      </c>
      <c r="C59" s="1087">
        <f t="shared" si="0"/>
        <v>13.006</v>
      </c>
      <c r="D59" s="1088">
        <v>140</v>
      </c>
      <c r="E59" s="1089" t="s">
        <v>594</v>
      </c>
      <c r="F59" s="1090" t="s">
        <v>646</v>
      </c>
      <c r="G59" s="1037">
        <f t="shared" si="1"/>
        <v>13.006</v>
      </c>
      <c r="H59" s="1038">
        <v>140</v>
      </c>
      <c r="I59" s="1039" t="s">
        <v>594</v>
      </c>
      <c r="J59" s="2313"/>
      <c r="K59" s="1036" t="s">
        <v>911</v>
      </c>
      <c r="L59" s="2315"/>
    </row>
    <row r="60" spans="1:12" x14ac:dyDescent="0.2">
      <c r="A60" s="2293"/>
      <c r="B60" s="1036" t="s">
        <v>648</v>
      </c>
      <c r="C60" s="1087">
        <f t="shared" si="0"/>
        <v>9.2899999999999991</v>
      </c>
      <c r="D60" s="1088">
        <v>100</v>
      </c>
      <c r="E60" s="1089" t="s">
        <v>594</v>
      </c>
      <c r="F60" s="1090" t="s">
        <v>646</v>
      </c>
      <c r="G60" s="1037">
        <f t="shared" si="1"/>
        <v>9.2899999999999991</v>
      </c>
      <c r="H60" s="1038">
        <v>100</v>
      </c>
      <c r="I60" s="1039" t="s">
        <v>594</v>
      </c>
      <c r="J60" s="2310"/>
      <c r="K60" s="1036" t="s">
        <v>912</v>
      </c>
      <c r="L60" s="2316"/>
    </row>
    <row r="61" spans="1:12" x14ac:dyDescent="0.2">
      <c r="A61" s="2293"/>
      <c r="B61" s="1036"/>
      <c r="C61" s="1087"/>
      <c r="D61" s="1088"/>
      <c r="E61" s="1089"/>
      <c r="F61" s="1090"/>
      <c r="G61" s="1118">
        <f t="shared" si="1"/>
        <v>9.2899999999999991</v>
      </c>
      <c r="H61" s="1119">
        <v>100</v>
      </c>
      <c r="I61" s="1120" t="s">
        <v>594</v>
      </c>
      <c r="J61" s="1121" t="s">
        <v>901</v>
      </c>
      <c r="K61" s="1121"/>
      <c r="L61" s="1132">
        <v>0</v>
      </c>
    </row>
    <row r="62" spans="1:12" x14ac:dyDescent="0.2">
      <c r="A62" s="2293"/>
      <c r="B62" s="1036"/>
      <c r="C62" s="1087"/>
      <c r="D62" s="1088"/>
      <c r="E62" s="1089"/>
      <c r="F62" s="1090"/>
      <c r="G62" s="1118">
        <f t="shared" si="1"/>
        <v>6.9674999999999994</v>
      </c>
      <c r="H62" s="1119">
        <v>75</v>
      </c>
      <c r="I62" s="1120" t="s">
        <v>594</v>
      </c>
      <c r="J62" s="1121" t="s">
        <v>902</v>
      </c>
      <c r="K62" s="1121"/>
      <c r="L62" s="1132"/>
    </row>
    <row r="63" spans="1:12" x14ac:dyDescent="0.2">
      <c r="A63" s="2293"/>
      <c r="B63" s="1036" t="s">
        <v>649</v>
      </c>
      <c r="C63" s="1087">
        <f t="shared" si="0"/>
        <v>23.224999999999998</v>
      </c>
      <c r="D63" s="1088">
        <v>250</v>
      </c>
      <c r="E63" s="1089" t="s">
        <v>593</v>
      </c>
      <c r="F63" s="1090" t="s">
        <v>595</v>
      </c>
      <c r="G63" s="1118">
        <f t="shared" si="1"/>
        <v>0</v>
      </c>
      <c r="H63" s="1119"/>
      <c r="I63" s="1120" t="s">
        <v>828</v>
      </c>
      <c r="J63" s="1238" t="s">
        <v>649</v>
      </c>
      <c r="K63" s="1121" t="s">
        <v>914</v>
      </c>
      <c r="L63" s="1132">
        <v>0</v>
      </c>
    </row>
    <row r="64" spans="1:12" x14ac:dyDescent="0.2">
      <c r="A64" s="2293"/>
      <c r="B64" s="1036" t="s">
        <v>25</v>
      </c>
      <c r="C64" s="1087">
        <f t="shared" si="0"/>
        <v>40.597299999999997</v>
      </c>
      <c r="D64" s="1088">
        <v>437</v>
      </c>
      <c r="E64" s="1089" t="s">
        <v>599</v>
      </c>
      <c r="F64" s="1090" t="s">
        <v>650</v>
      </c>
      <c r="G64" s="1118">
        <f t="shared" si="1"/>
        <v>5.5739999999999998</v>
      </c>
      <c r="H64" s="1119">
        <v>60</v>
      </c>
      <c r="I64" s="1120" t="s">
        <v>713</v>
      </c>
      <c r="J64" s="1238" t="s">
        <v>25</v>
      </c>
      <c r="K64" s="1121"/>
      <c r="L64" s="1132">
        <v>0</v>
      </c>
    </row>
    <row r="65" spans="1:12" x14ac:dyDescent="0.2">
      <c r="A65" s="2293"/>
      <c r="B65" s="1036" t="s">
        <v>269</v>
      </c>
      <c r="C65" s="1087">
        <f t="shared" si="0"/>
        <v>7.4319999999999995</v>
      </c>
      <c r="D65" s="1088">
        <v>80</v>
      </c>
      <c r="E65" s="1089" t="s">
        <v>593</v>
      </c>
      <c r="F65" s="1090" t="s">
        <v>651</v>
      </c>
      <c r="G65" s="1118">
        <f t="shared" si="1"/>
        <v>1.1148</v>
      </c>
      <c r="H65" s="1119">
        <v>12</v>
      </c>
      <c r="I65" s="1120" t="s">
        <v>713</v>
      </c>
      <c r="J65" s="1036" t="s">
        <v>269</v>
      </c>
      <c r="K65" s="1036"/>
      <c r="L65" s="1130">
        <v>0</v>
      </c>
    </row>
    <row r="66" spans="1:12" x14ac:dyDescent="0.2">
      <c r="A66" s="2293"/>
      <c r="B66" s="1036" t="s">
        <v>652</v>
      </c>
      <c r="C66" s="1087">
        <f t="shared" si="0"/>
        <v>18.579999999999998</v>
      </c>
      <c r="D66" s="1088">
        <v>200</v>
      </c>
      <c r="E66" s="1089" t="s">
        <v>599</v>
      </c>
      <c r="F66" s="1090" t="s">
        <v>624</v>
      </c>
      <c r="G66" s="1037">
        <f t="shared" si="1"/>
        <v>18.579999999999998</v>
      </c>
      <c r="H66" s="1038">
        <v>200</v>
      </c>
      <c r="I66" s="1039" t="s">
        <v>599</v>
      </c>
      <c r="J66" s="1036" t="s">
        <v>652</v>
      </c>
      <c r="K66" s="1036"/>
      <c r="L66" s="1130">
        <v>0</v>
      </c>
    </row>
    <row r="67" spans="1:12" x14ac:dyDescent="0.2">
      <c r="A67" s="2293"/>
      <c r="B67" s="1036" t="s">
        <v>272</v>
      </c>
      <c r="C67" s="1087">
        <f t="shared" si="0"/>
        <v>33.443999999999996</v>
      </c>
      <c r="D67" s="1088">
        <v>360</v>
      </c>
      <c r="E67" s="1089" t="s">
        <v>599</v>
      </c>
      <c r="F67" s="1090" t="s">
        <v>653</v>
      </c>
      <c r="G67" s="1037">
        <f t="shared" si="1"/>
        <v>33.443999999999996</v>
      </c>
      <c r="H67" s="1038">
        <v>360</v>
      </c>
      <c r="I67" s="1039" t="s">
        <v>599</v>
      </c>
      <c r="J67" s="1036" t="s">
        <v>272</v>
      </c>
      <c r="K67" s="1036"/>
      <c r="L67" s="1130">
        <v>0</v>
      </c>
    </row>
    <row r="68" spans="1:12" x14ac:dyDescent="0.2">
      <c r="A68" s="2303"/>
      <c r="B68" s="1136"/>
      <c r="C68" s="1137"/>
      <c r="D68" s="1138"/>
      <c r="E68" s="1139"/>
      <c r="F68" s="1140"/>
      <c r="G68" s="1179">
        <f t="shared" si="1"/>
        <v>3.7159999999999997</v>
      </c>
      <c r="H68" s="1180">
        <v>40</v>
      </c>
      <c r="I68" s="1181" t="s">
        <v>622</v>
      </c>
      <c r="J68" s="1182" t="s">
        <v>899</v>
      </c>
      <c r="K68" s="1182"/>
      <c r="L68" s="1185">
        <v>0</v>
      </c>
    </row>
    <row r="69" spans="1:12" x14ac:dyDescent="0.2">
      <c r="A69" s="2303"/>
      <c r="B69" s="1136"/>
      <c r="C69" s="1137"/>
      <c r="D69" s="1138"/>
      <c r="E69" s="1139"/>
      <c r="F69" s="1140"/>
      <c r="G69" s="1179">
        <f t="shared" si="1"/>
        <v>11.148</v>
      </c>
      <c r="H69" s="1180">
        <v>120</v>
      </c>
      <c r="I69" s="1181" t="s">
        <v>589</v>
      </c>
      <c r="J69" s="1182" t="s">
        <v>839</v>
      </c>
      <c r="K69" s="1182"/>
      <c r="L69" s="1170">
        <f>'Interactive Worksheet'!M161</f>
        <v>2</v>
      </c>
    </row>
    <row r="70" spans="1:12" ht="13.5" thickBot="1" x14ac:dyDescent="0.25">
      <c r="A70" s="2294"/>
      <c r="B70" s="1040" t="s">
        <v>654</v>
      </c>
      <c r="C70" s="1091">
        <f t="shared" si="0"/>
        <v>1.8579999999999999</v>
      </c>
      <c r="D70" s="1092">
        <v>20</v>
      </c>
      <c r="E70" s="1081" t="s">
        <v>655</v>
      </c>
      <c r="F70" s="1093" t="s">
        <v>595</v>
      </c>
      <c r="G70" s="1041">
        <f t="shared" si="1"/>
        <v>1.8579999999999999</v>
      </c>
      <c r="H70" s="1042">
        <v>20</v>
      </c>
      <c r="I70" s="1043" t="s">
        <v>655</v>
      </c>
      <c r="J70" s="1040" t="s">
        <v>992</v>
      </c>
      <c r="K70" s="1040"/>
      <c r="L70" s="1131">
        <v>0</v>
      </c>
    </row>
    <row r="71" spans="1:12" x14ac:dyDescent="0.2">
      <c r="A71" s="2291" t="s">
        <v>672</v>
      </c>
      <c r="B71" s="1032" t="s">
        <v>299</v>
      </c>
      <c r="C71" s="1094">
        <f t="shared" si="0"/>
        <v>11.148</v>
      </c>
      <c r="D71" s="1095">
        <v>120</v>
      </c>
      <c r="E71" s="1085" t="s">
        <v>612</v>
      </c>
      <c r="F71" s="1086" t="s">
        <v>657</v>
      </c>
      <c r="G71" s="1243">
        <f t="shared" si="1"/>
        <v>11.148</v>
      </c>
      <c r="H71" s="1242">
        <v>120</v>
      </c>
      <c r="I71" s="1241" t="s">
        <v>612</v>
      </c>
      <c r="J71" s="1174" t="s">
        <v>823</v>
      </c>
      <c r="K71" s="1239"/>
      <c r="L71" s="1175">
        <f>'Interactive Worksheet'!I250</f>
        <v>0</v>
      </c>
    </row>
    <row r="72" spans="1:12" x14ac:dyDescent="0.2">
      <c r="A72" s="2292"/>
      <c r="B72" s="1109"/>
      <c r="C72" s="1110"/>
      <c r="D72" s="1111"/>
      <c r="E72" s="1112"/>
      <c r="F72" s="1113"/>
      <c r="G72" s="1114">
        <f t="shared" si="1"/>
        <v>5.9455999999999998</v>
      </c>
      <c r="H72" s="1115">
        <v>64</v>
      </c>
      <c r="I72" s="1116" t="s">
        <v>622</v>
      </c>
      <c r="J72" s="1117" t="s">
        <v>813</v>
      </c>
      <c r="K72" s="1117"/>
      <c r="L72" s="1134">
        <f>'Interactive Worksheet'!I252</f>
        <v>0</v>
      </c>
    </row>
    <row r="73" spans="1:12" x14ac:dyDescent="0.2">
      <c r="A73" s="2293"/>
      <c r="B73" s="1036" t="s">
        <v>658</v>
      </c>
      <c r="C73" s="1087">
        <f t="shared" si="0"/>
        <v>18.579999999999998</v>
      </c>
      <c r="D73" s="1088">
        <v>200</v>
      </c>
      <c r="E73" s="1089" t="s">
        <v>599</v>
      </c>
      <c r="F73" s="1090" t="s">
        <v>657</v>
      </c>
      <c r="G73" s="1037">
        <f t="shared" si="1"/>
        <v>18.579999999999998</v>
      </c>
      <c r="H73" s="1038">
        <v>200</v>
      </c>
      <c r="I73" s="1039" t="s">
        <v>599</v>
      </c>
      <c r="J73" s="1121" t="s">
        <v>982</v>
      </c>
      <c r="K73" s="1036"/>
      <c r="L73" s="1130"/>
    </row>
    <row r="74" spans="1:12" x14ac:dyDescent="0.2">
      <c r="A74" s="2293"/>
      <c r="B74" s="1036" t="s">
        <v>301</v>
      </c>
      <c r="C74" s="1087">
        <f t="shared" si="0"/>
        <v>0.92899999999999994</v>
      </c>
      <c r="D74" s="1088">
        <v>10</v>
      </c>
      <c r="E74" s="1089" t="s">
        <v>589</v>
      </c>
      <c r="F74" s="1090" t="s">
        <v>657</v>
      </c>
      <c r="G74" s="1037">
        <f t="shared" si="1"/>
        <v>0.92899999999999994</v>
      </c>
      <c r="H74" s="1038">
        <v>10</v>
      </c>
      <c r="I74" s="1039" t="s">
        <v>589</v>
      </c>
      <c r="J74" s="1121" t="s">
        <v>812</v>
      </c>
      <c r="K74" s="1036"/>
      <c r="L74" s="1130">
        <v>0</v>
      </c>
    </row>
    <row r="75" spans="1:12" x14ac:dyDescent="0.2">
      <c r="A75" s="2293"/>
      <c r="B75" s="1036" t="s">
        <v>659</v>
      </c>
      <c r="C75" s="1087">
        <f t="shared" si="0"/>
        <v>29.727999999999998</v>
      </c>
      <c r="D75" s="1088">
        <v>320</v>
      </c>
      <c r="E75" s="1089" t="s">
        <v>594</v>
      </c>
      <c r="F75" s="1090" t="s">
        <v>606</v>
      </c>
      <c r="G75" s="1118">
        <f t="shared" si="1"/>
        <v>0</v>
      </c>
      <c r="H75" s="1119">
        <v>0</v>
      </c>
      <c r="I75" s="1120" t="s">
        <v>710</v>
      </c>
      <c r="J75" s="1121" t="s">
        <v>659</v>
      </c>
      <c r="K75" s="1121"/>
      <c r="L75" s="1132"/>
    </row>
    <row r="76" spans="1:12" x14ac:dyDescent="0.2">
      <c r="A76" s="2293"/>
      <c r="B76" s="1036" t="s">
        <v>660</v>
      </c>
      <c r="C76" s="1087">
        <f t="shared" si="0"/>
        <v>4.1804999999999994</v>
      </c>
      <c r="D76" s="1088">
        <v>45</v>
      </c>
      <c r="E76" s="1089" t="s">
        <v>594</v>
      </c>
      <c r="F76" s="1090" t="s">
        <v>595</v>
      </c>
      <c r="G76" s="1037">
        <f t="shared" si="1"/>
        <v>5.5739999999999998</v>
      </c>
      <c r="H76" s="1038">
        <v>60</v>
      </c>
      <c r="I76" s="1039" t="s">
        <v>594</v>
      </c>
      <c r="J76" s="1036" t="s">
        <v>915</v>
      </c>
      <c r="K76" s="1036"/>
      <c r="L76" s="1130">
        <v>0</v>
      </c>
    </row>
    <row r="77" spans="1:12" x14ac:dyDescent="0.2">
      <c r="A77" s="2293"/>
      <c r="B77" s="1036" t="s">
        <v>327</v>
      </c>
      <c r="C77" s="1087">
        <f t="shared" si="0"/>
        <v>41.805</v>
      </c>
      <c r="D77" s="1088">
        <v>450</v>
      </c>
      <c r="E77" s="1089" t="s">
        <v>661</v>
      </c>
      <c r="F77" s="1090" t="s">
        <v>595</v>
      </c>
      <c r="G77" s="1118">
        <f t="shared" si="1"/>
        <v>29.263500000000001</v>
      </c>
      <c r="H77" s="1119">
        <v>315</v>
      </c>
      <c r="I77" s="1039" t="s">
        <v>661</v>
      </c>
      <c r="J77" s="1036" t="s">
        <v>327</v>
      </c>
      <c r="K77" s="2289" t="s">
        <v>927</v>
      </c>
      <c r="L77" s="1130">
        <v>0</v>
      </c>
    </row>
    <row r="78" spans="1:12" x14ac:dyDescent="0.2">
      <c r="A78" s="2293"/>
      <c r="B78" s="1036" t="s">
        <v>218</v>
      </c>
      <c r="C78" s="1087">
        <f t="shared" si="0"/>
        <v>41.805</v>
      </c>
      <c r="D78" s="1088">
        <v>450</v>
      </c>
      <c r="E78" s="1089" t="s">
        <v>661</v>
      </c>
      <c r="F78" s="1090" t="s">
        <v>595</v>
      </c>
      <c r="G78" s="1118">
        <f t="shared" si="1"/>
        <v>29.263500000000001</v>
      </c>
      <c r="H78" s="1119">
        <v>315</v>
      </c>
      <c r="I78" s="1039" t="s">
        <v>661</v>
      </c>
      <c r="J78" s="1036" t="s">
        <v>218</v>
      </c>
      <c r="K78" s="2290"/>
      <c r="L78" s="1130">
        <v>0</v>
      </c>
    </row>
    <row r="79" spans="1:12" x14ac:dyDescent="0.2">
      <c r="A79" s="2293"/>
      <c r="B79" s="1036" t="s">
        <v>396</v>
      </c>
      <c r="C79" s="1087">
        <f t="shared" si="0"/>
        <v>14.863999999999999</v>
      </c>
      <c r="D79" s="1088">
        <v>160</v>
      </c>
      <c r="E79" s="1089" t="s">
        <v>662</v>
      </c>
      <c r="F79" s="1090" t="s">
        <v>595</v>
      </c>
      <c r="G79" s="1037">
        <f t="shared" si="1"/>
        <v>14.863999999999999</v>
      </c>
      <c r="H79" s="1038">
        <v>160</v>
      </c>
      <c r="I79" s="1039" t="s">
        <v>662</v>
      </c>
      <c r="J79" s="1036" t="s">
        <v>396</v>
      </c>
      <c r="K79" s="1036"/>
      <c r="L79" s="1130">
        <v>0</v>
      </c>
    </row>
    <row r="80" spans="1:12" x14ac:dyDescent="0.2">
      <c r="A80" s="2293"/>
      <c r="B80" s="1036" t="s">
        <v>663</v>
      </c>
      <c r="C80" s="1087">
        <f t="shared" si="0"/>
        <v>185.79999999999998</v>
      </c>
      <c r="D80" s="1088">
        <v>2000</v>
      </c>
      <c r="E80" s="1089" t="s">
        <v>664</v>
      </c>
      <c r="F80" s="1090" t="s">
        <v>595</v>
      </c>
      <c r="G80" s="1037">
        <f t="shared" si="1"/>
        <v>185.79999999999998</v>
      </c>
      <c r="H80" s="1038">
        <v>2000</v>
      </c>
      <c r="I80" s="1039" t="s">
        <v>664</v>
      </c>
      <c r="J80" s="1036" t="s">
        <v>663</v>
      </c>
      <c r="K80" s="1036"/>
      <c r="L80" s="1130">
        <v>0</v>
      </c>
    </row>
    <row r="81" spans="1:12" x14ac:dyDescent="0.2">
      <c r="A81" s="2293"/>
      <c r="B81" s="1036" t="s">
        <v>665</v>
      </c>
      <c r="C81" s="1087">
        <f t="shared" si="0"/>
        <v>6.9674999999999994</v>
      </c>
      <c r="D81" s="1088">
        <v>75</v>
      </c>
      <c r="E81" s="1089" t="s">
        <v>666</v>
      </c>
      <c r="F81" s="1090" t="s">
        <v>667</v>
      </c>
      <c r="G81" s="1037">
        <f t="shared" si="1"/>
        <v>6.9674999999999994</v>
      </c>
      <c r="H81" s="1038">
        <v>75</v>
      </c>
      <c r="I81" s="1039" t="s">
        <v>666</v>
      </c>
      <c r="J81" s="1036" t="s">
        <v>353</v>
      </c>
      <c r="K81" s="1036"/>
      <c r="L81" s="1130">
        <v>0</v>
      </c>
    </row>
    <row r="82" spans="1:12" x14ac:dyDescent="0.2">
      <c r="A82" s="2293"/>
      <c r="B82" s="1036" t="s">
        <v>354</v>
      </c>
      <c r="C82" s="1087">
        <f t="shared" si="0"/>
        <v>4.4592000000000001</v>
      </c>
      <c r="D82" s="1088">
        <v>48</v>
      </c>
      <c r="E82" s="1089" t="s">
        <v>668</v>
      </c>
      <c r="F82" s="1090" t="s">
        <v>669</v>
      </c>
      <c r="G82" s="1037">
        <f t="shared" si="1"/>
        <v>4.4592000000000001</v>
      </c>
      <c r="H82" s="1038">
        <v>48</v>
      </c>
      <c r="I82" s="1039" t="s">
        <v>668</v>
      </c>
      <c r="J82" s="1036" t="s">
        <v>354</v>
      </c>
      <c r="K82" s="1036"/>
      <c r="L82" s="1130">
        <v>0</v>
      </c>
    </row>
    <row r="83" spans="1:12" ht="13.5" thickBot="1" x14ac:dyDescent="0.25">
      <c r="A83" s="2294"/>
      <c r="B83" s="1040" t="s">
        <v>338</v>
      </c>
      <c r="C83" s="1091">
        <f t="shared" si="0"/>
        <v>13.934999999999999</v>
      </c>
      <c r="D83" s="1092">
        <v>150</v>
      </c>
      <c r="E83" s="1081" t="s">
        <v>670</v>
      </c>
      <c r="F83" s="1093" t="s">
        <v>671</v>
      </c>
      <c r="G83" s="1041">
        <f t="shared" si="1"/>
        <v>13.934999999999999</v>
      </c>
      <c r="H83" s="1042">
        <v>150</v>
      </c>
      <c r="I83" s="1043" t="s">
        <v>670</v>
      </c>
      <c r="J83" s="1040" t="s">
        <v>338</v>
      </c>
      <c r="K83" s="1040"/>
      <c r="L83" s="1131">
        <v>0</v>
      </c>
    </row>
    <row r="84" spans="1:12" x14ac:dyDescent="0.2">
      <c r="L84" s="1135">
        <f>SUM(L3:L83)</f>
        <v>12</v>
      </c>
    </row>
  </sheetData>
  <mergeCells count="23">
    <mergeCell ref="L58:L60"/>
    <mergeCell ref="J15:J17"/>
    <mergeCell ref="L15:L17"/>
    <mergeCell ref="L40:L42"/>
    <mergeCell ref="L1:M1"/>
    <mergeCell ref="J1:J2"/>
    <mergeCell ref="J47:J48"/>
    <mergeCell ref="L47:L48"/>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s>
  <pageMargins left="0.7" right="0.7" top="0.75" bottom="0.75" header="0.3" footer="0.3"/>
  <pageSetup paperSize="3" scale="66"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workbookViewId="0">
      <selection activeCell="E24" sqref="E24"/>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467</v>
      </c>
      <c r="G1" s="865" t="s">
        <v>520</v>
      </c>
      <c r="H1" s="2341" t="s">
        <v>583</v>
      </c>
      <c r="I1" s="2342"/>
      <c r="J1" s="2343"/>
      <c r="K1" s="2344" t="s">
        <v>586</v>
      </c>
      <c r="L1" s="2345"/>
      <c r="M1" s="2346"/>
      <c r="N1" s="2336" t="s">
        <v>570</v>
      </c>
      <c r="O1" s="2337"/>
      <c r="P1" s="2337"/>
      <c r="Q1" s="2337"/>
      <c r="R1" s="2338"/>
      <c r="S1" s="2329" t="s">
        <v>744</v>
      </c>
      <c r="T1" s="2330"/>
      <c r="U1" s="2330"/>
      <c r="V1" s="2330"/>
      <c r="W1" s="2330"/>
      <c r="X1" s="2330"/>
      <c r="Y1" s="2330"/>
      <c r="Z1" s="2330"/>
      <c r="AA1" s="2330"/>
      <c r="AB1" s="2330"/>
      <c r="AC1" s="2330"/>
      <c r="AD1" s="2330"/>
      <c r="AE1" s="2330"/>
      <c r="AF1" s="2330"/>
      <c r="AG1" s="2330"/>
      <c r="AH1" s="2330"/>
      <c r="AI1" s="2330"/>
      <c r="AJ1" s="2331"/>
    </row>
    <row r="2" spans="1:36" ht="13.5" thickBot="1" x14ac:dyDescent="0.25">
      <c r="A2" s="933"/>
      <c r="B2" s="912"/>
      <c r="C2" s="913"/>
      <c r="D2" s="913"/>
      <c r="E2" s="913"/>
      <c r="F2" s="866" t="s">
        <v>480</v>
      </c>
      <c r="G2" s="867" t="s">
        <v>576</v>
      </c>
      <c r="H2" s="1016" t="s">
        <v>584</v>
      </c>
      <c r="I2" s="855" t="s">
        <v>585</v>
      </c>
      <c r="J2" s="1010" t="s">
        <v>521</v>
      </c>
      <c r="K2" s="1020" t="s">
        <v>584</v>
      </c>
      <c r="L2" s="859" t="s">
        <v>585</v>
      </c>
      <c r="M2" s="1010" t="s">
        <v>521</v>
      </c>
      <c r="N2" s="2339" t="s">
        <v>522</v>
      </c>
      <c r="O2" s="2325" t="s">
        <v>526</v>
      </c>
      <c r="P2" s="2325" t="s">
        <v>523</v>
      </c>
      <c r="Q2" s="2325" t="s">
        <v>524</v>
      </c>
      <c r="R2" s="2327" t="s">
        <v>525</v>
      </c>
      <c r="S2" s="1201"/>
      <c r="T2" s="1202"/>
      <c r="U2" s="1202"/>
      <c r="V2" s="1202"/>
      <c r="W2" s="2332" t="s">
        <v>764</v>
      </c>
      <c r="X2" s="2332"/>
      <c r="Y2" s="2332"/>
      <c r="Z2" s="2332"/>
      <c r="AA2" s="2332"/>
      <c r="AB2" s="2332"/>
      <c r="AC2" s="2332"/>
      <c r="AD2" s="2332" t="s">
        <v>750</v>
      </c>
      <c r="AE2" s="2332"/>
      <c r="AF2" s="2332"/>
      <c r="AG2" s="2332"/>
      <c r="AH2" s="2332"/>
      <c r="AI2" s="2332"/>
      <c r="AJ2" s="2335"/>
    </row>
    <row r="3" spans="1:36" ht="13.5" customHeight="1" thickBot="1" x14ac:dyDescent="0.25">
      <c r="A3" s="933"/>
      <c r="B3" s="1100" t="s">
        <v>404</v>
      </c>
      <c r="C3" s="913"/>
      <c r="D3" s="1226" t="s">
        <v>907</v>
      </c>
      <c r="E3" s="914" t="s">
        <v>405</v>
      </c>
      <c r="F3" s="868" t="s">
        <v>499</v>
      </c>
      <c r="G3" s="867" t="s">
        <v>577</v>
      </c>
      <c r="H3" s="1006" t="s">
        <v>576</v>
      </c>
      <c r="I3" s="857" t="s">
        <v>457</v>
      </c>
      <c r="J3" s="1007">
        <v>1</v>
      </c>
      <c r="K3" s="1006" t="s">
        <v>784</v>
      </c>
      <c r="M3" s="779"/>
      <c r="N3" s="2340"/>
      <c r="O3" s="2326"/>
      <c r="P3" s="2326"/>
      <c r="Q3" s="2326"/>
      <c r="R3" s="2328"/>
      <c r="S3" s="1201"/>
      <c r="T3" s="1202"/>
      <c r="U3" s="1202"/>
      <c r="V3" s="1202"/>
      <c r="W3" s="1202"/>
      <c r="X3" s="1202"/>
      <c r="Y3" s="1203" t="s">
        <v>763</v>
      </c>
      <c r="Z3" s="1202">
        <f>'Space Program Data'!M26</f>
        <v>2</v>
      </c>
      <c r="AA3" s="1202">
        <f>ROUNDUP(Z3/2,0)</f>
        <v>1</v>
      </c>
      <c r="AB3" s="1202"/>
      <c r="AC3" s="1198"/>
      <c r="AD3" s="2332" t="s">
        <v>757</v>
      </c>
      <c r="AE3" s="2332" t="str">
        <f>"Male ("&amp;'Interactive Worksheet'!Q69&amp;")"</f>
        <v>Male (6)</v>
      </c>
      <c r="AF3" s="2332"/>
      <c r="AG3" s="2333"/>
      <c r="AH3" s="2332" t="str">
        <f>"Female ("&amp;'Interactive Worksheet'!Q71&amp;")"</f>
        <v>Female (2)</v>
      </c>
      <c r="AI3" s="2332"/>
      <c r="AJ3" s="2334"/>
    </row>
    <row r="4" spans="1:36" ht="13.5" customHeight="1" thickTop="1" x14ac:dyDescent="0.2">
      <c r="A4" s="933"/>
      <c r="B4" s="1101" t="s">
        <v>702</v>
      </c>
      <c r="C4" s="915"/>
      <c r="D4" s="915">
        <f>SUM('Interactive Worksheet'!E38:E41)+IF('Interactive Worksheet'!K48="Yes",'Interactive Worksheet'!R48,0)+IF('Interactive Worksheet'!O50="Yes",'Interactive Worksheet'!R50,0)</f>
        <v>2</v>
      </c>
      <c r="E4" s="915"/>
      <c r="F4" s="866" t="s">
        <v>472</v>
      </c>
      <c r="G4" s="867" t="s">
        <v>576</v>
      </c>
      <c r="H4" s="1008" t="s">
        <v>576</v>
      </c>
      <c r="I4" s="850" t="s">
        <v>463</v>
      </c>
      <c r="J4" s="852">
        <v>1</v>
      </c>
      <c r="M4" s="784"/>
      <c r="N4" s="2340"/>
      <c r="O4" s="2326"/>
      <c r="P4" s="2326"/>
      <c r="Q4" s="2326"/>
      <c r="R4" s="2328"/>
      <c r="S4" s="1201"/>
      <c r="T4" s="1202"/>
      <c r="U4" s="2320" t="s">
        <v>753</v>
      </c>
      <c r="V4" s="1202"/>
      <c r="W4" s="1202"/>
      <c r="X4" s="1202"/>
      <c r="Y4" s="2320" t="s">
        <v>754</v>
      </c>
      <c r="Z4" s="2320" t="s">
        <v>769</v>
      </c>
      <c r="AA4" s="2320" t="s">
        <v>753</v>
      </c>
      <c r="AB4" s="2320" t="s">
        <v>770</v>
      </c>
      <c r="AC4" s="2320" t="s">
        <v>753</v>
      </c>
      <c r="AD4" s="2332"/>
      <c r="AE4" s="2320" t="s">
        <v>754</v>
      </c>
      <c r="AF4" s="2320" t="s">
        <v>756</v>
      </c>
      <c r="AG4" s="2320" t="s">
        <v>753</v>
      </c>
      <c r="AH4" s="2320" t="s">
        <v>754</v>
      </c>
      <c r="AI4" s="2320" t="s">
        <v>756</v>
      </c>
      <c r="AJ4" s="2324" t="s">
        <v>753</v>
      </c>
    </row>
    <row r="5" spans="1:36" ht="12.75" customHeight="1" x14ac:dyDescent="0.2">
      <c r="A5" s="933"/>
      <c r="B5" s="1102" t="s">
        <v>408</v>
      </c>
      <c r="C5" s="915"/>
      <c r="D5" s="915"/>
      <c r="E5" s="915"/>
      <c r="F5" s="868" t="s">
        <v>511</v>
      </c>
      <c r="G5" s="867" t="s">
        <v>578</v>
      </c>
      <c r="H5" s="1008" t="s">
        <v>576</v>
      </c>
      <c r="I5" s="850" t="s">
        <v>458</v>
      </c>
      <c r="J5" s="852">
        <v>1</v>
      </c>
      <c r="M5" s="784"/>
      <c r="N5" s="2340"/>
      <c r="O5" s="2326"/>
      <c r="P5" s="2326"/>
      <c r="Q5" s="2326"/>
      <c r="R5" s="2328"/>
      <c r="S5" s="1200" t="s">
        <v>749</v>
      </c>
      <c r="T5" s="1203" t="s">
        <v>703</v>
      </c>
      <c r="U5" s="2320"/>
      <c r="V5" s="1203" t="s">
        <v>757</v>
      </c>
      <c r="W5" s="1204" t="s">
        <v>765</v>
      </c>
      <c r="X5" s="1197" t="s">
        <v>766</v>
      </c>
      <c r="Y5" s="2320"/>
      <c r="Z5" s="2320"/>
      <c r="AA5" s="2320"/>
      <c r="AB5" s="2320"/>
      <c r="AC5" s="2320"/>
      <c r="AD5" s="2332"/>
      <c r="AE5" s="2320"/>
      <c r="AF5" s="2320"/>
      <c r="AG5" s="2320"/>
      <c r="AH5" s="2320"/>
      <c r="AI5" s="2320"/>
      <c r="AJ5" s="2324"/>
    </row>
    <row r="6" spans="1:36" x14ac:dyDescent="0.2">
      <c r="A6" s="933"/>
      <c r="B6" s="1102" t="s">
        <v>409</v>
      </c>
      <c r="C6" s="915"/>
      <c r="D6" s="915"/>
      <c r="E6" s="915"/>
      <c r="F6" s="868" t="s">
        <v>512</v>
      </c>
      <c r="G6" s="867" t="s">
        <v>578</v>
      </c>
      <c r="H6" s="1008" t="s">
        <v>576</v>
      </c>
      <c r="I6" s="848" t="s">
        <v>459</v>
      </c>
      <c r="J6" s="867">
        <v>1</v>
      </c>
      <c r="M6" s="784"/>
      <c r="N6" s="2340"/>
      <c r="O6" s="2326"/>
      <c r="P6" s="2326"/>
      <c r="Q6" s="2326"/>
      <c r="R6" s="2328"/>
      <c r="S6" s="2321" t="s">
        <v>745</v>
      </c>
      <c r="T6" s="1203" t="s">
        <v>588</v>
      </c>
      <c r="U6" s="1202">
        <v>24</v>
      </c>
      <c r="V6" s="1205" t="s">
        <v>760</v>
      </c>
      <c r="W6" s="1206">
        <f>IF(AA3&gt;50,AA3-X8,AA3)</f>
        <v>1</v>
      </c>
      <c r="X6" s="1206">
        <f>IF(AA3-50&gt;0,AA3-50,0)</f>
        <v>0</v>
      </c>
      <c r="Y6" s="1198">
        <f>ROUNDUP(W6/25,0)+ROUNDUP(X6/50,0)</f>
        <v>1</v>
      </c>
      <c r="Z6" s="1198">
        <f>'Interactive Worksheet'!J229-Z7</f>
        <v>0</v>
      </c>
      <c r="AA6" s="1202">
        <f>U6*Z6</f>
        <v>0</v>
      </c>
      <c r="AB6" s="1198">
        <f>'Interactive Worksheet'!J232-AB7</f>
        <v>1</v>
      </c>
      <c r="AC6" s="1202">
        <f>U6*AB6</f>
        <v>24</v>
      </c>
      <c r="AD6" s="1205" t="s">
        <v>890</v>
      </c>
      <c r="AE6" s="1198">
        <f>ROUNDUP('Interactive Worksheet'!Q69/10,0)</f>
        <v>1</v>
      </c>
      <c r="AF6" s="1198">
        <f>'Interactive Worksheet'!J147</f>
        <v>4</v>
      </c>
      <c r="AG6" s="1202">
        <f>U6*AF6</f>
        <v>96</v>
      </c>
      <c r="AH6" s="1198">
        <f>ROUNDUP('Interactive Worksheet'!Q71/10,0)</f>
        <v>1</v>
      </c>
      <c r="AI6" s="1198">
        <f>'Interactive Worksheet'!J142</f>
        <v>2</v>
      </c>
      <c r="AJ6" s="1207">
        <f>U6*AI6</f>
        <v>48</v>
      </c>
    </row>
    <row r="7" spans="1:36" x14ac:dyDescent="0.2">
      <c r="A7" s="933"/>
      <c r="B7" s="1102" t="s">
        <v>407</v>
      </c>
      <c r="C7" s="915"/>
      <c r="D7" s="915"/>
      <c r="E7" s="915"/>
      <c r="F7" s="868" t="s">
        <v>513</v>
      </c>
      <c r="G7" s="867" t="s">
        <v>578</v>
      </c>
      <c r="H7" s="1008" t="s">
        <v>576</v>
      </c>
      <c r="I7" s="848" t="s">
        <v>461</v>
      </c>
      <c r="J7" s="867">
        <v>1</v>
      </c>
      <c r="M7" s="784"/>
      <c r="N7" s="962"/>
      <c r="O7" s="850"/>
      <c r="P7" s="850"/>
      <c r="Q7" s="850"/>
      <c r="R7" s="873"/>
      <c r="S7" s="2321"/>
      <c r="T7" s="1203" t="s">
        <v>746</v>
      </c>
      <c r="U7" s="1202">
        <v>40</v>
      </c>
      <c r="V7" s="1205"/>
      <c r="W7" s="1206"/>
      <c r="X7" s="1206"/>
      <c r="Y7" s="1198">
        <v>0</v>
      </c>
      <c r="Z7" s="1198">
        <v>1</v>
      </c>
      <c r="AA7" s="1202">
        <f t="shared" ref="AA7:AA9" si="0">U7*Z7</f>
        <v>40</v>
      </c>
      <c r="AB7" s="1198">
        <v>1</v>
      </c>
      <c r="AC7" s="1202">
        <f t="shared" ref="AC7:AC9" si="1">U7*AB7</f>
        <v>40</v>
      </c>
      <c r="AD7" s="1205"/>
      <c r="AE7" s="1198">
        <v>0</v>
      </c>
      <c r="AF7" s="1198">
        <v>0</v>
      </c>
      <c r="AG7" s="1202">
        <f>U7*AF7</f>
        <v>0</v>
      </c>
      <c r="AH7" s="1198">
        <v>0</v>
      </c>
      <c r="AI7" s="1198">
        <v>0</v>
      </c>
      <c r="AJ7" s="1207">
        <f>U7*AI7</f>
        <v>0</v>
      </c>
    </row>
    <row r="8" spans="1:36" ht="13.5" thickBot="1" x14ac:dyDescent="0.25">
      <c r="A8" s="933"/>
      <c r="B8" s="1105" t="s">
        <v>411</v>
      </c>
      <c r="C8" s="915"/>
      <c r="D8" s="915"/>
      <c r="E8" s="915"/>
      <c r="F8" s="868" t="s">
        <v>469</v>
      </c>
      <c r="G8" s="867" t="s">
        <v>576</v>
      </c>
      <c r="H8" s="1008" t="s">
        <v>576</v>
      </c>
      <c r="I8" s="848" t="s">
        <v>460</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199" t="s">
        <v>747</v>
      </c>
      <c r="T8" s="1202"/>
      <c r="U8" s="1202">
        <v>24</v>
      </c>
      <c r="V8" s="1205" t="s">
        <v>761</v>
      </c>
      <c r="W8" s="1206">
        <f>IF(AA3&gt;80,AA3-X8,AA3)</f>
        <v>1</v>
      </c>
      <c r="X8" s="1206">
        <f>IF(AA3-80&gt;0,AA3-80,0)</f>
        <v>0</v>
      </c>
      <c r="Y8" s="1198">
        <f>ROUNDUP(W8/40,0)+ROUNDUP(X8/80,0)</f>
        <v>1</v>
      </c>
      <c r="Z8" s="1198">
        <f>'Interactive Worksheet'!J228</f>
        <v>1</v>
      </c>
      <c r="AA8" s="1202">
        <f t="shared" si="0"/>
        <v>24</v>
      </c>
      <c r="AB8" s="1198">
        <f>'Interactive Worksheet'!J231</f>
        <v>2</v>
      </c>
      <c r="AC8" s="1202">
        <f t="shared" si="1"/>
        <v>48</v>
      </c>
      <c r="AD8" s="1205" t="s">
        <v>890</v>
      </c>
      <c r="AE8" s="1198">
        <f>ROUNDUP('Interactive Worksheet'!Q69/10,0)</f>
        <v>1</v>
      </c>
      <c r="AF8" s="1198">
        <f>'Interactive Worksheet'!J146</f>
        <v>3</v>
      </c>
      <c r="AG8" s="1202">
        <f>U8*AF8</f>
        <v>72</v>
      </c>
      <c r="AH8" s="1198">
        <f>ROUNDUP('Interactive Worksheet'!Q71/10,0)</f>
        <v>1</v>
      </c>
      <c r="AI8" s="1198">
        <f>'Interactive Worksheet'!J141</f>
        <v>2</v>
      </c>
      <c r="AJ8" s="1207">
        <f>U8*AI8</f>
        <v>48</v>
      </c>
    </row>
    <row r="9" spans="1:36" ht="13.5" thickTop="1" x14ac:dyDescent="0.2">
      <c r="A9" s="933"/>
      <c r="B9" s="1101" t="s">
        <v>703</v>
      </c>
      <c r="C9" s="915"/>
      <c r="D9" s="915"/>
      <c r="E9" s="915"/>
      <c r="F9" s="868" t="s">
        <v>486</v>
      </c>
      <c r="G9" s="867" t="s">
        <v>576</v>
      </c>
      <c r="H9" s="1008" t="s">
        <v>576</v>
      </c>
      <c r="I9" s="848" t="s">
        <v>462</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0" t="s">
        <v>748</v>
      </c>
      <c r="T9" s="1203" t="s">
        <v>588</v>
      </c>
      <c r="U9" s="1202">
        <v>24</v>
      </c>
      <c r="V9" s="1205"/>
      <c r="W9" s="1206"/>
      <c r="X9" s="1206"/>
      <c r="Y9" s="1198">
        <f>ROUNDUP('Interactive Worksheet'!M69/8,0)</f>
        <v>0</v>
      </c>
      <c r="Z9" s="1198">
        <v>0</v>
      </c>
      <c r="AA9" s="1202">
        <f t="shared" si="0"/>
        <v>0</v>
      </c>
      <c r="AB9" s="1198">
        <v>0</v>
      </c>
      <c r="AC9" s="1202">
        <f t="shared" si="1"/>
        <v>0</v>
      </c>
      <c r="AD9" s="1205" t="s">
        <v>891</v>
      </c>
      <c r="AE9" s="1198">
        <f>ROUNDUP('Interactive Worksheet'!Q69/8,0)</f>
        <v>1</v>
      </c>
      <c r="AF9" s="1198">
        <f>'Interactive Worksheet'!J148</f>
        <v>2</v>
      </c>
      <c r="AG9" s="1202">
        <f>U9*AF9</f>
        <v>48</v>
      </c>
      <c r="AH9" s="1198">
        <f>ROUNDUP('Interactive Worksheet'!Q71/8,0)</f>
        <v>1</v>
      </c>
      <c r="AI9" s="1198">
        <f>'Interactive Worksheet'!J143</f>
        <v>1</v>
      </c>
      <c r="AJ9" s="1207">
        <f>U9*AI9</f>
        <v>24</v>
      </c>
    </row>
    <row r="10" spans="1:36" x14ac:dyDescent="0.2">
      <c r="A10" s="933"/>
      <c r="B10" s="1103" t="s">
        <v>412</v>
      </c>
      <c r="C10" s="915"/>
      <c r="D10" s="915"/>
      <c r="E10" s="915"/>
      <c r="F10" s="868" t="s">
        <v>500</v>
      </c>
      <c r="G10" s="867" t="s">
        <v>577</v>
      </c>
      <c r="H10" s="1008" t="s">
        <v>576</v>
      </c>
      <c r="I10" s="848" t="s">
        <v>465</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1"/>
      <c r="T10" s="1202"/>
      <c r="U10" s="1202"/>
      <c r="V10" s="1202"/>
      <c r="W10" s="1202"/>
      <c r="X10" s="1202"/>
      <c r="Y10" s="1218"/>
      <c r="Z10" s="1219"/>
      <c r="AA10" s="1202">
        <f>SUM(AA6:AA9)</f>
        <v>64</v>
      </c>
      <c r="AB10" s="1202"/>
      <c r="AC10" s="1202">
        <f>SUM(AC6:AC9)</f>
        <v>112</v>
      </c>
      <c r="AD10" s="1218"/>
      <c r="AE10" s="1219"/>
      <c r="AF10" s="1198"/>
      <c r="AG10" s="1202">
        <f>SUM(AG6:AG9)</f>
        <v>216</v>
      </c>
      <c r="AH10" s="1198"/>
      <c r="AI10" s="1198"/>
      <c r="AJ10" s="1207">
        <f>SUM(AJ6:AJ9)</f>
        <v>120</v>
      </c>
    </row>
    <row r="11" spans="1:36" ht="13.5" thickBot="1" x14ac:dyDescent="0.25">
      <c r="A11" s="933"/>
      <c r="B11" s="1103" t="s">
        <v>414</v>
      </c>
      <c r="C11" s="915"/>
      <c r="D11" s="915"/>
      <c r="E11" s="890"/>
      <c r="F11" s="868" t="s">
        <v>510</v>
      </c>
      <c r="G11" s="867" t="s">
        <v>578</v>
      </c>
      <c r="H11" s="1009" t="s">
        <v>576</v>
      </c>
      <c r="I11" s="858" t="s">
        <v>466</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08"/>
      <c r="T11" s="1209"/>
      <c r="U11" s="1209"/>
      <c r="V11" s="1209"/>
      <c r="W11" s="1209"/>
      <c r="X11" s="1209"/>
      <c r="Y11" s="1218" t="s">
        <v>898</v>
      </c>
      <c r="Z11" s="1227">
        <v>0.3</v>
      </c>
      <c r="AA11" s="1209">
        <f>ROUNDUP(AA10*(1+Z11),0)</f>
        <v>84</v>
      </c>
      <c r="AB11" s="1209"/>
      <c r="AC11" s="1209">
        <f>ROUNDUP(AC10*(1+Z11),0)</f>
        <v>146</v>
      </c>
      <c r="AD11" s="1218" t="s">
        <v>898</v>
      </c>
      <c r="AE11" s="1227">
        <v>0.3</v>
      </c>
      <c r="AF11" s="1210"/>
      <c r="AG11" s="1209">
        <f>ROUNDUP(AG10*(1+AE11),0)</f>
        <v>281</v>
      </c>
      <c r="AH11" s="1210"/>
      <c r="AI11" s="1210"/>
      <c r="AJ11" s="1211">
        <f>ROUNDUP(AJ10*(1+AE11),0)</f>
        <v>156</v>
      </c>
    </row>
    <row r="12" spans="1:36" ht="12.75" customHeight="1" thickTop="1" thickBot="1" x14ac:dyDescent="0.25">
      <c r="A12" s="933"/>
      <c r="B12" s="1104" t="s">
        <v>410</v>
      </c>
      <c r="C12" s="915"/>
      <c r="D12" s="915"/>
      <c r="E12" s="890"/>
      <c r="F12" s="866" t="s">
        <v>491</v>
      </c>
      <c r="G12" s="867" t="s">
        <v>579</v>
      </c>
      <c r="H12" s="1006" t="s">
        <v>579</v>
      </c>
      <c r="I12" s="856" t="s">
        <v>457</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2" t="s">
        <v>896</v>
      </c>
      <c r="T12" s="1213"/>
      <c r="U12" s="1214">
        <v>5</v>
      </c>
      <c r="V12" s="1215" t="s">
        <v>897</v>
      </c>
      <c r="W12" s="1213"/>
      <c r="X12" s="1213"/>
      <c r="Y12" s="1213"/>
      <c r="Z12" s="1213"/>
      <c r="AA12" s="1213"/>
      <c r="AB12" s="1213"/>
      <c r="AC12" s="1213"/>
      <c r="AD12" s="1213"/>
      <c r="AE12" s="1216"/>
      <c r="AF12" s="1216">
        <f>'Interactive Worksheet'!J149</f>
        <v>7</v>
      </c>
      <c r="AG12" s="1213">
        <f>U12*AF12</f>
        <v>35</v>
      </c>
      <c r="AH12" s="1216"/>
      <c r="AI12" s="1216">
        <f>'Interactive Worksheet'!J144</f>
        <v>3</v>
      </c>
      <c r="AJ12" s="1217">
        <f>U12*AI12</f>
        <v>15</v>
      </c>
    </row>
    <row r="13" spans="1:36" ht="14.25" thickTop="1" thickBot="1" x14ac:dyDescent="0.25">
      <c r="A13" s="933"/>
      <c r="B13" s="1106" t="s">
        <v>704</v>
      </c>
      <c r="C13" s="915"/>
      <c r="D13" s="915"/>
      <c r="E13" s="915"/>
      <c r="F13" s="868" t="s">
        <v>484</v>
      </c>
      <c r="G13" s="867" t="s">
        <v>576</v>
      </c>
      <c r="H13" s="1008" t="s">
        <v>579</v>
      </c>
      <c r="I13" s="850" t="s">
        <v>463</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08"/>
      <c r="T13" s="1209"/>
      <c r="U13" s="1209"/>
      <c r="V13" s="1209"/>
      <c r="W13" s="1209"/>
      <c r="X13" s="1209"/>
      <c r="Y13" s="1209"/>
      <c r="Z13" s="1209"/>
      <c r="AA13" s="1209"/>
      <c r="AB13" s="1209"/>
      <c r="AC13" s="1209"/>
      <c r="AD13" s="1218" t="s">
        <v>898</v>
      </c>
      <c r="AE13" s="1227">
        <v>0.3</v>
      </c>
      <c r="AF13" s="1210"/>
      <c r="AG13" s="1210">
        <f>ROUNDUP(AG12*(1+AE13),0)</f>
        <v>46</v>
      </c>
      <c r="AH13" s="1210"/>
      <c r="AI13" s="1210"/>
      <c r="AJ13" s="1220">
        <f>ROUNDUP(AJ12*(1+AE13),0)</f>
        <v>20</v>
      </c>
    </row>
    <row r="14" spans="1:36" ht="14.25" thickTop="1" thickBot="1" x14ac:dyDescent="0.25">
      <c r="A14" s="933"/>
      <c r="B14" s="1103" t="s">
        <v>413</v>
      </c>
      <c r="C14" s="915"/>
      <c r="D14" s="915"/>
      <c r="E14" s="913"/>
      <c r="F14" s="868" t="s">
        <v>508</v>
      </c>
      <c r="G14" s="867" t="s">
        <v>577</v>
      </c>
      <c r="H14" s="1008" t="s">
        <v>579</v>
      </c>
      <c r="I14" s="850" t="s">
        <v>458</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1"/>
      <c r="T14" s="1222"/>
      <c r="U14" s="1222"/>
      <c r="V14" s="1222"/>
      <c r="W14" s="1222"/>
      <c r="X14" s="1222"/>
      <c r="Y14" s="1222"/>
      <c r="Z14" s="1222"/>
      <c r="AA14" s="1222"/>
      <c r="AB14" s="1222"/>
      <c r="AC14" s="1222"/>
      <c r="AD14" s="1222"/>
      <c r="AE14" s="1223"/>
      <c r="AF14" s="1223"/>
      <c r="AG14" s="1222">
        <f>AG11+AG13</f>
        <v>327</v>
      </c>
      <c r="AH14" s="1223"/>
      <c r="AI14" s="1223"/>
      <c r="AJ14" s="1224">
        <f>AJ11+AJ13</f>
        <v>176</v>
      </c>
    </row>
    <row r="15" spans="1:36" ht="14.25" thickTop="1" thickBot="1" x14ac:dyDescent="0.25">
      <c r="A15" s="933"/>
      <c r="B15" s="1104" t="s">
        <v>415</v>
      </c>
      <c r="C15" s="915"/>
      <c r="D15" s="915"/>
      <c r="E15" s="913"/>
      <c r="F15" s="868" t="s">
        <v>506</v>
      </c>
      <c r="G15" s="867" t="s">
        <v>577</v>
      </c>
      <c r="H15" s="1008" t="s">
        <v>579</v>
      </c>
      <c r="I15" s="848" t="s">
        <v>459</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58"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504</v>
      </c>
      <c r="G16" s="867" t="s">
        <v>577</v>
      </c>
      <c r="H16" s="1008" t="s">
        <v>579</v>
      </c>
      <c r="I16" s="848" t="s">
        <v>464</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479</v>
      </c>
      <c r="G17" s="867" t="s">
        <v>576</v>
      </c>
      <c r="H17" s="1008" t="s">
        <v>579</v>
      </c>
      <c r="I17" s="848" t="s">
        <v>460</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493</v>
      </c>
      <c r="G18" s="867" t="s">
        <v>577</v>
      </c>
      <c r="H18" s="1008" t="s">
        <v>579</v>
      </c>
      <c r="I18" s="848" t="s">
        <v>462</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519</v>
      </c>
      <c r="G19" s="867" t="s">
        <v>580</v>
      </c>
      <c r="H19" s="1008" t="s">
        <v>579</v>
      </c>
      <c r="I19" s="848" t="s">
        <v>465</v>
      </c>
      <c r="J19" s="867">
        <v>1</v>
      </c>
      <c r="M19" s="784"/>
      <c r="N19" s="1053">
        <f>N18</f>
        <v>4</v>
      </c>
      <c r="O19" s="2322">
        <f>O18+P18</f>
        <v>4</v>
      </c>
      <c r="P19" s="2322"/>
      <c r="Q19" s="2322">
        <f>Q18+R18</f>
        <v>2</v>
      </c>
      <c r="R19" s="2323"/>
    </row>
    <row r="20" spans="1:18" ht="14.25" thickTop="1" thickBot="1" x14ac:dyDescent="0.25">
      <c r="A20" s="933"/>
      <c r="B20" s="933"/>
      <c r="C20" s="933"/>
      <c r="D20" s="933"/>
      <c r="E20" s="803" t="s">
        <v>438</v>
      </c>
      <c r="F20" s="868" t="s">
        <v>492</v>
      </c>
      <c r="G20" s="867" t="s">
        <v>577</v>
      </c>
      <c r="H20" s="1012" t="s">
        <v>579</v>
      </c>
      <c r="I20" s="854" t="s">
        <v>466</v>
      </c>
      <c r="J20" s="1013">
        <v>1</v>
      </c>
      <c r="M20" s="784"/>
    </row>
    <row r="21" spans="1:18" ht="13.5" customHeight="1" x14ac:dyDescent="0.2">
      <c r="A21" s="933"/>
      <c r="B21" s="933"/>
      <c r="C21" s="933"/>
      <c r="D21" s="933"/>
      <c r="E21" s="803"/>
      <c r="F21" s="866" t="s">
        <v>477</v>
      </c>
      <c r="G21" s="867" t="s">
        <v>576</v>
      </c>
      <c r="H21" s="1014" t="s">
        <v>577</v>
      </c>
      <c r="I21" s="857" t="s">
        <v>457</v>
      </c>
      <c r="J21" s="1007">
        <v>1</v>
      </c>
      <c r="M21" s="784"/>
    </row>
    <row r="22" spans="1:18" x14ac:dyDescent="0.2">
      <c r="A22" s="933"/>
      <c r="B22" s="933"/>
      <c r="C22" s="933"/>
      <c r="D22" s="933"/>
      <c r="E22" s="890"/>
      <c r="F22" s="868" t="s">
        <v>516</v>
      </c>
      <c r="G22" s="867" t="s">
        <v>581</v>
      </c>
      <c r="H22" s="1008" t="s">
        <v>577</v>
      </c>
      <c r="I22" s="850" t="s">
        <v>463</v>
      </c>
      <c r="J22" s="852">
        <v>1</v>
      </c>
      <c r="M22" s="784"/>
    </row>
    <row r="23" spans="1:18" ht="13.5" thickBot="1" x14ac:dyDescent="0.25">
      <c r="A23" s="933"/>
      <c r="B23" s="933"/>
      <c r="C23" s="933"/>
      <c r="D23" s="933"/>
      <c r="E23" s="803"/>
      <c r="F23" s="868" t="s">
        <v>507</v>
      </c>
      <c r="G23" s="867" t="s">
        <v>577</v>
      </c>
      <c r="H23" s="1008" t="s">
        <v>577</v>
      </c>
      <c r="I23" s="850" t="s">
        <v>458</v>
      </c>
      <c r="J23" s="852">
        <v>1</v>
      </c>
      <c r="M23" s="784"/>
    </row>
    <row r="24" spans="1:18" ht="13.5" thickTop="1" x14ac:dyDescent="0.2">
      <c r="A24" s="933"/>
      <c r="B24" s="1101" t="s">
        <v>892</v>
      </c>
      <c r="C24" s="915"/>
      <c r="D24" s="915"/>
      <c r="E24" s="803"/>
      <c r="F24" s="868" t="s">
        <v>494</v>
      </c>
      <c r="G24" s="867" t="s">
        <v>577</v>
      </c>
      <c r="H24" s="1008" t="s">
        <v>577</v>
      </c>
      <c r="I24" s="848" t="s">
        <v>459</v>
      </c>
      <c r="J24" s="867">
        <v>1</v>
      </c>
      <c r="M24" s="784"/>
    </row>
    <row r="25" spans="1:18" x14ac:dyDescent="0.2">
      <c r="A25" s="933"/>
      <c r="B25" s="1103" t="s">
        <v>837</v>
      </c>
      <c r="C25" s="915"/>
      <c r="D25" s="915"/>
      <c r="E25" s="803"/>
      <c r="F25" s="868" t="s">
        <v>501</v>
      </c>
      <c r="G25" s="867" t="s">
        <v>577</v>
      </c>
      <c r="H25" s="1008" t="s">
        <v>577</v>
      </c>
      <c r="I25" s="848" t="s">
        <v>464</v>
      </c>
      <c r="J25" s="867">
        <v>1</v>
      </c>
      <c r="M25" s="784"/>
    </row>
    <row r="26" spans="1:18" x14ac:dyDescent="0.2">
      <c r="A26" s="933"/>
      <c r="B26" s="1103" t="s">
        <v>893</v>
      </c>
      <c r="C26" s="915"/>
      <c r="D26" s="915"/>
      <c r="E26" s="915"/>
      <c r="F26" s="868" t="s">
        <v>487</v>
      </c>
      <c r="G26" s="867" t="s">
        <v>576</v>
      </c>
      <c r="H26" s="1008" t="s">
        <v>577</v>
      </c>
      <c r="I26" s="848" t="s">
        <v>461</v>
      </c>
      <c r="J26" s="867">
        <v>1</v>
      </c>
      <c r="M26" s="784"/>
    </row>
    <row r="27" spans="1:18" ht="13.5" thickBot="1" x14ac:dyDescent="0.25">
      <c r="A27" s="933"/>
      <c r="B27" s="1104" t="s">
        <v>894</v>
      </c>
      <c r="C27" s="915"/>
      <c r="D27" s="915"/>
      <c r="E27" s="915"/>
      <c r="F27" s="868" t="s">
        <v>490</v>
      </c>
      <c r="G27" s="867" t="s">
        <v>576</v>
      </c>
      <c r="H27" s="1008" t="s">
        <v>577</v>
      </c>
      <c r="I27" s="848" t="s">
        <v>460</v>
      </c>
      <c r="J27" s="867">
        <v>1</v>
      </c>
      <c r="M27" s="784"/>
    </row>
    <row r="28" spans="1:18" ht="14.25" thickTop="1" x14ac:dyDescent="0.2">
      <c r="A28" s="933"/>
      <c r="B28" s="918"/>
      <c r="C28" s="915"/>
      <c r="D28" s="915"/>
      <c r="E28" s="915" t="s">
        <v>418</v>
      </c>
      <c r="F28" s="868" t="s">
        <v>482</v>
      </c>
      <c r="G28" s="867" t="s">
        <v>576</v>
      </c>
      <c r="H28" s="1008" t="s">
        <v>577</v>
      </c>
      <c r="I28" s="848" t="s">
        <v>462</v>
      </c>
      <c r="J28" s="867">
        <v>1</v>
      </c>
      <c r="M28" s="784"/>
    </row>
    <row r="29" spans="1:18" ht="13.5" x14ac:dyDescent="0.2">
      <c r="A29" s="933"/>
      <c r="B29" s="918"/>
      <c r="C29" s="915"/>
      <c r="D29" s="915"/>
      <c r="E29" s="915"/>
      <c r="F29" s="868" t="s">
        <v>488</v>
      </c>
      <c r="G29" s="867" t="s">
        <v>576</v>
      </c>
      <c r="H29" s="1008" t="s">
        <v>577</v>
      </c>
      <c r="I29" s="848" t="s">
        <v>465</v>
      </c>
      <c r="J29" s="867">
        <v>1</v>
      </c>
      <c r="M29" s="784"/>
    </row>
    <row r="30" spans="1:18" ht="14.25" thickBot="1" x14ac:dyDescent="0.25">
      <c r="A30" s="933"/>
      <c r="B30" s="918"/>
      <c r="C30" s="915"/>
      <c r="D30" s="915"/>
      <c r="E30" s="915" t="s">
        <v>419</v>
      </c>
      <c r="F30" s="868" t="s">
        <v>489</v>
      </c>
      <c r="G30" s="867" t="s">
        <v>576</v>
      </c>
      <c r="H30" s="1009" t="s">
        <v>577</v>
      </c>
      <c r="I30" s="858" t="s">
        <v>466</v>
      </c>
      <c r="J30" s="1010">
        <v>1</v>
      </c>
      <c r="M30" s="784"/>
    </row>
    <row r="31" spans="1:18" ht="14.25" customHeight="1" x14ac:dyDescent="0.2">
      <c r="A31" s="933"/>
      <c r="B31" s="919"/>
      <c r="C31" s="915"/>
      <c r="D31" s="915"/>
      <c r="E31" s="915" t="s">
        <v>440</v>
      </c>
      <c r="F31" s="868" t="s">
        <v>497</v>
      </c>
      <c r="G31" s="867" t="s">
        <v>577</v>
      </c>
      <c r="H31" s="1006" t="s">
        <v>578</v>
      </c>
      <c r="I31" s="856" t="s">
        <v>457</v>
      </c>
      <c r="J31" s="1011">
        <v>1</v>
      </c>
      <c r="M31" s="784"/>
    </row>
    <row r="32" spans="1:18" x14ac:dyDescent="0.2">
      <c r="A32" s="933"/>
      <c r="B32" s="917"/>
      <c r="C32" s="915"/>
      <c r="D32" s="915"/>
      <c r="E32" s="915"/>
      <c r="F32" s="868" t="s">
        <v>518</v>
      </c>
      <c r="G32" s="867" t="s">
        <v>581</v>
      </c>
      <c r="H32" s="1008" t="s">
        <v>578</v>
      </c>
      <c r="I32" s="850" t="s">
        <v>463</v>
      </c>
      <c r="J32" s="852">
        <v>1</v>
      </c>
      <c r="M32" s="784"/>
    </row>
    <row r="33" spans="1:13" x14ac:dyDescent="0.2">
      <c r="A33" s="933"/>
      <c r="B33" s="917"/>
      <c r="C33" s="915"/>
      <c r="D33" s="915"/>
      <c r="E33" s="913" t="s">
        <v>456</v>
      </c>
      <c r="F33" s="868" t="s">
        <v>515</v>
      </c>
      <c r="G33" s="867" t="s">
        <v>578</v>
      </c>
      <c r="H33" s="1008" t="s">
        <v>578</v>
      </c>
      <c r="I33" s="850" t="s">
        <v>458</v>
      </c>
      <c r="J33" s="852">
        <v>1</v>
      </c>
      <c r="M33" s="784"/>
    </row>
    <row r="34" spans="1:13" x14ac:dyDescent="0.2">
      <c r="A34" s="933"/>
      <c r="B34" s="916"/>
      <c r="C34" s="915"/>
      <c r="D34" s="915"/>
      <c r="E34" s="772"/>
      <c r="F34" s="868" t="s">
        <v>514</v>
      </c>
      <c r="G34" s="867" t="s">
        <v>578</v>
      </c>
      <c r="H34" s="1008" t="s">
        <v>578</v>
      </c>
      <c r="I34" s="848" t="s">
        <v>459</v>
      </c>
      <c r="J34" s="867">
        <v>1</v>
      </c>
      <c r="M34" s="784"/>
    </row>
    <row r="35" spans="1:13" x14ac:dyDescent="0.2">
      <c r="A35" s="933"/>
      <c r="B35" s="920"/>
      <c r="C35" s="915"/>
      <c r="D35" s="915"/>
      <c r="E35" s="772"/>
      <c r="F35" s="868" t="s">
        <v>502</v>
      </c>
      <c r="G35" s="867" t="s">
        <v>577</v>
      </c>
      <c r="H35" s="1008" t="s">
        <v>578</v>
      </c>
      <c r="I35" s="848" t="s">
        <v>464</v>
      </c>
      <c r="J35" s="867">
        <v>2</v>
      </c>
      <c r="M35" s="784"/>
    </row>
    <row r="36" spans="1:13" x14ac:dyDescent="0.2">
      <c r="A36" s="933"/>
      <c r="B36" s="916"/>
      <c r="C36" s="915"/>
      <c r="D36" s="915"/>
      <c r="E36" s="913"/>
      <c r="F36" s="868" t="s">
        <v>503</v>
      </c>
      <c r="G36" s="867" t="s">
        <v>577</v>
      </c>
      <c r="H36" s="1008" t="s">
        <v>578</v>
      </c>
      <c r="I36" s="848" t="s">
        <v>461</v>
      </c>
      <c r="J36" s="867">
        <v>1</v>
      </c>
      <c r="M36" s="784"/>
    </row>
    <row r="37" spans="1:13" x14ac:dyDescent="0.2">
      <c r="A37" s="933"/>
      <c r="B37" s="917"/>
      <c r="C37" s="915"/>
      <c r="D37" s="913"/>
      <c r="E37" s="913"/>
      <c r="F37" s="868" t="s">
        <v>498</v>
      </c>
      <c r="G37" s="867" t="s">
        <v>577</v>
      </c>
      <c r="H37" s="1008" t="s">
        <v>578</v>
      </c>
      <c r="I37" s="848" t="s">
        <v>460</v>
      </c>
      <c r="J37" s="867">
        <v>1</v>
      </c>
      <c r="M37" s="784"/>
    </row>
    <row r="38" spans="1:13" x14ac:dyDescent="0.2">
      <c r="A38" s="933"/>
      <c r="B38" s="917"/>
      <c r="C38" s="915"/>
      <c r="D38" s="913"/>
      <c r="E38" s="890"/>
      <c r="F38" s="868" t="s">
        <v>505</v>
      </c>
      <c r="G38" s="867" t="s">
        <v>577</v>
      </c>
      <c r="H38" s="1008" t="s">
        <v>578</v>
      </c>
      <c r="I38" s="848" t="s">
        <v>462</v>
      </c>
      <c r="J38" s="867">
        <v>1</v>
      </c>
      <c r="M38" s="784"/>
    </row>
    <row r="39" spans="1:13" x14ac:dyDescent="0.2">
      <c r="A39" s="933"/>
      <c r="B39" s="916"/>
      <c r="C39" s="915"/>
      <c r="D39" s="913"/>
      <c r="E39" s="913"/>
      <c r="F39" s="866" t="s">
        <v>473</v>
      </c>
      <c r="G39" s="867" t="s">
        <v>576</v>
      </c>
      <c r="H39" s="1008" t="s">
        <v>578</v>
      </c>
      <c r="I39" s="848" t="s">
        <v>465</v>
      </c>
      <c r="J39" s="867">
        <v>1</v>
      </c>
      <c r="M39" s="784"/>
    </row>
    <row r="40" spans="1:13" ht="13.5" thickBot="1" x14ac:dyDescent="0.25">
      <c r="A40" s="933"/>
      <c r="B40" s="921">
        <f>ROUNDDOWN('Interactive Worksheet'!K25/2,0)</f>
        <v>0</v>
      </c>
      <c r="C40" s="915"/>
      <c r="D40" s="913"/>
      <c r="E40" s="913"/>
      <c r="F40" s="866" t="s">
        <v>481</v>
      </c>
      <c r="G40" s="867" t="s">
        <v>576</v>
      </c>
      <c r="H40" s="1012" t="s">
        <v>578</v>
      </c>
      <c r="I40" s="854" t="s">
        <v>466</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476</v>
      </c>
      <c r="G41" s="867" t="s">
        <v>576</v>
      </c>
      <c r="H41" s="1014" t="s">
        <v>581</v>
      </c>
      <c r="I41" s="857" t="s">
        <v>457</v>
      </c>
      <c r="J41" s="1007">
        <v>1</v>
      </c>
      <c r="M41" s="784"/>
    </row>
    <row r="42" spans="1:13" x14ac:dyDescent="0.2">
      <c r="A42" s="933"/>
      <c r="B42" s="923"/>
      <c r="C42" s="915"/>
      <c r="D42" s="913"/>
      <c r="E42" s="913"/>
      <c r="F42" s="868" t="s">
        <v>509</v>
      </c>
      <c r="G42" s="867" t="s">
        <v>577</v>
      </c>
      <c r="H42" s="1008" t="s">
        <v>581</v>
      </c>
      <c r="I42" s="850" t="s">
        <v>463</v>
      </c>
      <c r="J42" s="852">
        <v>1</v>
      </c>
      <c r="M42" s="784"/>
    </row>
    <row r="43" spans="1:13" x14ac:dyDescent="0.2">
      <c r="A43" s="933"/>
      <c r="B43" s="923"/>
      <c r="C43" s="915"/>
      <c r="D43" s="913"/>
      <c r="E43" s="924"/>
      <c r="F43" s="866" t="s">
        <v>470</v>
      </c>
      <c r="G43" s="867" t="s">
        <v>576</v>
      </c>
      <c r="H43" s="1008" t="s">
        <v>581</v>
      </c>
      <c r="I43" s="850" t="s">
        <v>458</v>
      </c>
      <c r="J43" s="852">
        <v>1</v>
      </c>
      <c r="M43" s="784"/>
    </row>
    <row r="44" spans="1:13" x14ac:dyDescent="0.2">
      <c r="A44" s="933"/>
      <c r="B44" s="923"/>
      <c r="C44" s="915"/>
      <c r="D44" s="913"/>
      <c r="E44" s="913"/>
      <c r="F44" s="868" t="s">
        <v>485</v>
      </c>
      <c r="G44" s="867" t="s">
        <v>576</v>
      </c>
      <c r="H44" s="1008" t="s">
        <v>581</v>
      </c>
      <c r="I44" s="848" t="s">
        <v>459</v>
      </c>
      <c r="J44" s="867">
        <v>1</v>
      </c>
      <c r="M44" s="784"/>
    </row>
    <row r="45" spans="1:13" x14ac:dyDescent="0.2">
      <c r="A45" s="933"/>
      <c r="B45" s="925">
        <v>54</v>
      </c>
      <c r="C45" s="915"/>
      <c r="D45" s="913"/>
      <c r="E45" s="813" t="s">
        <v>441</v>
      </c>
      <c r="F45" s="868" t="s">
        <v>483</v>
      </c>
      <c r="G45" s="867" t="s">
        <v>576</v>
      </c>
      <c r="H45" s="1008" t="s">
        <v>581</v>
      </c>
      <c r="I45" s="848" t="s">
        <v>464</v>
      </c>
      <c r="J45" s="867">
        <v>3</v>
      </c>
      <c r="M45" s="784"/>
    </row>
    <row r="46" spans="1:13" x14ac:dyDescent="0.2">
      <c r="A46" s="933"/>
      <c r="B46" s="923"/>
      <c r="C46" s="915"/>
      <c r="D46" s="913"/>
      <c r="E46" s="813"/>
      <c r="F46" s="868" t="s">
        <v>468</v>
      </c>
      <c r="G46" s="867" t="s">
        <v>576</v>
      </c>
      <c r="H46" s="1008" t="s">
        <v>581</v>
      </c>
      <c r="I46" s="848" t="s">
        <v>460</v>
      </c>
      <c r="J46" s="867">
        <v>2</v>
      </c>
      <c r="M46" s="784"/>
    </row>
    <row r="47" spans="1:13" x14ac:dyDescent="0.2">
      <c r="A47" s="933"/>
      <c r="B47" s="923"/>
      <c r="C47" s="915"/>
      <c r="D47" s="913"/>
      <c r="E47" s="913"/>
      <c r="F47" s="866" t="s">
        <v>471</v>
      </c>
      <c r="G47" s="867" t="s">
        <v>576</v>
      </c>
      <c r="H47" s="1008" t="s">
        <v>581</v>
      </c>
      <c r="I47" s="848" t="s">
        <v>462</v>
      </c>
      <c r="J47" s="867">
        <v>1</v>
      </c>
      <c r="M47" s="784"/>
    </row>
    <row r="48" spans="1:13" x14ac:dyDescent="0.2">
      <c r="A48" s="933"/>
      <c r="B48" s="923">
        <v>288</v>
      </c>
      <c r="C48" s="915"/>
      <c r="D48" s="913"/>
      <c r="E48" s="913"/>
      <c r="F48" s="868" t="s">
        <v>495</v>
      </c>
      <c r="G48" s="867" t="s">
        <v>577</v>
      </c>
      <c r="H48" s="1008" t="s">
        <v>581</v>
      </c>
      <c r="I48" s="848" t="s">
        <v>465</v>
      </c>
      <c r="J48" s="867">
        <v>1</v>
      </c>
      <c r="M48" s="784"/>
    </row>
    <row r="49" spans="1:13" ht="13.5" thickBot="1" x14ac:dyDescent="0.25">
      <c r="A49" s="933"/>
      <c r="B49" s="923"/>
      <c r="C49" s="915"/>
      <c r="D49" s="913"/>
      <c r="E49" s="913"/>
      <c r="F49" s="866" t="s">
        <v>474</v>
      </c>
      <c r="G49" s="867" t="s">
        <v>576</v>
      </c>
      <c r="H49" s="1009" t="s">
        <v>581</v>
      </c>
      <c r="I49" s="858" t="s">
        <v>466</v>
      </c>
      <c r="J49" s="1010">
        <v>1</v>
      </c>
      <c r="M49" s="784"/>
    </row>
    <row r="50" spans="1:13" ht="12.75" customHeight="1" x14ac:dyDescent="0.2">
      <c r="A50" s="933"/>
      <c r="B50" s="923"/>
      <c r="C50" s="915"/>
      <c r="D50" s="913"/>
      <c r="E50" s="913"/>
      <c r="F50" s="866" t="s">
        <v>478</v>
      </c>
      <c r="G50" s="867" t="s">
        <v>576</v>
      </c>
      <c r="H50" s="1006" t="s">
        <v>580</v>
      </c>
      <c r="I50" s="856" t="s">
        <v>457</v>
      </c>
      <c r="J50" s="1011">
        <v>1</v>
      </c>
      <c r="M50" s="784"/>
    </row>
    <row r="51" spans="1:13" x14ac:dyDescent="0.2">
      <c r="A51" s="933"/>
      <c r="B51" s="923">
        <v>100</v>
      </c>
      <c r="C51" s="915"/>
      <c r="D51" s="913"/>
      <c r="E51" s="913"/>
      <c r="F51" s="866" t="s">
        <v>475</v>
      </c>
      <c r="G51" s="867" t="s">
        <v>576</v>
      </c>
      <c r="H51" s="1008" t="s">
        <v>580</v>
      </c>
      <c r="I51" s="850" t="s">
        <v>463</v>
      </c>
      <c r="J51" s="852">
        <v>1</v>
      </c>
      <c r="M51" s="784"/>
    </row>
    <row r="52" spans="1:13" x14ac:dyDescent="0.2">
      <c r="A52" s="933"/>
      <c r="B52" s="923"/>
      <c r="C52" s="915"/>
      <c r="D52" s="913"/>
      <c r="E52" s="913"/>
      <c r="F52" s="868" t="s">
        <v>517</v>
      </c>
      <c r="G52" s="867" t="s">
        <v>581</v>
      </c>
      <c r="H52" s="1008" t="s">
        <v>580</v>
      </c>
      <c r="I52" s="850" t="s">
        <v>458</v>
      </c>
      <c r="J52" s="852">
        <v>1</v>
      </c>
      <c r="M52" s="784"/>
    </row>
    <row r="53" spans="1:13" ht="13.5" thickBot="1" x14ac:dyDescent="0.25">
      <c r="A53" s="933"/>
      <c r="B53" s="923"/>
      <c r="C53" s="915"/>
      <c r="D53" s="913"/>
      <c r="E53" s="913"/>
      <c r="F53" s="869" t="s">
        <v>496</v>
      </c>
      <c r="G53" s="870" t="s">
        <v>577</v>
      </c>
      <c r="H53" s="1008" t="s">
        <v>580</v>
      </c>
      <c r="I53" s="848" t="s">
        <v>459</v>
      </c>
      <c r="J53" s="867">
        <v>1</v>
      </c>
      <c r="M53" s="784"/>
    </row>
    <row r="54" spans="1:13" ht="13.5" thickTop="1" x14ac:dyDescent="0.2">
      <c r="A54" s="933"/>
      <c r="B54" s="923"/>
      <c r="C54" s="915"/>
      <c r="D54" s="913"/>
      <c r="E54" s="913"/>
      <c r="F54" s="784"/>
      <c r="G54" s="846"/>
      <c r="H54" s="1008" t="s">
        <v>580</v>
      </c>
      <c r="I54" s="848" t="s">
        <v>464</v>
      </c>
      <c r="J54" s="867">
        <v>4</v>
      </c>
      <c r="K54" s="784"/>
      <c r="L54" s="784"/>
      <c r="M54" s="846"/>
    </row>
    <row r="55" spans="1:13" x14ac:dyDescent="0.2">
      <c r="A55" s="933"/>
      <c r="B55" s="923"/>
      <c r="C55" s="915"/>
      <c r="D55" s="913"/>
      <c r="E55" s="913"/>
      <c r="F55" s="784"/>
      <c r="G55" s="846"/>
      <c r="H55" s="1008" t="s">
        <v>580</v>
      </c>
      <c r="I55" s="848" t="s">
        <v>460</v>
      </c>
      <c r="J55" s="867">
        <v>2</v>
      </c>
      <c r="K55" s="784"/>
      <c r="L55" s="784"/>
      <c r="M55" s="846"/>
    </row>
    <row r="56" spans="1:13" x14ac:dyDescent="0.2">
      <c r="A56" s="933"/>
      <c r="B56" s="923"/>
      <c r="C56" s="915"/>
      <c r="D56" s="913"/>
      <c r="E56" s="913" t="s">
        <v>442</v>
      </c>
      <c r="F56" s="784"/>
      <c r="G56" s="846"/>
      <c r="H56" s="1008" t="s">
        <v>580</v>
      </c>
      <c r="I56" s="848" t="s">
        <v>462</v>
      </c>
      <c r="J56" s="867">
        <v>1</v>
      </c>
      <c r="K56" s="784"/>
      <c r="L56" s="784"/>
      <c r="M56" s="846"/>
    </row>
    <row r="57" spans="1:13" x14ac:dyDescent="0.2">
      <c r="A57" s="933"/>
      <c r="B57" s="923"/>
      <c r="C57" s="915"/>
      <c r="D57" s="913"/>
      <c r="E57" s="913"/>
      <c r="F57" s="784"/>
      <c r="G57" s="846"/>
      <c r="H57" s="1008" t="s">
        <v>580</v>
      </c>
      <c r="I57" s="848" t="s">
        <v>465</v>
      </c>
      <c r="J57" s="867">
        <v>1</v>
      </c>
      <c r="K57" s="784"/>
      <c r="L57" s="784"/>
      <c r="M57" s="784"/>
    </row>
    <row r="58" spans="1:13" ht="13.5" thickBot="1" x14ac:dyDescent="0.25">
      <c r="A58" s="933"/>
      <c r="B58" s="923">
        <v>300</v>
      </c>
      <c r="C58" s="915"/>
      <c r="D58" s="913"/>
      <c r="E58" s="913" t="s">
        <v>422</v>
      </c>
      <c r="F58" s="784"/>
      <c r="G58" s="846"/>
      <c r="H58" s="1015" t="s">
        <v>580</v>
      </c>
      <c r="I58" s="853" t="s">
        <v>466</v>
      </c>
      <c r="J58" s="870">
        <v>1</v>
      </c>
      <c r="K58" s="784"/>
      <c r="L58" s="784"/>
      <c r="M58" s="784"/>
    </row>
    <row r="59" spans="1:13" ht="13.5" thickTop="1" x14ac:dyDescent="0.2">
      <c r="A59" s="933"/>
      <c r="B59" s="923"/>
      <c r="C59" s="915"/>
      <c r="D59" s="913"/>
      <c r="E59" s="913"/>
      <c r="F59" s="1017"/>
      <c r="G59" s="1018"/>
      <c r="H59" s="2356"/>
      <c r="I59" s="2354" t="s">
        <v>530</v>
      </c>
      <c r="J59" s="2350" t="s">
        <v>529</v>
      </c>
      <c r="K59" s="2352" t="s">
        <v>527</v>
      </c>
      <c r="L59" s="1019"/>
      <c r="M59" s="1018"/>
    </row>
    <row r="60" spans="1:13" x14ac:dyDescent="0.2">
      <c r="A60" s="933"/>
      <c r="B60" s="923"/>
      <c r="C60" s="915"/>
      <c r="D60" s="913"/>
      <c r="E60" s="913" t="s">
        <v>443</v>
      </c>
      <c r="F60" s="783"/>
      <c r="G60" s="783"/>
      <c r="H60" s="2357"/>
      <c r="I60" s="2355"/>
      <c r="J60" s="2351"/>
      <c r="K60" s="2353"/>
      <c r="L60" s="1019"/>
      <c r="M60" s="783"/>
    </row>
    <row r="61" spans="1:13" x14ac:dyDescent="0.2">
      <c r="A61" s="933"/>
      <c r="B61" s="923"/>
      <c r="C61" s="915"/>
      <c r="D61" s="913"/>
      <c r="E61" s="913"/>
      <c r="F61" s="846"/>
      <c r="G61" s="784"/>
      <c r="H61" s="2348" t="s">
        <v>582</v>
      </c>
      <c r="I61" s="848" t="s">
        <v>465</v>
      </c>
      <c r="J61" s="849">
        <v>1</v>
      </c>
      <c r="K61" s="963" t="s">
        <v>522</v>
      </c>
      <c r="L61" s="1018"/>
      <c r="M61" s="784"/>
    </row>
    <row r="62" spans="1:13" x14ac:dyDescent="0.2">
      <c r="A62" s="933"/>
      <c r="B62" s="923">
        <v>120</v>
      </c>
      <c r="C62" s="915"/>
      <c r="D62" s="913"/>
      <c r="E62" s="913"/>
      <c r="F62" s="846"/>
      <c r="G62" s="784"/>
      <c r="H62" s="2348"/>
      <c r="I62" s="848" t="s">
        <v>466</v>
      </c>
      <c r="J62" s="849">
        <v>1</v>
      </c>
      <c r="K62" s="963" t="s">
        <v>522</v>
      </c>
      <c r="L62" s="1018"/>
      <c r="M62" s="784"/>
    </row>
    <row r="63" spans="1:13" x14ac:dyDescent="0.2">
      <c r="A63" s="933"/>
      <c r="B63" s="923"/>
      <c r="C63" s="915"/>
      <c r="D63" s="913"/>
      <c r="E63" s="913"/>
      <c r="F63" s="846"/>
      <c r="G63" s="846"/>
      <c r="H63" s="2348"/>
      <c r="I63" s="848" t="s">
        <v>459</v>
      </c>
      <c r="J63" s="849">
        <v>0</v>
      </c>
      <c r="K63" s="963" t="s">
        <v>526</v>
      </c>
      <c r="L63" s="1018"/>
      <c r="M63" s="846"/>
    </row>
    <row r="64" spans="1:13" x14ac:dyDescent="0.2">
      <c r="A64" s="933"/>
      <c r="B64" s="923"/>
      <c r="C64" s="915"/>
      <c r="D64" s="913"/>
      <c r="E64" s="913"/>
      <c r="F64" s="783"/>
      <c r="G64" s="846"/>
      <c r="H64" s="2348"/>
      <c r="I64" s="848" t="s">
        <v>461</v>
      </c>
      <c r="J64" s="849">
        <v>3</v>
      </c>
      <c r="K64" s="963" t="s">
        <v>524</v>
      </c>
      <c r="L64" s="1018"/>
      <c r="M64" s="846"/>
    </row>
    <row r="65" spans="1:13" x14ac:dyDescent="0.2">
      <c r="A65" s="933"/>
      <c r="B65" s="923">
        <v>64</v>
      </c>
      <c r="C65" s="915"/>
      <c r="D65" s="913"/>
      <c r="E65" s="913" t="s">
        <v>444</v>
      </c>
      <c r="F65" s="846"/>
      <c r="G65" s="846"/>
      <c r="H65" s="2348"/>
      <c r="I65" s="848" t="s">
        <v>457</v>
      </c>
      <c r="J65" s="849">
        <v>4</v>
      </c>
      <c r="K65" s="963" t="s">
        <v>523</v>
      </c>
      <c r="L65" s="1018"/>
      <c r="M65" s="846"/>
    </row>
    <row r="66" spans="1:13" x14ac:dyDescent="0.2">
      <c r="A66" s="933"/>
      <c r="B66" s="923"/>
      <c r="C66" s="915"/>
      <c r="D66" s="913"/>
      <c r="E66" s="913"/>
      <c r="F66" s="846"/>
      <c r="G66" s="846"/>
      <c r="H66" s="2348"/>
      <c r="I66" s="850" t="s">
        <v>463</v>
      </c>
      <c r="J66" s="849">
        <v>4</v>
      </c>
      <c r="K66" s="963" t="s">
        <v>523</v>
      </c>
      <c r="L66" s="1018"/>
      <c r="M66" s="846"/>
    </row>
    <row r="67" spans="1:13" x14ac:dyDescent="0.2">
      <c r="A67" s="933"/>
      <c r="B67" s="923"/>
      <c r="C67" s="915"/>
      <c r="D67" s="913"/>
      <c r="E67" s="913"/>
      <c r="F67" s="846"/>
      <c r="G67" s="846"/>
      <c r="H67" s="2348"/>
      <c r="I67" s="848" t="s">
        <v>464</v>
      </c>
      <c r="J67" s="849">
        <v>3</v>
      </c>
      <c r="K67" s="963" t="s">
        <v>525</v>
      </c>
      <c r="L67" s="1018"/>
      <c r="M67" s="846"/>
    </row>
    <row r="68" spans="1:13" x14ac:dyDescent="0.2">
      <c r="A68" s="933"/>
      <c r="B68" s="920"/>
      <c r="C68" s="915"/>
      <c r="D68" s="915"/>
      <c r="E68" s="2358"/>
      <c r="F68" s="846"/>
      <c r="G68" s="784"/>
      <c r="H68" s="2348"/>
      <c r="I68" s="850" t="s">
        <v>458</v>
      </c>
      <c r="J68" s="849">
        <v>2</v>
      </c>
      <c r="K68" s="963" t="s">
        <v>522</v>
      </c>
      <c r="L68" s="1018"/>
      <c r="M68" s="784"/>
    </row>
    <row r="69" spans="1:13" x14ac:dyDescent="0.2">
      <c r="A69" s="933"/>
      <c r="B69" s="923"/>
      <c r="C69" s="915"/>
      <c r="D69" s="915"/>
      <c r="E69" s="2358"/>
      <c r="F69" s="846"/>
      <c r="G69" s="846"/>
      <c r="H69" s="2348"/>
      <c r="I69" s="848" t="s">
        <v>462</v>
      </c>
      <c r="J69" s="851">
        <v>1</v>
      </c>
      <c r="K69" s="963" t="s">
        <v>526</v>
      </c>
      <c r="L69" s="1018"/>
      <c r="M69" s="846"/>
    </row>
    <row r="70" spans="1:13" ht="13.5" thickBot="1" x14ac:dyDescent="0.25">
      <c r="A70" s="933"/>
      <c r="B70" s="923"/>
      <c r="C70" s="915"/>
      <c r="D70" s="915"/>
      <c r="E70" s="890"/>
      <c r="F70" s="846"/>
      <c r="G70" s="784"/>
      <c r="H70" s="2349"/>
      <c r="I70" s="853" t="s">
        <v>460</v>
      </c>
      <c r="J70" s="874">
        <v>2</v>
      </c>
      <c r="K70" s="964" t="s">
        <v>522</v>
      </c>
      <c r="L70" s="1018"/>
      <c r="M70" s="784"/>
    </row>
    <row r="71" spans="1:13" ht="13.5" thickTop="1" x14ac:dyDescent="0.2">
      <c r="A71" s="933"/>
      <c r="B71" s="923"/>
      <c r="C71" s="915"/>
      <c r="D71" s="915"/>
      <c r="E71" s="890"/>
      <c r="F71" s="784"/>
      <c r="G71" s="784"/>
      <c r="H71" s="784"/>
      <c r="I71" s="2359" t="s">
        <v>883</v>
      </c>
      <c r="J71" s="2360"/>
      <c r="K71" s="2361"/>
      <c r="L71" s="784"/>
      <c r="M71" s="784"/>
    </row>
    <row r="72" spans="1:13" x14ac:dyDescent="0.2">
      <c r="A72" s="933"/>
      <c r="B72" s="923"/>
      <c r="C72" s="915"/>
      <c r="D72" s="915"/>
      <c r="E72" s="890"/>
      <c r="F72" s="784"/>
      <c r="G72" s="784"/>
      <c r="H72" s="784"/>
      <c r="I72" s="1189" t="s">
        <v>843</v>
      </c>
      <c r="J72" s="851">
        <v>300</v>
      </c>
      <c r="K72" s="1190" t="s">
        <v>844</v>
      </c>
      <c r="L72" s="784"/>
      <c r="M72" s="784"/>
    </row>
    <row r="73" spans="1:13" x14ac:dyDescent="0.2">
      <c r="A73" s="933"/>
      <c r="B73" s="920"/>
      <c r="C73" s="915"/>
      <c r="D73" s="915"/>
      <c r="E73" s="915" t="s">
        <v>423</v>
      </c>
      <c r="F73" s="784"/>
      <c r="G73" s="784"/>
      <c r="H73" s="784"/>
      <c r="I73" s="1189" t="s">
        <v>845</v>
      </c>
      <c r="J73" s="851">
        <v>300</v>
      </c>
      <c r="K73" s="1190" t="s">
        <v>844</v>
      </c>
      <c r="L73" s="784"/>
      <c r="M73" s="784"/>
    </row>
    <row r="74" spans="1:13" x14ac:dyDescent="0.2">
      <c r="A74" s="933"/>
      <c r="B74" s="920"/>
      <c r="C74" s="915"/>
      <c r="D74" s="915"/>
      <c r="E74" s="915"/>
      <c r="F74" s="784"/>
      <c r="G74" s="784"/>
      <c r="H74" s="784"/>
      <c r="I74" s="1189" t="s">
        <v>846</v>
      </c>
      <c r="J74" s="851">
        <v>500</v>
      </c>
      <c r="K74" s="1190" t="s">
        <v>844</v>
      </c>
      <c r="L74" s="784"/>
      <c r="M74" s="784"/>
    </row>
    <row r="75" spans="1:13" x14ac:dyDescent="0.2">
      <c r="A75" s="933"/>
      <c r="B75" s="923"/>
      <c r="C75" s="915"/>
      <c r="D75" s="915"/>
      <c r="E75" s="913"/>
      <c r="F75" s="784"/>
      <c r="G75" s="784"/>
      <c r="H75" s="784"/>
      <c r="I75" s="1189" t="s">
        <v>847</v>
      </c>
      <c r="J75" s="851">
        <v>20</v>
      </c>
      <c r="K75" s="1190" t="s">
        <v>844</v>
      </c>
      <c r="L75" s="784"/>
      <c r="M75" s="784"/>
    </row>
    <row r="76" spans="1:13" x14ac:dyDescent="0.2">
      <c r="A76" s="933"/>
      <c r="B76" s="923"/>
      <c r="C76" s="915"/>
      <c r="D76" s="915"/>
      <c r="E76" s="915"/>
      <c r="F76" s="784"/>
      <c r="G76" s="784"/>
      <c r="H76" s="784"/>
      <c r="I76" s="1189" t="s">
        <v>848</v>
      </c>
      <c r="J76" s="851">
        <v>300</v>
      </c>
      <c r="K76" s="1190" t="s">
        <v>844</v>
      </c>
      <c r="L76" s="784"/>
      <c r="M76" s="784"/>
    </row>
    <row r="77" spans="1:13" x14ac:dyDescent="0.2">
      <c r="A77" s="933"/>
      <c r="B77" s="923"/>
      <c r="C77" s="915"/>
      <c r="D77" s="915"/>
      <c r="E77" s="915"/>
      <c r="F77" s="784"/>
      <c r="G77" s="784"/>
      <c r="H77" s="784"/>
      <c r="I77" s="1189" t="s">
        <v>849</v>
      </c>
      <c r="J77" s="851">
        <v>100</v>
      </c>
      <c r="K77" s="1190" t="s">
        <v>844</v>
      </c>
      <c r="L77" s="784"/>
      <c r="M77" s="784"/>
    </row>
    <row r="78" spans="1:13" x14ac:dyDescent="0.2">
      <c r="A78" s="933"/>
      <c r="B78" s="923"/>
      <c r="C78" s="915"/>
      <c r="D78" s="915"/>
      <c r="E78" s="915"/>
      <c r="F78" s="784"/>
      <c r="G78" s="784"/>
      <c r="H78" s="784"/>
      <c r="I78" s="1189" t="s">
        <v>850</v>
      </c>
      <c r="J78" s="851">
        <v>15</v>
      </c>
      <c r="K78" s="1190" t="s">
        <v>844</v>
      </c>
      <c r="L78" s="784"/>
      <c r="M78" s="784"/>
    </row>
    <row r="79" spans="1:13" x14ac:dyDescent="0.2">
      <c r="A79" s="933"/>
      <c r="B79" s="923"/>
      <c r="C79" s="915"/>
      <c r="D79" s="915"/>
      <c r="E79" s="915"/>
      <c r="F79" s="784"/>
      <c r="G79" s="784"/>
      <c r="H79" s="784"/>
      <c r="I79" s="1189" t="s">
        <v>851</v>
      </c>
      <c r="J79" s="851">
        <v>11</v>
      </c>
      <c r="K79" s="1190" t="s">
        <v>844</v>
      </c>
      <c r="L79" s="784"/>
      <c r="M79" s="784"/>
    </row>
    <row r="80" spans="1:13" x14ac:dyDescent="0.2">
      <c r="A80" s="933"/>
      <c r="B80" s="923"/>
      <c r="C80" s="915"/>
      <c r="D80" s="915"/>
      <c r="E80" s="915"/>
      <c r="F80" s="784"/>
      <c r="G80" s="784"/>
      <c r="H80" s="784"/>
      <c r="I80" s="1189" t="s">
        <v>852</v>
      </c>
      <c r="J80" s="851">
        <v>30</v>
      </c>
      <c r="K80" s="1190" t="s">
        <v>853</v>
      </c>
      <c r="L80" s="784"/>
      <c r="M80" s="784"/>
    </row>
    <row r="81" spans="1:13" x14ac:dyDescent="0.2">
      <c r="A81" s="933"/>
      <c r="B81" s="923"/>
      <c r="C81" s="915"/>
      <c r="D81" s="915"/>
      <c r="E81" s="913"/>
      <c r="F81" s="846"/>
      <c r="G81" s="846"/>
      <c r="H81" s="784"/>
      <c r="I81" s="1189" t="s">
        <v>854</v>
      </c>
      <c r="J81" s="851"/>
      <c r="K81" s="1191"/>
      <c r="L81" s="846"/>
      <c r="M81" s="846"/>
    </row>
    <row r="82" spans="1:13" x14ac:dyDescent="0.2">
      <c r="A82" s="933"/>
      <c r="B82" s="923"/>
      <c r="C82" s="915"/>
      <c r="D82" s="915"/>
      <c r="E82" s="913"/>
      <c r="F82" s="846"/>
      <c r="G82" s="846"/>
      <c r="H82" s="784"/>
      <c r="I82" s="1189" t="s">
        <v>855</v>
      </c>
      <c r="J82" s="851">
        <v>7</v>
      </c>
      <c r="K82" s="1192" t="s">
        <v>853</v>
      </c>
      <c r="L82" s="846"/>
      <c r="M82" s="846"/>
    </row>
    <row r="83" spans="1:13" x14ac:dyDescent="0.2">
      <c r="A83" s="933"/>
      <c r="B83" s="923"/>
      <c r="C83" s="915"/>
      <c r="D83" s="915"/>
      <c r="E83" s="913"/>
      <c r="F83" s="846"/>
      <c r="G83" s="846"/>
      <c r="H83" s="784"/>
      <c r="I83" s="1189" t="s">
        <v>856</v>
      </c>
      <c r="J83" s="851">
        <v>5</v>
      </c>
      <c r="K83" s="1192" t="s">
        <v>853</v>
      </c>
      <c r="L83" s="846"/>
      <c r="M83" s="846"/>
    </row>
    <row r="84" spans="1:13" x14ac:dyDescent="0.2">
      <c r="A84" s="933"/>
      <c r="B84" s="923"/>
      <c r="C84" s="915"/>
      <c r="D84" s="915"/>
      <c r="E84" s="915"/>
      <c r="F84" s="846"/>
      <c r="G84" s="846"/>
      <c r="H84" s="784"/>
      <c r="I84" s="1189" t="s">
        <v>857</v>
      </c>
      <c r="J84" s="851">
        <v>15</v>
      </c>
      <c r="K84" s="1192" t="s">
        <v>853</v>
      </c>
      <c r="L84" s="846"/>
      <c r="M84" s="846"/>
    </row>
    <row r="85" spans="1:13" x14ac:dyDescent="0.2">
      <c r="A85" s="933"/>
      <c r="B85" s="923"/>
      <c r="C85" s="915"/>
      <c r="D85" s="915"/>
      <c r="E85" s="915"/>
      <c r="F85" s="846"/>
      <c r="G85" s="846"/>
      <c r="H85" s="784"/>
      <c r="I85" s="1189" t="s">
        <v>858</v>
      </c>
      <c r="J85" s="851">
        <v>7</v>
      </c>
      <c r="K85" s="1192" t="s">
        <v>853</v>
      </c>
      <c r="L85" s="846"/>
      <c r="M85" s="846"/>
    </row>
    <row r="86" spans="1:13" x14ac:dyDescent="0.2">
      <c r="A86" s="933"/>
      <c r="B86" s="923"/>
      <c r="C86" s="915"/>
      <c r="D86" s="915"/>
      <c r="E86" s="915"/>
      <c r="F86" s="846"/>
      <c r="G86" s="846"/>
      <c r="H86" s="784"/>
      <c r="I86" s="1189" t="s">
        <v>859</v>
      </c>
      <c r="J86" s="851">
        <v>100</v>
      </c>
      <c r="K86" s="1192" t="s">
        <v>844</v>
      </c>
      <c r="L86" s="846"/>
      <c r="M86" s="846"/>
    </row>
    <row r="87" spans="1:13" x14ac:dyDescent="0.2">
      <c r="A87" s="933"/>
      <c r="B87" s="923"/>
      <c r="C87" s="915"/>
      <c r="D87" s="915"/>
      <c r="E87" s="915"/>
      <c r="F87" s="846"/>
      <c r="G87" s="846"/>
      <c r="H87" s="784"/>
      <c r="I87" s="1189" t="s">
        <v>860</v>
      </c>
      <c r="J87" s="851">
        <v>40</v>
      </c>
      <c r="K87" s="1192" t="s">
        <v>853</v>
      </c>
      <c r="L87" s="846"/>
      <c r="M87" s="846"/>
    </row>
    <row r="88" spans="1:13" x14ac:dyDescent="0.2">
      <c r="A88" s="933"/>
      <c r="B88" s="920"/>
      <c r="C88" s="915"/>
      <c r="D88" s="915"/>
      <c r="E88" s="915"/>
      <c r="F88" s="846"/>
      <c r="G88" s="846"/>
      <c r="H88" s="784"/>
      <c r="I88" s="1189" t="s">
        <v>861</v>
      </c>
      <c r="J88" s="851">
        <v>35</v>
      </c>
      <c r="K88" s="1192" t="s">
        <v>853</v>
      </c>
      <c r="L88" s="846"/>
      <c r="M88" s="846"/>
    </row>
    <row r="89" spans="1:13" x14ac:dyDescent="0.2">
      <c r="A89" s="933"/>
      <c r="B89" s="920"/>
      <c r="C89" s="915"/>
      <c r="D89" s="915"/>
      <c r="E89" s="915"/>
      <c r="F89" s="846"/>
      <c r="G89" s="846"/>
      <c r="H89" s="784"/>
      <c r="I89" s="1189" t="s">
        <v>862</v>
      </c>
      <c r="J89" s="851">
        <v>50</v>
      </c>
      <c r="K89" s="1192" t="s">
        <v>844</v>
      </c>
      <c r="L89" s="846"/>
      <c r="M89" s="846"/>
    </row>
    <row r="90" spans="1:13" x14ac:dyDescent="0.2">
      <c r="A90" s="933"/>
      <c r="B90" s="920"/>
      <c r="C90" s="915"/>
      <c r="D90" s="915"/>
      <c r="E90" s="915"/>
      <c r="F90" s="846"/>
      <c r="G90" s="846"/>
      <c r="H90" s="784"/>
      <c r="I90" s="1189" t="s">
        <v>863</v>
      </c>
      <c r="J90" s="851">
        <v>20</v>
      </c>
      <c r="K90" s="1192" t="s">
        <v>853</v>
      </c>
      <c r="L90" s="846"/>
      <c r="M90" s="846"/>
    </row>
    <row r="91" spans="1:13" x14ac:dyDescent="0.2">
      <c r="A91" s="933"/>
      <c r="B91" s="920"/>
      <c r="C91" s="915"/>
      <c r="D91" s="915"/>
      <c r="E91" s="915"/>
      <c r="F91" s="846"/>
      <c r="G91" s="846"/>
      <c r="H91" s="784"/>
      <c r="I91" s="1189" t="s">
        <v>864</v>
      </c>
      <c r="J91" s="851">
        <v>50</v>
      </c>
      <c r="K91" s="1192" t="s">
        <v>853</v>
      </c>
      <c r="L91" s="846"/>
      <c r="M91" s="846"/>
    </row>
    <row r="92" spans="1:13" x14ac:dyDescent="0.2">
      <c r="A92" s="933"/>
      <c r="B92" s="920"/>
      <c r="C92" s="915"/>
      <c r="D92" s="915"/>
      <c r="E92" s="2347"/>
      <c r="F92" s="846"/>
      <c r="G92" s="846"/>
      <c r="H92" s="784"/>
      <c r="I92" s="1189" t="s">
        <v>865</v>
      </c>
      <c r="J92" s="851">
        <v>50</v>
      </c>
      <c r="K92" s="1192" t="s">
        <v>844</v>
      </c>
      <c r="L92" s="846"/>
      <c r="M92" s="846"/>
    </row>
    <row r="93" spans="1:13" x14ac:dyDescent="0.2">
      <c r="A93" s="933"/>
      <c r="B93" s="920"/>
      <c r="C93" s="915"/>
      <c r="D93" s="915"/>
      <c r="E93" s="2347"/>
      <c r="F93" s="846"/>
      <c r="G93" s="846"/>
      <c r="H93" s="784"/>
      <c r="I93" s="1189" t="s">
        <v>866</v>
      </c>
      <c r="J93" s="851">
        <v>200</v>
      </c>
      <c r="K93" s="1192" t="s">
        <v>844</v>
      </c>
      <c r="L93" s="846"/>
      <c r="M93" s="846"/>
    </row>
    <row r="94" spans="1:13" x14ac:dyDescent="0.2">
      <c r="A94" s="933"/>
      <c r="B94" s="920"/>
      <c r="C94" s="915"/>
      <c r="D94" s="915"/>
      <c r="E94" s="2347"/>
      <c r="F94" s="846"/>
      <c r="G94" s="846"/>
      <c r="H94" s="784"/>
      <c r="I94" s="1189" t="s">
        <v>867</v>
      </c>
      <c r="J94" s="851">
        <v>240</v>
      </c>
      <c r="K94" s="1192" t="s">
        <v>844</v>
      </c>
      <c r="L94" s="846"/>
      <c r="M94" s="846"/>
    </row>
    <row r="95" spans="1:13" x14ac:dyDescent="0.2">
      <c r="A95" s="933"/>
      <c r="B95" s="920"/>
      <c r="C95" s="915"/>
      <c r="D95" s="915"/>
      <c r="E95" s="2347"/>
      <c r="F95" s="846"/>
      <c r="G95" s="846"/>
      <c r="H95" s="784"/>
      <c r="I95" s="1189" t="s">
        <v>868</v>
      </c>
      <c r="J95" s="851">
        <v>100</v>
      </c>
      <c r="K95" s="1192" t="s">
        <v>844</v>
      </c>
      <c r="L95" s="846"/>
      <c r="M95" s="846"/>
    </row>
    <row r="96" spans="1:13" x14ac:dyDescent="0.2">
      <c r="A96" s="933"/>
      <c r="B96" s="920"/>
      <c r="C96" s="915"/>
      <c r="D96" s="915"/>
      <c r="E96" s="892"/>
      <c r="F96" s="846"/>
      <c r="G96" s="846"/>
      <c r="H96" s="784"/>
      <c r="I96" s="1189" t="s">
        <v>869</v>
      </c>
      <c r="J96" s="851">
        <v>120</v>
      </c>
      <c r="K96" s="1192" t="s">
        <v>844</v>
      </c>
      <c r="L96" s="846"/>
      <c r="M96" s="846"/>
    </row>
    <row r="97" spans="1:13" x14ac:dyDescent="0.2">
      <c r="A97" s="933"/>
      <c r="B97" s="920"/>
      <c r="C97" s="915"/>
      <c r="D97" s="915"/>
      <c r="E97" s="893"/>
      <c r="F97" s="846"/>
      <c r="G97" s="846"/>
      <c r="H97" s="784"/>
      <c r="I97" s="1189" t="s">
        <v>870</v>
      </c>
      <c r="J97" s="851">
        <v>200</v>
      </c>
      <c r="K97" s="1192" t="s">
        <v>844</v>
      </c>
      <c r="L97" s="846"/>
      <c r="M97" s="846"/>
    </row>
    <row r="98" spans="1:13" ht="12.75" customHeight="1" x14ac:dyDescent="0.2">
      <c r="A98" s="933"/>
      <c r="B98" s="923">
        <v>480</v>
      </c>
      <c r="C98" s="915"/>
      <c r="D98" s="915"/>
      <c r="E98" s="1187" t="s">
        <v>424</v>
      </c>
      <c r="F98" s="846"/>
      <c r="G98" s="846"/>
      <c r="H98" s="784"/>
      <c r="I98" s="1189" t="s">
        <v>871</v>
      </c>
      <c r="J98" s="851">
        <v>50</v>
      </c>
      <c r="K98" s="1192" t="s">
        <v>853</v>
      </c>
      <c r="L98" s="846"/>
      <c r="M98" s="846"/>
    </row>
    <row r="99" spans="1:13" x14ac:dyDescent="0.2">
      <c r="A99" s="933"/>
      <c r="B99" s="920"/>
      <c r="C99" s="915"/>
      <c r="D99" s="915"/>
      <c r="E99" s="1187"/>
      <c r="F99" s="846"/>
      <c r="G99" s="846"/>
      <c r="H99" s="784"/>
      <c r="I99" s="1189" t="s">
        <v>872</v>
      </c>
      <c r="J99" s="851">
        <v>100</v>
      </c>
      <c r="K99" s="1192" t="s">
        <v>844</v>
      </c>
      <c r="L99" s="846"/>
      <c r="M99" s="846"/>
    </row>
    <row r="100" spans="1:13" x14ac:dyDescent="0.2">
      <c r="A100" s="933"/>
      <c r="B100" s="923">
        <v>240</v>
      </c>
      <c r="C100" s="915"/>
      <c r="D100" s="915"/>
      <c r="E100" s="913" t="s">
        <v>425</v>
      </c>
      <c r="F100" s="846"/>
      <c r="G100" s="846"/>
      <c r="H100" s="784"/>
      <c r="I100" s="1189" t="s">
        <v>873</v>
      </c>
      <c r="J100" s="851"/>
      <c r="K100" s="1192"/>
      <c r="L100" s="846"/>
      <c r="M100" s="846"/>
    </row>
    <row r="101" spans="1:13" x14ac:dyDescent="0.2">
      <c r="A101" s="933"/>
      <c r="B101" s="920"/>
      <c r="C101" s="915"/>
      <c r="D101" s="915"/>
      <c r="E101" s="915"/>
      <c r="F101" s="846"/>
      <c r="G101" s="846"/>
      <c r="H101" s="784"/>
      <c r="I101" s="1189" t="s">
        <v>874</v>
      </c>
      <c r="J101" s="851">
        <v>60</v>
      </c>
      <c r="K101" s="1192" t="s">
        <v>844</v>
      </c>
      <c r="L101" s="846"/>
      <c r="M101" s="846"/>
    </row>
    <row r="102" spans="1:13" x14ac:dyDescent="0.2">
      <c r="A102" s="933"/>
      <c r="B102" s="920"/>
      <c r="C102" s="915"/>
      <c r="D102" s="915"/>
      <c r="E102" s="915"/>
      <c r="F102" s="846"/>
      <c r="G102" s="846"/>
      <c r="H102" s="784"/>
      <c r="I102" s="1189" t="s">
        <v>875</v>
      </c>
      <c r="J102" s="851">
        <v>30</v>
      </c>
      <c r="K102" s="1192" t="s">
        <v>844</v>
      </c>
      <c r="L102" s="846"/>
      <c r="M102" s="846"/>
    </row>
    <row r="103" spans="1:13" x14ac:dyDescent="0.2">
      <c r="A103" s="933"/>
      <c r="B103" s="920"/>
      <c r="C103" s="915"/>
      <c r="D103" s="915"/>
      <c r="E103" s="915"/>
      <c r="F103" s="846"/>
      <c r="G103" s="846"/>
      <c r="H103" s="784"/>
      <c r="I103" s="1189" t="s">
        <v>876</v>
      </c>
      <c r="J103" s="851">
        <v>300</v>
      </c>
      <c r="K103" s="1192" t="s">
        <v>844</v>
      </c>
      <c r="L103" s="846"/>
      <c r="M103" s="846"/>
    </row>
    <row r="104" spans="1:13" ht="12.75" customHeight="1" x14ac:dyDescent="0.2">
      <c r="A104" s="933"/>
      <c r="B104" s="923"/>
      <c r="C104" s="915"/>
      <c r="D104" s="915"/>
      <c r="E104" s="1188"/>
      <c r="F104" s="846"/>
      <c r="G104" s="846"/>
      <c r="H104" s="784"/>
      <c r="I104" s="1189" t="s">
        <v>877</v>
      </c>
      <c r="J104" s="851">
        <v>200</v>
      </c>
      <c r="K104" s="1192" t="s">
        <v>844</v>
      </c>
      <c r="L104" s="846"/>
      <c r="M104" s="846"/>
    </row>
    <row r="105" spans="1:13" x14ac:dyDescent="0.2">
      <c r="A105" s="933"/>
      <c r="B105" s="920"/>
      <c r="C105" s="915"/>
      <c r="D105" s="915"/>
      <c r="E105" s="1188"/>
      <c r="F105" s="846"/>
      <c r="G105" s="846"/>
      <c r="H105" s="784"/>
      <c r="I105" s="1189" t="s">
        <v>878</v>
      </c>
      <c r="J105" s="851">
        <v>200</v>
      </c>
      <c r="K105" s="1192" t="s">
        <v>844</v>
      </c>
      <c r="L105" s="846"/>
      <c r="M105" s="846"/>
    </row>
    <row r="106" spans="1:13" x14ac:dyDescent="0.2">
      <c r="A106" s="933"/>
      <c r="B106" s="920"/>
      <c r="C106" s="915"/>
      <c r="D106" s="915"/>
      <c r="E106" s="915"/>
      <c r="F106" s="846"/>
      <c r="G106" s="846"/>
      <c r="H106" s="784"/>
      <c r="I106" s="1189" t="s">
        <v>879</v>
      </c>
      <c r="J106" s="851">
        <v>50</v>
      </c>
      <c r="K106" s="1192" t="s">
        <v>844</v>
      </c>
      <c r="L106" s="846"/>
      <c r="M106" s="846"/>
    </row>
    <row r="107" spans="1:13" x14ac:dyDescent="0.2">
      <c r="A107" s="933"/>
      <c r="B107" s="920"/>
      <c r="C107" s="915"/>
      <c r="D107" s="915"/>
      <c r="E107" s="915"/>
      <c r="F107" s="846"/>
      <c r="G107" s="846"/>
      <c r="H107" s="784"/>
      <c r="I107" s="1189" t="s">
        <v>880</v>
      </c>
      <c r="J107" s="851">
        <v>15</v>
      </c>
      <c r="K107" s="1192" t="s">
        <v>844</v>
      </c>
      <c r="L107" s="846"/>
      <c r="M107" s="846"/>
    </row>
    <row r="108" spans="1:13" x14ac:dyDescent="0.2">
      <c r="A108" s="933"/>
      <c r="B108" s="920"/>
      <c r="C108" s="915"/>
      <c r="D108" s="915"/>
      <c r="E108" s="915" t="s">
        <v>445</v>
      </c>
      <c r="F108" s="846"/>
      <c r="G108" s="846"/>
      <c r="H108" s="784"/>
      <c r="I108" s="1189" t="s">
        <v>881</v>
      </c>
      <c r="J108" s="851">
        <v>15</v>
      </c>
      <c r="K108" s="1192" t="s">
        <v>853</v>
      </c>
      <c r="L108" s="846"/>
      <c r="M108" s="846"/>
    </row>
    <row r="109" spans="1:13" ht="13.5" thickBot="1" x14ac:dyDescent="0.25">
      <c r="A109" s="933"/>
      <c r="B109" s="920"/>
      <c r="C109" s="911"/>
      <c r="D109" s="911"/>
      <c r="E109" s="911"/>
      <c r="F109" s="847"/>
      <c r="G109" s="847"/>
      <c r="H109" s="1004"/>
      <c r="I109" s="1193" t="s">
        <v>882</v>
      </c>
      <c r="J109" s="874">
        <v>500</v>
      </c>
      <c r="K109" s="1194" t="s">
        <v>844</v>
      </c>
      <c r="L109" s="847"/>
      <c r="M109" s="847"/>
    </row>
    <row r="110" spans="1:13" ht="13.5" thickTop="1" x14ac:dyDescent="0.2">
      <c r="A110" s="933"/>
      <c r="B110" s="920"/>
      <c r="C110" s="911"/>
      <c r="D110" s="911"/>
      <c r="E110" s="911"/>
      <c r="F110" s="847"/>
      <c r="G110" s="847"/>
      <c r="H110" s="1004"/>
      <c r="I110" s="776"/>
      <c r="J110" s="847"/>
      <c r="K110" s="1186"/>
      <c r="L110" s="847"/>
      <c r="M110" s="847"/>
    </row>
    <row r="111" spans="1:13" x14ac:dyDescent="0.2">
      <c r="A111" s="933"/>
      <c r="B111" s="920"/>
      <c r="C111" s="911"/>
      <c r="D111" s="911"/>
      <c r="E111" s="911"/>
      <c r="F111" s="847"/>
      <c r="G111" s="847"/>
      <c r="H111" s="1004"/>
      <c r="I111" s="776"/>
      <c r="J111" s="847"/>
      <c r="K111" s="1186"/>
      <c r="L111" s="847"/>
      <c r="M111" s="847"/>
    </row>
    <row r="112" spans="1:13" x14ac:dyDescent="0.2">
      <c r="A112" s="933"/>
      <c r="B112" s="920"/>
      <c r="C112" s="911"/>
      <c r="D112" s="911"/>
      <c r="E112" s="911"/>
      <c r="F112" s="847"/>
      <c r="G112" s="847"/>
      <c r="H112" s="1004"/>
      <c r="I112" s="776"/>
      <c r="J112" s="847"/>
      <c r="K112" s="1186"/>
      <c r="L112" s="847"/>
      <c r="M112" s="847"/>
    </row>
    <row r="113" spans="1:13" x14ac:dyDescent="0.2">
      <c r="A113" s="933"/>
      <c r="B113" s="920"/>
      <c r="C113" s="911"/>
      <c r="D113" s="911"/>
      <c r="E113" s="911"/>
      <c r="F113" s="847"/>
      <c r="G113" s="847"/>
      <c r="H113" s="1004"/>
      <c r="I113" s="776"/>
      <c r="J113" s="847"/>
      <c r="K113" s="1186"/>
      <c r="L113" s="847"/>
      <c r="M113" s="847"/>
    </row>
    <row r="114" spans="1:13" x14ac:dyDescent="0.2">
      <c r="A114" s="933"/>
      <c r="B114" s="920"/>
      <c r="C114" s="911"/>
      <c r="D114" s="911"/>
      <c r="E114" s="911"/>
      <c r="F114" s="847"/>
      <c r="G114" s="847"/>
      <c r="H114" s="1004"/>
      <c r="I114" s="776"/>
      <c r="J114" s="847"/>
      <c r="K114" s="1186"/>
      <c r="L114" s="847"/>
      <c r="M114" s="847"/>
    </row>
    <row r="115" spans="1:13" x14ac:dyDescent="0.2">
      <c r="A115" s="933"/>
      <c r="B115" s="927">
        <v>345</v>
      </c>
      <c r="C115" s="911"/>
      <c r="D115" s="911"/>
      <c r="E115" s="911"/>
      <c r="F115" s="847"/>
      <c r="G115" s="847"/>
      <c r="H115" s="1004"/>
      <c r="I115" s="776"/>
      <c r="J115" s="847"/>
      <c r="K115" s="1186"/>
      <c r="L115" s="847"/>
      <c r="M115" s="847"/>
    </row>
    <row r="116" spans="1:13" x14ac:dyDescent="0.2">
      <c r="A116" s="933"/>
      <c r="B116" s="920"/>
      <c r="C116" s="911"/>
      <c r="D116" s="911"/>
      <c r="E116" s="911"/>
      <c r="F116" s="847"/>
      <c r="G116" s="847"/>
      <c r="H116" s="1004"/>
      <c r="I116" s="776"/>
      <c r="J116" s="847"/>
      <c r="K116" s="1186"/>
      <c r="L116" s="847"/>
      <c r="M116" s="847"/>
    </row>
    <row r="117" spans="1:13" x14ac:dyDescent="0.2">
      <c r="A117" s="933"/>
      <c r="B117" s="920"/>
      <c r="C117" s="911"/>
      <c r="D117" s="911"/>
      <c r="E117" s="911"/>
      <c r="F117" s="847"/>
      <c r="G117" s="847"/>
      <c r="H117" s="1004"/>
      <c r="I117" s="776"/>
      <c r="J117" s="847"/>
      <c r="K117" s="1186"/>
      <c r="L117" s="847"/>
      <c r="M117" s="847"/>
    </row>
    <row r="118" spans="1:13" x14ac:dyDescent="0.2">
      <c r="A118" s="933"/>
      <c r="B118" s="927"/>
      <c r="C118" s="911"/>
      <c r="D118" s="911"/>
      <c r="E118" s="928"/>
      <c r="F118" s="847"/>
      <c r="G118" s="847"/>
      <c r="H118" s="1004"/>
      <c r="I118" s="776"/>
      <c r="J118" s="847"/>
      <c r="K118" s="1186"/>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448</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449</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450</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451</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452</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453</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454</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455</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455</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E92:E95"/>
    <mergeCell ref="P2:P6"/>
    <mergeCell ref="H61:H70"/>
    <mergeCell ref="J59:J60"/>
    <mergeCell ref="K59:K60"/>
    <mergeCell ref="I59:I60"/>
    <mergeCell ref="H59:H60"/>
    <mergeCell ref="E68:E69"/>
    <mergeCell ref="I71:K71"/>
    <mergeCell ref="N1:R1"/>
    <mergeCell ref="N2:N6"/>
    <mergeCell ref="O2:O6"/>
    <mergeCell ref="O19:P19"/>
    <mergeCell ref="H1:J1"/>
    <mergeCell ref="K1:M1"/>
    <mergeCell ref="S1:AJ1"/>
    <mergeCell ref="AC4:AC5"/>
    <mergeCell ref="AE3:AG3"/>
    <mergeCell ref="AH3:AJ3"/>
    <mergeCell ref="AD2:AJ2"/>
    <mergeCell ref="W2:AC2"/>
    <mergeCell ref="AF4:AF5"/>
    <mergeCell ref="AI4:AI5"/>
    <mergeCell ref="AD3:AD5"/>
    <mergeCell ref="Z4:Z5"/>
    <mergeCell ref="AB4:AB5"/>
    <mergeCell ref="S6:S7"/>
    <mergeCell ref="U4:U5"/>
    <mergeCell ref="Q19:R19"/>
    <mergeCell ref="AG4:AG5"/>
    <mergeCell ref="AJ4:AJ5"/>
    <mergeCell ref="AH4:AH5"/>
    <mergeCell ref="AE4:AE5"/>
    <mergeCell ref="Y4:Y5"/>
    <mergeCell ref="AA4:AA5"/>
    <mergeCell ref="Q2:Q6"/>
    <mergeCell ref="R2:R6"/>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2014-01-03T17:25:04Z</cp:lastPrinted>
  <dcterms:created xsi:type="dcterms:W3CDTF">2006-04-05T23:42:25Z</dcterms:created>
  <dcterms:modified xsi:type="dcterms:W3CDTF">2014-02-12T19:50:16Z</dcterms:modified>
</cp:coreProperties>
</file>